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ul\Desktop\Modelings\Šilumos nuostoliai\Prijungimo savikaina\"/>
    </mc:Choice>
  </mc:AlternateContent>
  <xr:revisionPtr revIDLastSave="0" documentId="13_ncr:1_{075EB485-9268-47A4-AA16-0CD2FE6B28FE}" xr6:coauthVersionLast="45" xr6:coauthVersionMax="45" xr10:uidLastSave="{00000000-0000-0000-0000-000000000000}"/>
  <bookViews>
    <workbookView xWindow="-120" yWindow="-120" windowWidth="29040" windowHeight="15840" tabRatio="725" firstSheet="10" activeTab="10" xr2:uid="{00000000-000D-0000-FFFF-FFFF00000000}"/>
  </bookViews>
  <sheets>
    <sheet name="Pradiniai duomenys" sheetId="8" state="hidden" r:id="rId1"/>
    <sheet name="TV tinklas" sheetId="1" state="hidden" r:id="rId2"/>
    <sheet name="KV tinklas" sheetId="2" state="hidden" r:id="rId3"/>
    <sheet name="Galutiniai rezultatai" sheetId="5" state="hidden" r:id="rId4"/>
    <sheet name="TV m2,m3" sheetId="3" state="hidden" r:id="rId5"/>
    <sheet name="KV m2, m3" sheetId="4" state="hidden" r:id="rId6"/>
    <sheet name="Nepraeinami kanalai" sheetId="6" state="hidden" r:id="rId7"/>
    <sheet name="Orinės trasos" sheetId="9" state="hidden" r:id="rId8"/>
    <sheet name="KV 2x1 nepraein" sheetId="11" state="hidden" r:id="rId9"/>
    <sheet name="Patalpose" sheetId="12" state="hidden" r:id="rId10"/>
    <sheet name="Prijungimas prie CŠT" sheetId="15" r:id="rId11"/>
    <sheet name="Bekanalinės trasos" sheetId="10" state="hidden" r:id="rId12"/>
    <sheet name="Bekanalinės trasos (2)" sheetId="16" state="hidden" r:id="rId13"/>
    <sheet name="Bekanalinės trasos (3)" sheetId="17" state="hidden" r:id="rId14"/>
    <sheet name="Bekanalinės trasos (4)" sheetId="19" state="hidden" r:id="rId15"/>
  </sheets>
  <externalReferences>
    <externalReference r:id="rId16"/>
  </externalReferences>
  <definedNames>
    <definedName name="_xlnm._FilterDatabase" localSheetId="10" hidden="1">'Prijungimas prie CŠT'!$B$1:$Q$38</definedName>
    <definedName name="Įrengimas" localSheetId="10">#REF!</definedName>
    <definedName name="Įrengimas">[1]!Table1[Column1]</definedName>
    <definedName name="_xlnm.Print_Area" localSheetId="3">'Galutiniai rezultatai'!$A$2:$R$30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5" l="1"/>
  <c r="G18" i="15"/>
  <c r="D17" i="15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11" i="10"/>
  <c r="D12" i="10"/>
  <c r="G12" i="10" s="1"/>
  <c r="E12" i="10" s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11" i="10"/>
  <c r="G11" i="10" s="1"/>
  <c r="E11" i="10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11" i="10"/>
  <c r="BR25" i="15"/>
  <c r="BS25" i="15"/>
  <c r="BT25" i="15"/>
  <c r="BU25" i="15"/>
  <c r="BR26" i="15"/>
  <c r="BS26" i="15"/>
  <c r="BT26" i="15"/>
  <c r="BU26" i="15"/>
  <c r="BR27" i="15"/>
  <c r="BS27" i="15"/>
  <c r="BT27" i="15"/>
  <c r="BU27" i="15"/>
  <c r="BR15" i="15"/>
  <c r="BS15" i="15"/>
  <c r="BT15" i="15"/>
  <c r="BU15" i="15"/>
  <c r="BR16" i="15"/>
  <c r="BS16" i="15"/>
  <c r="BT16" i="15"/>
  <c r="BU16" i="15"/>
  <c r="BR17" i="15"/>
  <c r="BS17" i="15"/>
  <c r="BT17" i="15"/>
  <c r="BU17" i="15"/>
  <c r="BR18" i="15"/>
  <c r="BS18" i="15"/>
  <c r="BT18" i="15"/>
  <c r="BU18" i="15"/>
  <c r="BR19" i="15"/>
  <c r="BS19" i="15"/>
  <c r="BT19" i="15"/>
  <c r="BU19" i="15"/>
  <c r="BR20" i="15"/>
  <c r="BS20" i="15"/>
  <c r="BT20" i="15"/>
  <c r="BU20" i="15"/>
  <c r="BR21" i="15"/>
  <c r="BS21" i="15"/>
  <c r="BT21" i="15"/>
  <c r="BU21" i="15"/>
  <c r="BR22" i="15"/>
  <c r="BS22" i="15"/>
  <c r="BT22" i="15"/>
  <c r="BU22" i="15"/>
  <c r="BR23" i="15"/>
  <c r="BS23" i="15"/>
  <c r="BT23" i="15"/>
  <c r="BU23" i="15"/>
  <c r="BR24" i="15"/>
  <c r="BS24" i="15"/>
  <c r="BT24" i="15"/>
  <c r="BU24" i="15"/>
  <c r="BR11" i="15"/>
  <c r="BS11" i="15"/>
  <c r="BT11" i="15"/>
  <c r="BU11" i="15"/>
  <c r="BR12" i="15"/>
  <c r="BS12" i="15"/>
  <c r="BT12" i="15"/>
  <c r="BU12" i="15"/>
  <c r="BR13" i="15"/>
  <c r="BS13" i="15"/>
  <c r="BT13" i="15"/>
  <c r="BU13" i="15"/>
  <c r="BR14" i="15"/>
  <c r="BS14" i="15"/>
  <c r="BT14" i="15"/>
  <c r="BU14" i="15"/>
  <c r="BU10" i="15"/>
  <c r="BT10" i="15"/>
  <c r="BS10" i="15"/>
  <c r="BR10" i="15"/>
  <c r="BO14" i="15"/>
  <c r="BN14" i="15"/>
  <c r="BM14" i="15"/>
  <c r="BL14" i="15"/>
  <c r="K9" i="1"/>
  <c r="BD21" i="15"/>
  <c r="G16" i="19"/>
  <c r="E16" i="19"/>
  <c r="E11" i="19"/>
  <c r="G11" i="19"/>
  <c r="E50" i="19"/>
  <c r="F50" i="19" s="1"/>
  <c r="I16" i="19"/>
  <c r="E56" i="19"/>
  <c r="F56" i="19" s="1"/>
  <c r="S22" i="19"/>
  <c r="E60" i="19"/>
  <c r="F60" i="19" s="1"/>
  <c r="I27" i="19"/>
  <c r="E63" i="19"/>
  <c r="F63" i="19" s="1"/>
  <c r="S32" i="19"/>
  <c r="S33" i="19"/>
  <c r="E69" i="19"/>
  <c r="F69" i="19" s="1"/>
  <c r="F11" i="19"/>
  <c r="R11" i="19" s="1"/>
  <c r="E67" i="19"/>
  <c r="F67" i="19" s="1"/>
  <c r="E66" i="19"/>
  <c r="F66" i="19" s="1"/>
  <c r="F65" i="19"/>
  <c r="E65" i="19"/>
  <c r="E64" i="19"/>
  <c r="F64" i="19" s="1"/>
  <c r="E61" i="19"/>
  <c r="F61" i="19" s="1"/>
  <c r="E59" i="19"/>
  <c r="F59" i="19" s="1"/>
  <c r="E58" i="19"/>
  <c r="F58" i="19" s="1"/>
  <c r="E55" i="19"/>
  <c r="F55" i="19" s="1"/>
  <c r="E54" i="19"/>
  <c r="F54" i="19" s="1"/>
  <c r="E53" i="19"/>
  <c r="F53" i="19" s="1"/>
  <c r="E52" i="19"/>
  <c r="F52" i="19" s="1"/>
  <c r="E49" i="19"/>
  <c r="F49" i="19" s="1"/>
  <c r="E48" i="19"/>
  <c r="F48" i="19" s="1"/>
  <c r="E47" i="19"/>
  <c r="F47" i="19" s="1"/>
  <c r="J42" i="19"/>
  <c r="J41" i="19"/>
  <c r="J40" i="19"/>
  <c r="S34" i="19"/>
  <c r="I33" i="19"/>
  <c r="G33" i="19"/>
  <c r="D68" i="19" s="1"/>
  <c r="G32" i="19"/>
  <c r="E32" i="19" s="1"/>
  <c r="C67" i="19" s="1"/>
  <c r="S31" i="19"/>
  <c r="R31" i="19"/>
  <c r="I31" i="19"/>
  <c r="G31" i="19"/>
  <c r="D66" i="19" s="1"/>
  <c r="E31" i="19"/>
  <c r="C66" i="19" s="1"/>
  <c r="S30" i="19"/>
  <c r="R30" i="19"/>
  <c r="I30" i="19"/>
  <c r="G30" i="19"/>
  <c r="D65" i="19" s="1"/>
  <c r="S29" i="19"/>
  <c r="R29" i="19"/>
  <c r="I29" i="19"/>
  <c r="G29" i="19"/>
  <c r="D64" i="19" s="1"/>
  <c r="E29" i="19"/>
  <c r="C64" i="19" s="1"/>
  <c r="I28" i="19"/>
  <c r="S26" i="19"/>
  <c r="R26" i="19"/>
  <c r="I26" i="19"/>
  <c r="G26" i="19"/>
  <c r="E26" i="19" s="1"/>
  <c r="C61" i="19" s="1"/>
  <c r="S25" i="19"/>
  <c r="R25" i="19"/>
  <c r="I25" i="19"/>
  <c r="G25" i="19"/>
  <c r="D60" i="19" s="1"/>
  <c r="E25" i="19"/>
  <c r="C60" i="19" s="1"/>
  <c r="S24" i="19"/>
  <c r="R24" i="19"/>
  <c r="I24" i="19"/>
  <c r="G24" i="19"/>
  <c r="D59" i="19" s="1"/>
  <c r="S23" i="19"/>
  <c r="R23" i="19"/>
  <c r="I23" i="19"/>
  <c r="G23" i="19"/>
  <c r="D58" i="19" s="1"/>
  <c r="I22" i="19"/>
  <c r="G22" i="19"/>
  <c r="D57" i="19" s="1"/>
  <c r="S21" i="19"/>
  <c r="R21" i="19"/>
  <c r="U21" i="19" s="1"/>
  <c r="O56" i="19" s="1"/>
  <c r="S20" i="19"/>
  <c r="R20" i="19"/>
  <c r="U20" i="19" s="1"/>
  <c r="O55" i="19" s="1"/>
  <c r="I20" i="19"/>
  <c r="G20" i="19"/>
  <c r="E20" i="19" s="1"/>
  <c r="C55" i="19" s="1"/>
  <c r="S19" i="19"/>
  <c r="R19" i="19"/>
  <c r="I19" i="19"/>
  <c r="G19" i="19"/>
  <c r="D54" i="19" s="1"/>
  <c r="U18" i="19"/>
  <c r="O53" i="19" s="1"/>
  <c r="S18" i="19"/>
  <c r="R18" i="19"/>
  <c r="I18" i="19"/>
  <c r="G18" i="19"/>
  <c r="D53" i="19" s="1"/>
  <c r="E18" i="19"/>
  <c r="C53" i="19" s="1"/>
  <c r="S17" i="19"/>
  <c r="R17" i="19"/>
  <c r="I17" i="19"/>
  <c r="G17" i="19"/>
  <c r="D52" i="19" s="1"/>
  <c r="S14" i="19"/>
  <c r="R14" i="19"/>
  <c r="U14" i="19" s="1"/>
  <c r="O49" i="19" s="1"/>
  <c r="I14" i="19"/>
  <c r="G14" i="19"/>
  <c r="E14" i="19" s="1"/>
  <c r="C49" i="19" s="1"/>
  <c r="S13" i="19"/>
  <c r="R13" i="19"/>
  <c r="I13" i="19"/>
  <c r="G13" i="19"/>
  <c r="D48" i="19" s="1"/>
  <c r="S12" i="19"/>
  <c r="R12" i="19"/>
  <c r="I12" i="19"/>
  <c r="G12" i="19"/>
  <c r="D47" i="19" s="1"/>
  <c r="S11" i="19"/>
  <c r="D46" i="19"/>
  <c r="N7" i="19"/>
  <c r="N6" i="19"/>
  <c r="N5" i="19"/>
  <c r="A1" i="19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C62" i="17" s="1"/>
  <c r="E28" i="17"/>
  <c r="E29" i="17"/>
  <c r="E30" i="17"/>
  <c r="E31" i="17"/>
  <c r="E32" i="17"/>
  <c r="C67" i="17" s="1"/>
  <c r="E33" i="17"/>
  <c r="E34" i="17"/>
  <c r="C69" i="17" s="1"/>
  <c r="E11" i="17"/>
  <c r="C46" i="17" s="1"/>
  <c r="G17" i="16"/>
  <c r="E13" i="16"/>
  <c r="E17" i="16"/>
  <c r="E27" i="16"/>
  <c r="E28" i="16"/>
  <c r="E29" i="16"/>
  <c r="E30" i="16"/>
  <c r="E31" i="16"/>
  <c r="E32" i="16"/>
  <c r="E33" i="16"/>
  <c r="E34" i="16"/>
  <c r="G34" i="17"/>
  <c r="G33" i="17"/>
  <c r="D68" i="17" s="1"/>
  <c r="G32" i="17"/>
  <c r="D67" i="17" s="1"/>
  <c r="G31" i="17"/>
  <c r="D66" i="17" s="1"/>
  <c r="G30" i="17"/>
  <c r="D65" i="17" s="1"/>
  <c r="G29" i="17"/>
  <c r="D64" i="17" s="1"/>
  <c r="G28" i="17"/>
  <c r="D63" i="17" s="1"/>
  <c r="G27" i="17"/>
  <c r="D62" i="17" s="1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D69" i="17"/>
  <c r="G11" i="17"/>
  <c r="G11" i="16"/>
  <c r="E11" i="16" s="1"/>
  <c r="BN33" i="15"/>
  <c r="BN34" i="15"/>
  <c r="BN35" i="15"/>
  <c r="BN36" i="15"/>
  <c r="BN37" i="15"/>
  <c r="BN38" i="15"/>
  <c r="BO38" i="15" s="1"/>
  <c r="BN39" i="15"/>
  <c r="BN40" i="15"/>
  <c r="BN41" i="15"/>
  <c r="BN42" i="15"/>
  <c r="BN43" i="15"/>
  <c r="BN44" i="15"/>
  <c r="BN45" i="15"/>
  <c r="BN46" i="15"/>
  <c r="BN47" i="15"/>
  <c r="BN49" i="15"/>
  <c r="BJ38" i="15"/>
  <c r="BK38" i="15" s="1"/>
  <c r="BN32" i="15"/>
  <c r="BO32" i="15" s="1"/>
  <c r="C68" i="17"/>
  <c r="E67" i="17"/>
  <c r="F67" i="17" s="1"/>
  <c r="E66" i="17"/>
  <c r="F66" i="17" s="1"/>
  <c r="C66" i="17"/>
  <c r="C65" i="17"/>
  <c r="C64" i="17"/>
  <c r="C63" i="17"/>
  <c r="E46" i="17"/>
  <c r="F46" i="17" s="1"/>
  <c r="J42" i="17"/>
  <c r="J41" i="17"/>
  <c r="J40" i="17"/>
  <c r="S34" i="17"/>
  <c r="R34" i="17"/>
  <c r="U34" i="17" s="1"/>
  <c r="O69" i="17" s="1"/>
  <c r="E69" i="17"/>
  <c r="F69" i="17" s="1"/>
  <c r="E68" i="17"/>
  <c r="F68" i="17" s="1"/>
  <c r="S32" i="17"/>
  <c r="R32" i="17"/>
  <c r="U32" i="17" s="1"/>
  <c r="O67" i="17" s="1"/>
  <c r="I32" i="17"/>
  <c r="S31" i="17"/>
  <c r="R31" i="17"/>
  <c r="U31" i="17" s="1"/>
  <c r="O66" i="17" s="1"/>
  <c r="I31" i="17"/>
  <c r="R30" i="17"/>
  <c r="S29" i="17"/>
  <c r="R29" i="17"/>
  <c r="I29" i="17"/>
  <c r="E64" i="17"/>
  <c r="F64" i="17" s="1"/>
  <c r="S28" i="17"/>
  <c r="R28" i="17"/>
  <c r="U28" i="17" s="1"/>
  <c r="O63" i="17" s="1"/>
  <c r="E63" i="17"/>
  <c r="F63" i="17" s="1"/>
  <c r="I27" i="17"/>
  <c r="S11" i="17"/>
  <c r="R11" i="17"/>
  <c r="I11" i="17"/>
  <c r="N7" i="17"/>
  <c r="N6" i="17"/>
  <c r="N5" i="17"/>
  <c r="A1" i="17"/>
  <c r="G18" i="10" l="1"/>
  <c r="E18" i="10" s="1"/>
  <c r="R17" i="10"/>
  <c r="BV15" i="15"/>
  <c r="BW15" i="15" s="1"/>
  <c r="BX15" i="15" s="1"/>
  <c r="BY15" i="15" s="1"/>
  <c r="BV26" i="15"/>
  <c r="BW26" i="15" s="1"/>
  <c r="BX26" i="15" s="1"/>
  <c r="BY26" i="15" s="1"/>
  <c r="BV25" i="15"/>
  <c r="BW25" i="15" s="1"/>
  <c r="BX25" i="15" s="1"/>
  <c r="BY25" i="15" s="1"/>
  <c r="BP14" i="15"/>
  <c r="BP15" i="15" s="1"/>
  <c r="BP16" i="15" s="1"/>
  <c r="BP17" i="15" s="1"/>
  <c r="BV21" i="15"/>
  <c r="BW21" i="15" s="1"/>
  <c r="BX21" i="15" s="1"/>
  <c r="BY21" i="15" s="1"/>
  <c r="BV27" i="15"/>
  <c r="BW27" i="15" s="1"/>
  <c r="BX27" i="15" s="1"/>
  <c r="BY27" i="15" s="1"/>
  <c r="BV23" i="15"/>
  <c r="BW23" i="15" s="1"/>
  <c r="BX23" i="15" s="1"/>
  <c r="BY23" i="15" s="1"/>
  <c r="BV24" i="15"/>
  <c r="BW24" i="15" s="1"/>
  <c r="BX24" i="15" s="1"/>
  <c r="BY24" i="15" s="1"/>
  <c r="BV18" i="15"/>
  <c r="BW18" i="15" s="1"/>
  <c r="BX18" i="15" s="1"/>
  <c r="BY18" i="15" s="1"/>
  <c r="BV17" i="15"/>
  <c r="BW17" i="15" s="1"/>
  <c r="BX17" i="15" s="1"/>
  <c r="BY17" i="15" s="1"/>
  <c r="BV22" i="15"/>
  <c r="BW22" i="15" s="1"/>
  <c r="BX22" i="15" s="1"/>
  <c r="BY22" i="15" s="1"/>
  <c r="BV11" i="15"/>
  <c r="BW11" i="15" s="1"/>
  <c r="BX11" i="15" s="1"/>
  <c r="BY11" i="15" s="1"/>
  <c r="BV20" i="15"/>
  <c r="BW20" i="15" s="1"/>
  <c r="BX20" i="15" s="1"/>
  <c r="BY20" i="15" s="1"/>
  <c r="BV14" i="15"/>
  <c r="BW14" i="15" s="1"/>
  <c r="BX14" i="15" s="1"/>
  <c r="BY14" i="15" s="1"/>
  <c r="BV19" i="15"/>
  <c r="BW19" i="15" s="1"/>
  <c r="BX19" i="15" s="1"/>
  <c r="BY19" i="15" s="1"/>
  <c r="BV13" i="15"/>
  <c r="BW13" i="15" s="1"/>
  <c r="BX13" i="15" s="1"/>
  <c r="BY13" i="15" s="1"/>
  <c r="BV16" i="15"/>
  <c r="BW16" i="15" s="1"/>
  <c r="BX16" i="15" s="1"/>
  <c r="BY16" i="15" s="1"/>
  <c r="BV12" i="15"/>
  <c r="BW12" i="15" s="1"/>
  <c r="BX12" i="15" s="1"/>
  <c r="BY12" i="15" s="1"/>
  <c r="BV10" i="15"/>
  <c r="BW10" i="15" s="1"/>
  <c r="E12" i="19"/>
  <c r="C47" i="19" s="1"/>
  <c r="E19" i="19"/>
  <c r="C54" i="19" s="1"/>
  <c r="D61" i="19"/>
  <c r="E17" i="19"/>
  <c r="C52" i="19" s="1"/>
  <c r="E23" i="19"/>
  <c r="C58" i="19" s="1"/>
  <c r="E30" i="19"/>
  <c r="C65" i="19" s="1"/>
  <c r="D49" i="19"/>
  <c r="U30" i="19"/>
  <c r="O65" i="19" s="1"/>
  <c r="D67" i="19"/>
  <c r="R16" i="19"/>
  <c r="I21" i="19"/>
  <c r="U24" i="19"/>
  <c r="O59" i="19" s="1"/>
  <c r="E51" i="19"/>
  <c r="F51" i="19" s="1"/>
  <c r="S16" i="19"/>
  <c r="E57" i="19"/>
  <c r="F57" i="19" s="1"/>
  <c r="S27" i="19"/>
  <c r="G15" i="19"/>
  <c r="E15" i="19" s="1"/>
  <c r="C50" i="19" s="1"/>
  <c r="I15" i="19"/>
  <c r="G34" i="19"/>
  <c r="U12" i="19"/>
  <c r="O47" i="19" s="1"/>
  <c r="I32" i="19"/>
  <c r="I34" i="19"/>
  <c r="R27" i="19"/>
  <c r="E13" i="19"/>
  <c r="C48" i="19" s="1"/>
  <c r="R15" i="19"/>
  <c r="R32" i="19"/>
  <c r="U32" i="19" s="1"/>
  <c r="O67" i="19" s="1"/>
  <c r="S15" i="19"/>
  <c r="E22" i="19"/>
  <c r="C57" i="19" s="1"/>
  <c r="E24" i="19"/>
  <c r="C59" i="19" s="1"/>
  <c r="G28" i="19"/>
  <c r="R34" i="19"/>
  <c r="S28" i="19"/>
  <c r="D55" i="19"/>
  <c r="E62" i="19"/>
  <c r="F62" i="19" s="1"/>
  <c r="R22" i="19"/>
  <c r="G27" i="19"/>
  <c r="E27" i="19" s="1"/>
  <c r="C62" i="19" s="1"/>
  <c r="R33" i="19"/>
  <c r="E68" i="19"/>
  <c r="F68" i="19" s="1"/>
  <c r="R28" i="19"/>
  <c r="G21" i="19"/>
  <c r="D56" i="19" s="1"/>
  <c r="C46" i="19"/>
  <c r="E46" i="19"/>
  <c r="F46" i="19" s="1"/>
  <c r="I11" i="19"/>
  <c r="U31" i="19"/>
  <c r="O66" i="19" s="1"/>
  <c r="U13" i="19"/>
  <c r="O48" i="19" s="1"/>
  <c r="U19" i="19"/>
  <c r="O54" i="19" s="1"/>
  <c r="U25" i="19"/>
  <c r="O60" i="19" s="1"/>
  <c r="U16" i="19"/>
  <c r="O51" i="19" s="1"/>
  <c r="U11" i="19"/>
  <c r="O46" i="19" s="1"/>
  <c r="U17" i="19"/>
  <c r="O52" i="19" s="1"/>
  <c r="U23" i="19"/>
  <c r="O58" i="19" s="1"/>
  <c r="U29" i="19"/>
  <c r="O64" i="19" s="1"/>
  <c r="D62" i="19"/>
  <c r="U26" i="19"/>
  <c r="O61" i="19" s="1"/>
  <c r="E21" i="19"/>
  <c r="C56" i="19" s="1"/>
  <c r="E33" i="19"/>
  <c r="C68" i="19" s="1"/>
  <c r="D46" i="17"/>
  <c r="U30" i="17"/>
  <c r="O65" i="17" s="1"/>
  <c r="I28" i="17"/>
  <c r="I34" i="17"/>
  <c r="U11" i="17"/>
  <c r="O46" i="17" s="1"/>
  <c r="U29" i="17"/>
  <c r="O64" i="17" s="1"/>
  <c r="S30" i="17"/>
  <c r="E62" i="17"/>
  <c r="F62" i="17" s="1"/>
  <c r="I30" i="17"/>
  <c r="R27" i="17"/>
  <c r="R33" i="17"/>
  <c r="S27" i="17"/>
  <c r="S33" i="17"/>
  <c r="E65" i="17"/>
  <c r="F65" i="17" s="1"/>
  <c r="I33" i="17"/>
  <c r="BR33" i="15"/>
  <c r="BS33" i="15" s="1"/>
  <c r="BR34" i="15"/>
  <c r="BS34" i="15" s="1"/>
  <c r="BR35" i="15"/>
  <c r="BS35" i="15" s="1"/>
  <c r="BR36" i="15"/>
  <c r="BS36" i="15" s="1"/>
  <c r="BR37" i="15"/>
  <c r="BS37" i="15" s="1"/>
  <c r="BR38" i="15"/>
  <c r="BS38" i="15" s="1"/>
  <c r="BR39" i="15"/>
  <c r="BS39" i="15" s="1"/>
  <c r="BR40" i="15"/>
  <c r="BS40" i="15" s="1"/>
  <c r="BR41" i="15"/>
  <c r="BS41" i="15" s="1"/>
  <c r="BR42" i="15"/>
  <c r="BS42" i="15" s="1"/>
  <c r="BR43" i="15"/>
  <c r="BS43" i="15" s="1"/>
  <c r="BR44" i="15"/>
  <c r="BS44" i="15" s="1"/>
  <c r="BR45" i="15"/>
  <c r="BS45" i="15" s="1"/>
  <c r="BR46" i="15"/>
  <c r="BS46" i="15" s="1"/>
  <c r="BR47" i="15"/>
  <c r="BS47" i="15" s="1"/>
  <c r="BR32" i="15"/>
  <c r="BS32" i="15" s="1"/>
  <c r="BO33" i="15"/>
  <c r="BO34" i="15"/>
  <c r="BO35" i="15"/>
  <c r="BO36" i="15"/>
  <c r="BO37" i="15"/>
  <c r="BO39" i="15"/>
  <c r="BO40" i="15"/>
  <c r="BO41" i="15"/>
  <c r="BO42" i="15"/>
  <c r="BO43" i="15"/>
  <c r="BO44" i="15"/>
  <c r="BO45" i="15"/>
  <c r="BO46" i="15"/>
  <c r="BO47" i="15"/>
  <c r="BO49" i="15"/>
  <c r="BJ33" i="15"/>
  <c r="BK33" i="15" s="1"/>
  <c r="BJ34" i="15"/>
  <c r="BK34" i="15" s="1"/>
  <c r="BJ35" i="15"/>
  <c r="BK35" i="15" s="1"/>
  <c r="BJ36" i="15"/>
  <c r="BK36" i="15" s="1"/>
  <c r="BJ37" i="15"/>
  <c r="BK37" i="15" s="1"/>
  <c r="BJ39" i="15"/>
  <c r="BK39" i="15" s="1"/>
  <c r="BJ40" i="15"/>
  <c r="BK40" i="15" s="1"/>
  <c r="BJ41" i="15"/>
  <c r="BK41" i="15" s="1"/>
  <c r="BJ42" i="15"/>
  <c r="BK42" i="15" s="1"/>
  <c r="BJ43" i="15"/>
  <c r="BK43" i="15" s="1"/>
  <c r="BJ44" i="15"/>
  <c r="BK44" i="15" s="1"/>
  <c r="BJ45" i="15"/>
  <c r="BK45" i="15" s="1"/>
  <c r="BJ46" i="15"/>
  <c r="BK46" i="15" s="1"/>
  <c r="BJ47" i="15"/>
  <c r="BK47" i="15" s="1"/>
  <c r="BJ48" i="15"/>
  <c r="BK48" i="15" s="1"/>
  <c r="BJ49" i="15"/>
  <c r="BK49" i="15" s="1"/>
  <c r="BJ50" i="15"/>
  <c r="BK50" i="15" s="1"/>
  <c r="BJ51" i="15"/>
  <c r="BK51" i="15" s="1"/>
  <c r="BJ52" i="15"/>
  <c r="BK52" i="15" s="1"/>
  <c r="BJ53" i="15"/>
  <c r="BK53" i="15" s="1"/>
  <c r="BJ54" i="15"/>
  <c r="BK54" i="15" s="1"/>
  <c r="BJ55" i="15"/>
  <c r="BK55" i="15" s="1"/>
  <c r="BJ32" i="15"/>
  <c r="BK32" i="15" s="1"/>
  <c r="H19" i="15"/>
  <c r="G15" i="10"/>
  <c r="E15" i="10" s="1"/>
  <c r="G16" i="10"/>
  <c r="E16" i="10" s="1"/>
  <c r="BC33" i="15"/>
  <c r="BC32" i="15"/>
  <c r="BD30" i="15"/>
  <c r="E46" i="16"/>
  <c r="F46" i="16" s="1"/>
  <c r="D46" i="16"/>
  <c r="C46" i="16"/>
  <c r="J42" i="16"/>
  <c r="J41" i="16"/>
  <c r="J40" i="16"/>
  <c r="S11" i="16"/>
  <c r="R11" i="16"/>
  <c r="U11" i="16" s="1"/>
  <c r="O46" i="16" s="1"/>
  <c r="I11" i="16"/>
  <c r="N7" i="16"/>
  <c r="N6" i="16"/>
  <c r="N5" i="16"/>
  <c r="A1" i="16"/>
  <c r="BD16" i="15"/>
  <c r="G17" i="10"/>
  <c r="E17" i="10" s="1"/>
  <c r="BO27" i="15"/>
  <c r="BN27" i="15"/>
  <c r="BH26" i="15"/>
  <c r="J7" i="8"/>
  <c r="J8" i="8"/>
  <c r="J6" i="8"/>
  <c r="J19" i="8"/>
  <c r="J20" i="8"/>
  <c r="J21" i="8"/>
  <c r="J22" i="8"/>
  <c r="J23" i="8"/>
  <c r="J24" i="8"/>
  <c r="J18" i="8"/>
  <c r="J10" i="8"/>
  <c r="J11" i="8"/>
  <c r="J12" i="8"/>
  <c r="J9" i="8"/>
  <c r="BD17" i="15"/>
  <c r="BD15" i="15"/>
  <c r="BX10" i="15" l="1"/>
  <c r="BY10" i="15" s="1"/>
  <c r="U28" i="19"/>
  <c r="O63" i="19" s="1"/>
  <c r="U33" i="19"/>
  <c r="O68" i="19" s="1"/>
  <c r="U15" i="19"/>
  <c r="O50" i="19" s="1"/>
  <c r="U22" i="19"/>
  <c r="O57" i="19" s="1"/>
  <c r="D51" i="19"/>
  <c r="C51" i="19"/>
  <c r="U27" i="19"/>
  <c r="O62" i="19" s="1"/>
  <c r="D50" i="19"/>
  <c r="U34" i="19"/>
  <c r="O69" i="19" s="1"/>
  <c r="D63" i="19"/>
  <c r="E28" i="19"/>
  <c r="C63" i="19" s="1"/>
  <c r="D69" i="19"/>
  <c r="E34" i="19"/>
  <c r="C69" i="19" s="1"/>
  <c r="U33" i="17"/>
  <c r="O68" i="17" s="1"/>
  <c r="U27" i="17"/>
  <c r="O62" i="17" s="1"/>
  <c r="BD18" i="15"/>
  <c r="BD19" i="15" s="1"/>
  <c r="BI14" i="15" s="1"/>
  <c r="K19" i="8"/>
  <c r="K20" i="8"/>
  <c r="K21" i="8"/>
  <c r="K22" i="8"/>
  <c r="K23" i="8"/>
  <c r="K24" i="8"/>
  <c r="K18" i="8"/>
  <c r="K7" i="8"/>
  <c r="K8" i="8"/>
  <c r="K6" i="8"/>
  <c r="K10" i="8"/>
  <c r="K11" i="8"/>
  <c r="K12" i="8"/>
  <c r="K9" i="8"/>
  <c r="D6" i="15"/>
  <c r="C18" i="15"/>
  <c r="I19" i="15"/>
  <c r="J19" i="15"/>
  <c r="D7" i="15"/>
  <c r="D8" i="15"/>
  <c r="D9" i="15"/>
  <c r="D10" i="15"/>
  <c r="D11" i="15"/>
  <c r="D12" i="15"/>
  <c r="D13" i="15"/>
  <c r="D14" i="15"/>
  <c r="D15" i="15"/>
  <c r="D16" i="15"/>
  <c r="C19" i="8"/>
  <c r="D19" i="8"/>
  <c r="C20" i="8"/>
  <c r="D20" i="8"/>
  <c r="C21" i="8"/>
  <c r="D21" i="8"/>
  <c r="C22" i="8"/>
  <c r="D22" i="8"/>
  <c r="C23" i="8"/>
  <c r="D23" i="8"/>
  <c r="C24" i="8"/>
  <c r="D24" i="8"/>
  <c r="D18" i="8"/>
  <c r="C18" i="8"/>
  <c r="C7" i="8"/>
  <c r="D7" i="8"/>
  <c r="C8" i="8"/>
  <c r="D8" i="8"/>
  <c r="D6" i="8"/>
  <c r="C6" i="8"/>
  <c r="C10" i="8"/>
  <c r="D10" i="8"/>
  <c r="C11" i="8"/>
  <c r="D11" i="8"/>
  <c r="C12" i="8"/>
  <c r="D12" i="8"/>
  <c r="D9" i="8"/>
  <c r="C9" i="8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J42" i="1"/>
  <c r="K42" i="1"/>
  <c r="L42" i="1"/>
  <c r="I42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J9" i="1"/>
  <c r="L9" i="1"/>
  <c r="I9" i="1"/>
  <c r="BK57" i="15" l="1"/>
  <c r="BJ23" i="15"/>
  <c r="BI18" i="15"/>
  <c r="BI24" i="15"/>
  <c r="BJ15" i="15"/>
  <c r="BJ19" i="15"/>
  <c r="BJ25" i="15"/>
  <c r="BI20" i="15"/>
  <c r="D18" i="15"/>
  <c r="BJ28" i="15" l="1"/>
  <c r="BI28" i="15"/>
  <c r="BJ16" i="15"/>
  <c r="BJ24" i="15"/>
  <c r="BI23" i="15"/>
  <c r="BI25" i="15"/>
  <c r="BJ27" i="15" s="1"/>
  <c r="BJ17" i="15"/>
  <c r="BI19" i="15"/>
  <c r="BI16" i="15"/>
  <c r="BJ21" i="15"/>
  <c r="BJ18" i="15"/>
  <c r="BI21" i="15"/>
  <c r="BI15" i="15"/>
  <c r="BI17" i="15"/>
  <c r="BJ20" i="15"/>
  <c r="BJ22" i="15"/>
  <c r="BJ14" i="15"/>
  <c r="BI22" i="15"/>
  <c r="DB22" i="15"/>
  <c r="DC22" i="15" s="1"/>
  <c r="DB17" i="15"/>
  <c r="DC17" i="15" s="1"/>
  <c r="DB20" i="15"/>
  <c r="DC20" i="15" s="1"/>
  <c r="DB23" i="15"/>
  <c r="DC23" i="15" s="1"/>
  <c r="DB26" i="15"/>
  <c r="DC26" i="15" s="1"/>
  <c r="DB18" i="15"/>
  <c r="DC18" i="15" s="1"/>
  <c r="DB16" i="15"/>
  <c r="DC16" i="15" s="1"/>
  <c r="DB24" i="15"/>
  <c r="DC24" i="15" s="1"/>
  <c r="DB27" i="15"/>
  <c r="DC27" i="15" s="1"/>
  <c r="DB19" i="15"/>
  <c r="DC19" i="15" s="1"/>
  <c r="DB21" i="15"/>
  <c r="DC21" i="15" s="1"/>
  <c r="DB25" i="15"/>
  <c r="DC25" i="15" s="1"/>
  <c r="E19" i="15" l="1"/>
  <c r="M21" i="15" s="1"/>
  <c r="M22" i="15" s="1"/>
  <c r="M23" i="15" s="1"/>
  <c r="BI26" i="15"/>
  <c r="BJ26" i="15"/>
  <c r="A1" i="6"/>
  <c r="A1" i="2"/>
  <c r="A1" i="1"/>
  <c r="A1" i="12"/>
  <c r="A1" i="10"/>
  <c r="B1" i="9"/>
  <c r="B3" i="5"/>
  <c r="E47" i="10"/>
  <c r="F47" i="10" s="1"/>
  <c r="G13" i="10"/>
  <c r="E13" i="10" s="1"/>
  <c r="C48" i="10" s="1"/>
  <c r="G14" i="10"/>
  <c r="I15" i="10"/>
  <c r="E51" i="10"/>
  <c r="F51" i="10" s="1"/>
  <c r="E54" i="10"/>
  <c r="F54" i="10" s="1"/>
  <c r="I20" i="10"/>
  <c r="G21" i="10"/>
  <c r="G22" i="10"/>
  <c r="G25" i="10"/>
  <c r="G26" i="10"/>
  <c r="G29" i="10"/>
  <c r="G30" i="10"/>
  <c r="S31" i="10"/>
  <c r="I32" i="10"/>
  <c r="G33" i="10"/>
  <c r="G34" i="10"/>
  <c r="P45" i="9"/>
  <c r="P15" i="9"/>
  <c r="D39" i="9"/>
  <c r="D40" i="9"/>
  <c r="D41" i="9"/>
  <c r="D42" i="9"/>
  <c r="D43" i="9"/>
  <c r="D44" i="9"/>
  <c r="D45" i="9"/>
  <c r="D46" i="9"/>
  <c r="D47" i="9"/>
  <c r="E47" i="9" s="1"/>
  <c r="D48" i="9"/>
  <c r="D49" i="9"/>
  <c r="D50" i="9"/>
  <c r="D51" i="9"/>
  <c r="D52" i="9"/>
  <c r="D53" i="9"/>
  <c r="D54" i="9"/>
  <c r="D55" i="9"/>
  <c r="D56" i="9"/>
  <c r="D57" i="9"/>
  <c r="D58" i="9"/>
  <c r="D59" i="9"/>
  <c r="E59" i="9" s="1"/>
  <c r="D38" i="9"/>
  <c r="D43" i="6"/>
  <c r="D44" i="6"/>
  <c r="F44" i="6" s="1"/>
  <c r="D45" i="6"/>
  <c r="D46" i="6"/>
  <c r="D47" i="6"/>
  <c r="D48" i="6"/>
  <c r="F48" i="6" s="1"/>
  <c r="D49" i="6"/>
  <c r="D50" i="6"/>
  <c r="D51" i="6"/>
  <c r="F51" i="6" s="1"/>
  <c r="I51" i="6" s="1"/>
  <c r="D52" i="6"/>
  <c r="F52" i="6"/>
  <c r="D53" i="6"/>
  <c r="D54" i="6"/>
  <c r="D55" i="6"/>
  <c r="D56" i="6"/>
  <c r="F56" i="6" s="1"/>
  <c r="D57" i="6"/>
  <c r="F57" i="6" s="1"/>
  <c r="D58" i="6"/>
  <c r="D59" i="6"/>
  <c r="D60" i="6"/>
  <c r="F60" i="6"/>
  <c r="D61" i="6"/>
  <c r="D62" i="6"/>
  <c r="D63" i="6"/>
  <c r="D64" i="6"/>
  <c r="F64" i="6"/>
  <c r="D65" i="6"/>
  <c r="D66" i="6"/>
  <c r="D67" i="6"/>
  <c r="C44" i="6"/>
  <c r="C45" i="6"/>
  <c r="C46" i="6"/>
  <c r="E46" i="6"/>
  <c r="H46" i="6" s="1"/>
  <c r="C47" i="6"/>
  <c r="E47" i="6"/>
  <c r="C48" i="6"/>
  <c r="E48" i="6"/>
  <c r="C49" i="6"/>
  <c r="C50" i="6"/>
  <c r="E50" i="6" s="1"/>
  <c r="H50" i="6" s="1"/>
  <c r="C51" i="6"/>
  <c r="E51" i="6" s="1"/>
  <c r="C52" i="6"/>
  <c r="E52" i="6"/>
  <c r="C53" i="6"/>
  <c r="E53" i="6" s="1"/>
  <c r="C54" i="6"/>
  <c r="E54" i="6"/>
  <c r="C55" i="6"/>
  <c r="E55" i="6"/>
  <c r="C56" i="6"/>
  <c r="E56" i="6"/>
  <c r="C57" i="6"/>
  <c r="C58" i="6"/>
  <c r="E58" i="6" s="1"/>
  <c r="H58" i="6" s="1"/>
  <c r="C59" i="6"/>
  <c r="E59" i="6"/>
  <c r="C60" i="6"/>
  <c r="E60" i="6" s="1"/>
  <c r="C61" i="6"/>
  <c r="C62" i="6"/>
  <c r="E62" i="6"/>
  <c r="C63" i="6"/>
  <c r="E63" i="6"/>
  <c r="C64" i="6"/>
  <c r="E64" i="6"/>
  <c r="C65" i="6"/>
  <c r="C66" i="6"/>
  <c r="E66" i="6"/>
  <c r="C67" i="6"/>
  <c r="E67" i="6" s="1"/>
  <c r="C43" i="6"/>
  <c r="V14" i="11"/>
  <c r="C34" i="12"/>
  <c r="C35" i="12"/>
  <c r="D35" i="12"/>
  <c r="C36" i="12"/>
  <c r="C37" i="12"/>
  <c r="D37" i="12" s="1"/>
  <c r="C38" i="12"/>
  <c r="C39" i="12"/>
  <c r="D39" i="12"/>
  <c r="C40" i="12"/>
  <c r="C41" i="12"/>
  <c r="D41" i="12" s="1"/>
  <c r="C42" i="12"/>
  <c r="C43" i="12"/>
  <c r="D43" i="12"/>
  <c r="C44" i="12"/>
  <c r="C45" i="12"/>
  <c r="C46" i="12"/>
  <c r="C47" i="12"/>
  <c r="D47" i="12"/>
  <c r="C48" i="12"/>
  <c r="D48" i="12" s="1"/>
  <c r="C33" i="12"/>
  <c r="D33" i="12"/>
  <c r="E48" i="10"/>
  <c r="F48" i="10" s="1"/>
  <c r="E46" i="10"/>
  <c r="F46" i="10" s="1"/>
  <c r="R13" i="10"/>
  <c r="U13" i="10" s="1"/>
  <c r="O48" i="10" s="1"/>
  <c r="R21" i="10"/>
  <c r="U21" i="10" s="1"/>
  <c r="O56" i="10" s="1"/>
  <c r="R11" i="10"/>
  <c r="U11" i="10" s="1"/>
  <c r="O46" i="10" s="1"/>
  <c r="D47" i="10"/>
  <c r="D50" i="10"/>
  <c r="D51" i="10"/>
  <c r="D52" i="10"/>
  <c r="D53" i="10"/>
  <c r="D46" i="10"/>
  <c r="C47" i="10"/>
  <c r="C50" i="10"/>
  <c r="C51" i="10"/>
  <c r="C52" i="10"/>
  <c r="C53" i="10"/>
  <c r="C46" i="10"/>
  <c r="J40" i="10"/>
  <c r="J41" i="10"/>
  <c r="S11" i="10"/>
  <c r="S13" i="10"/>
  <c r="S19" i="10"/>
  <c r="S27" i="10"/>
  <c r="N5" i="10"/>
  <c r="I27" i="10"/>
  <c r="N6" i="10"/>
  <c r="W51" i="6"/>
  <c r="E44" i="6"/>
  <c r="E45" i="6"/>
  <c r="F45" i="6"/>
  <c r="F46" i="6"/>
  <c r="F47" i="6"/>
  <c r="I47" i="6" s="1"/>
  <c r="E49" i="6"/>
  <c r="F49" i="6"/>
  <c r="F50" i="6"/>
  <c r="F53" i="6"/>
  <c r="F54" i="6"/>
  <c r="F55" i="6"/>
  <c r="E57" i="6"/>
  <c r="F58" i="6"/>
  <c r="F59" i="6"/>
  <c r="I59" i="6" s="1"/>
  <c r="E61" i="6"/>
  <c r="F61" i="6"/>
  <c r="F62" i="6"/>
  <c r="F63" i="6"/>
  <c r="E65" i="6"/>
  <c r="F65" i="6"/>
  <c r="F66" i="6"/>
  <c r="F67" i="6"/>
  <c r="E43" i="6"/>
  <c r="F43" i="6"/>
  <c r="W16" i="6"/>
  <c r="E9" i="6"/>
  <c r="H9" i="6" s="1"/>
  <c r="F9" i="6"/>
  <c r="E10" i="6"/>
  <c r="F10" i="6"/>
  <c r="E11" i="6"/>
  <c r="F11" i="6"/>
  <c r="L11" i="6"/>
  <c r="E12" i="6"/>
  <c r="F12" i="6"/>
  <c r="E13" i="6"/>
  <c r="F13" i="6"/>
  <c r="E14" i="6"/>
  <c r="F14" i="6"/>
  <c r="L14" i="6" s="1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I32" i="6" s="1"/>
  <c r="E8" i="6"/>
  <c r="F8" i="6"/>
  <c r="W15" i="6"/>
  <c r="H30" i="6"/>
  <c r="O41" i="12"/>
  <c r="O13" i="12"/>
  <c r="O15" i="12"/>
  <c r="D8" i="12"/>
  <c r="I11" i="10"/>
  <c r="I13" i="10"/>
  <c r="I16" i="10"/>
  <c r="I18" i="10"/>
  <c r="I22" i="10"/>
  <c r="I24" i="10"/>
  <c r="P14" i="9"/>
  <c r="P43" i="9"/>
  <c r="P44" i="9"/>
  <c r="C25" i="8"/>
  <c r="M42" i="6" s="1"/>
  <c r="J25" i="8"/>
  <c r="J31" i="8"/>
  <c r="J42" i="10" s="1"/>
  <c r="D25" i="8"/>
  <c r="J13" i="8"/>
  <c r="D13" i="8"/>
  <c r="H116" i="8"/>
  <c r="J116" i="8"/>
  <c r="H117" i="8"/>
  <c r="J117" i="8"/>
  <c r="H118" i="8"/>
  <c r="J118" i="8"/>
  <c r="H119" i="8"/>
  <c r="J119" i="8"/>
  <c r="H120" i="8"/>
  <c r="J120" i="8"/>
  <c r="H121" i="8"/>
  <c r="J121" i="8"/>
  <c r="H122" i="8"/>
  <c r="J122" i="8"/>
  <c r="H123" i="8"/>
  <c r="J123" i="8"/>
  <c r="H124" i="8"/>
  <c r="J124" i="8"/>
  <c r="H125" i="8"/>
  <c r="J125" i="8"/>
  <c r="H126" i="8"/>
  <c r="J126" i="8"/>
  <c r="H127" i="8"/>
  <c r="J127" i="8"/>
  <c r="H128" i="8"/>
  <c r="J128" i="8"/>
  <c r="H129" i="8"/>
  <c r="J129" i="8"/>
  <c r="H130" i="8"/>
  <c r="J130" i="8"/>
  <c r="H131" i="8"/>
  <c r="J131" i="8"/>
  <c r="H132" i="8"/>
  <c r="J132" i="8"/>
  <c r="H133" i="8"/>
  <c r="J133" i="8"/>
  <c r="H134" i="8"/>
  <c r="J134" i="8"/>
  <c r="H135" i="8"/>
  <c r="J135" i="8"/>
  <c r="H136" i="8"/>
  <c r="J136" i="8"/>
  <c r="H137" i="8"/>
  <c r="J137" i="8"/>
  <c r="H138" i="8"/>
  <c r="J138" i="8"/>
  <c r="J115" i="8"/>
  <c r="H115" i="8"/>
  <c r="D18" i="12"/>
  <c r="E17" i="9"/>
  <c r="W50" i="6"/>
  <c r="H45" i="6" s="1"/>
  <c r="B64" i="3"/>
  <c r="O64" i="3"/>
  <c r="B51" i="3"/>
  <c r="F51" i="3"/>
  <c r="D51" i="3" s="1"/>
  <c r="O51" i="3"/>
  <c r="R51" i="3" s="1"/>
  <c r="B31" i="3"/>
  <c r="O31" i="3"/>
  <c r="W31" i="3" s="1"/>
  <c r="B18" i="3"/>
  <c r="O18" i="3"/>
  <c r="H32" i="1"/>
  <c r="H19" i="1"/>
  <c r="C32" i="1"/>
  <c r="C19" i="1"/>
  <c r="H65" i="1"/>
  <c r="H52" i="1"/>
  <c r="C65" i="1"/>
  <c r="C52" i="1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B65" i="3"/>
  <c r="O65" i="3"/>
  <c r="S65" i="3" s="1"/>
  <c r="B32" i="3"/>
  <c r="E32" i="3"/>
  <c r="O32" i="3"/>
  <c r="S32" i="3" s="1"/>
  <c r="D67" i="1"/>
  <c r="E67" i="1"/>
  <c r="F67" i="1"/>
  <c r="G67" i="1"/>
  <c r="I67" i="1"/>
  <c r="J67" i="1"/>
  <c r="C19" i="5" s="1"/>
  <c r="J19" i="5" s="1"/>
  <c r="K67" i="1"/>
  <c r="L67" i="1"/>
  <c r="C66" i="1"/>
  <c r="H66" i="1"/>
  <c r="B66" i="1" s="1"/>
  <c r="D34" i="1"/>
  <c r="E34" i="1"/>
  <c r="F34" i="1"/>
  <c r="G34" i="1"/>
  <c r="I34" i="1"/>
  <c r="C12" i="5" s="1"/>
  <c r="J34" i="1"/>
  <c r="C13" i="5" s="1"/>
  <c r="K34" i="1"/>
  <c r="L34" i="1"/>
  <c r="C15" i="5" s="1"/>
  <c r="C33" i="1"/>
  <c r="H33" i="1"/>
  <c r="B33" i="1" s="1"/>
  <c r="O38" i="12"/>
  <c r="P46" i="9"/>
  <c r="P16" i="9"/>
  <c r="V39" i="11"/>
  <c r="O16" i="12"/>
  <c r="O40" i="12"/>
  <c r="R19" i="5"/>
  <c r="R20" i="5"/>
  <c r="R21" i="5"/>
  <c r="H38" i="2"/>
  <c r="R13" i="5"/>
  <c r="R14" i="5"/>
  <c r="R15" i="5"/>
  <c r="H19" i="2"/>
  <c r="G25" i="8"/>
  <c r="Q31" i="11" s="1"/>
  <c r="F25" i="8"/>
  <c r="P31" i="11" s="1"/>
  <c r="G13" i="8"/>
  <c r="Q6" i="11" s="1"/>
  <c r="F13" i="8"/>
  <c r="P6" i="11" s="1"/>
  <c r="F32" i="3"/>
  <c r="K32" i="3"/>
  <c r="A1" i="4"/>
  <c r="K25" i="8"/>
  <c r="P42" i="9" s="1"/>
  <c r="I25" i="8"/>
  <c r="P33" i="4"/>
  <c r="P34" i="4"/>
  <c r="AA34" i="4" s="1"/>
  <c r="T34" i="4"/>
  <c r="P35" i="4"/>
  <c r="V35" i="4" s="1"/>
  <c r="P36" i="4"/>
  <c r="P37" i="4"/>
  <c r="AA37" i="4"/>
  <c r="P38" i="4"/>
  <c r="AA38" i="4" s="1"/>
  <c r="U38" i="4"/>
  <c r="R38" i="4" s="1"/>
  <c r="P39" i="4"/>
  <c r="Y39" i="4" s="1"/>
  <c r="P40" i="4"/>
  <c r="U40" i="4" s="1"/>
  <c r="P41" i="4"/>
  <c r="S41" i="4" s="1"/>
  <c r="P42" i="4"/>
  <c r="S42" i="4" s="1"/>
  <c r="V42" i="4"/>
  <c r="P43" i="4"/>
  <c r="S43" i="4" s="1"/>
  <c r="R43" i="4" s="1"/>
  <c r="Q43" i="4" s="1"/>
  <c r="Z43" i="4"/>
  <c r="P44" i="4"/>
  <c r="AA44" i="4" s="1"/>
  <c r="P45" i="4"/>
  <c r="S45" i="4" s="1"/>
  <c r="P46" i="4"/>
  <c r="P47" i="4"/>
  <c r="V47" i="4"/>
  <c r="H25" i="8"/>
  <c r="Q19" i="5"/>
  <c r="Q20" i="5"/>
  <c r="Q21" i="5"/>
  <c r="E25" i="8"/>
  <c r="K13" i="8"/>
  <c r="P12" i="9" s="1"/>
  <c r="I13" i="8"/>
  <c r="H13" i="8"/>
  <c r="E13" i="8"/>
  <c r="L49" i="2"/>
  <c r="K49" i="2"/>
  <c r="J49" i="2"/>
  <c r="I49" i="2"/>
  <c r="G49" i="2"/>
  <c r="F49" i="2"/>
  <c r="E49" i="2"/>
  <c r="D49" i="2"/>
  <c r="H48" i="2"/>
  <c r="C48" i="2"/>
  <c r="B48" i="2"/>
  <c r="H47" i="2"/>
  <c r="C47" i="2"/>
  <c r="B47" i="2"/>
  <c r="H46" i="2"/>
  <c r="B46" i="2"/>
  <c r="C46" i="2"/>
  <c r="H45" i="2"/>
  <c r="B45" i="2" s="1"/>
  <c r="C45" i="2"/>
  <c r="H44" i="2"/>
  <c r="C44" i="2"/>
  <c r="B44" i="2" s="1"/>
  <c r="H43" i="2"/>
  <c r="C43" i="2"/>
  <c r="H42" i="2"/>
  <c r="C42" i="2"/>
  <c r="B42" i="2"/>
  <c r="H41" i="2"/>
  <c r="B41" i="2"/>
  <c r="C41" i="2"/>
  <c r="H40" i="2"/>
  <c r="B40" i="2" s="1"/>
  <c r="C40" i="2"/>
  <c r="H39" i="2"/>
  <c r="C39" i="2"/>
  <c r="C38" i="2"/>
  <c r="B38" i="2"/>
  <c r="H37" i="2"/>
  <c r="C37" i="2"/>
  <c r="B37" i="2" s="1"/>
  <c r="H36" i="2"/>
  <c r="C36" i="2"/>
  <c r="B36" i="2" s="1"/>
  <c r="H35" i="2"/>
  <c r="C35" i="2"/>
  <c r="H34" i="2"/>
  <c r="C34" i="2"/>
  <c r="L24" i="2"/>
  <c r="K24" i="2"/>
  <c r="J24" i="2"/>
  <c r="I24" i="2"/>
  <c r="G24" i="2"/>
  <c r="F24" i="2"/>
  <c r="E24" i="2"/>
  <c r="D24" i="2"/>
  <c r="H23" i="2"/>
  <c r="C23" i="2"/>
  <c r="B23" i="2"/>
  <c r="H22" i="2"/>
  <c r="C22" i="2"/>
  <c r="B22" i="2"/>
  <c r="H21" i="2"/>
  <c r="B21" i="2"/>
  <c r="C21" i="2"/>
  <c r="H20" i="2"/>
  <c r="B20" i="2" s="1"/>
  <c r="C20" i="2"/>
  <c r="C19" i="2"/>
  <c r="B19" i="2"/>
  <c r="H18" i="2"/>
  <c r="C18" i="2"/>
  <c r="B18" i="2"/>
  <c r="H17" i="2"/>
  <c r="C17" i="2"/>
  <c r="B17" i="2"/>
  <c r="H16" i="2"/>
  <c r="C16" i="2"/>
  <c r="B16" i="2" s="1"/>
  <c r="H15" i="2"/>
  <c r="B15" i="2" s="1"/>
  <c r="C15" i="2"/>
  <c r="H14" i="2"/>
  <c r="C14" i="2"/>
  <c r="B14" i="2" s="1"/>
  <c r="H13" i="2"/>
  <c r="C13" i="2"/>
  <c r="B13" i="2"/>
  <c r="H12" i="2"/>
  <c r="C12" i="2"/>
  <c r="H11" i="2"/>
  <c r="C11" i="2"/>
  <c r="B11" i="2" s="1"/>
  <c r="H10" i="2"/>
  <c r="C10" i="2"/>
  <c r="B10" i="2" s="1"/>
  <c r="H9" i="2"/>
  <c r="B9" i="2"/>
  <c r="C9" i="2"/>
  <c r="H64" i="1"/>
  <c r="C64" i="1"/>
  <c r="H63" i="1"/>
  <c r="C63" i="1"/>
  <c r="H62" i="1"/>
  <c r="C62" i="1"/>
  <c r="H61" i="1"/>
  <c r="B61" i="1" s="1"/>
  <c r="C61" i="1"/>
  <c r="H60" i="1"/>
  <c r="B60" i="1" s="1"/>
  <c r="C60" i="1"/>
  <c r="H59" i="1"/>
  <c r="B59" i="1" s="1"/>
  <c r="C59" i="1"/>
  <c r="H58" i="1"/>
  <c r="C58" i="1"/>
  <c r="H57" i="1"/>
  <c r="C57" i="1"/>
  <c r="H56" i="1"/>
  <c r="C56" i="1"/>
  <c r="H55" i="1"/>
  <c r="C55" i="1"/>
  <c r="H54" i="1"/>
  <c r="C54" i="1"/>
  <c r="H53" i="1"/>
  <c r="B53" i="1" s="1"/>
  <c r="C53" i="1"/>
  <c r="H51" i="1"/>
  <c r="C51" i="1"/>
  <c r="H50" i="1"/>
  <c r="C50" i="1"/>
  <c r="H49" i="1"/>
  <c r="B49" i="1" s="1"/>
  <c r="C49" i="1"/>
  <c r="H48" i="1"/>
  <c r="C48" i="1"/>
  <c r="H47" i="1"/>
  <c r="C47" i="1"/>
  <c r="H46" i="1"/>
  <c r="C46" i="1"/>
  <c r="H45" i="1"/>
  <c r="B45" i="1" s="1"/>
  <c r="C45" i="1"/>
  <c r="H44" i="1"/>
  <c r="C44" i="1"/>
  <c r="H43" i="1"/>
  <c r="C43" i="1"/>
  <c r="H42" i="1"/>
  <c r="C42" i="1"/>
  <c r="H31" i="1"/>
  <c r="C31" i="1"/>
  <c r="H30" i="1"/>
  <c r="B30" i="1" s="1"/>
  <c r="C30" i="1"/>
  <c r="H29" i="1"/>
  <c r="C29" i="1"/>
  <c r="H28" i="1"/>
  <c r="B28" i="1" s="1"/>
  <c r="C28" i="1"/>
  <c r="H27" i="1"/>
  <c r="C27" i="1"/>
  <c r="H26" i="1"/>
  <c r="C26" i="1"/>
  <c r="H25" i="1"/>
  <c r="B25" i="1" s="1"/>
  <c r="C25" i="1"/>
  <c r="H24" i="1"/>
  <c r="C24" i="1"/>
  <c r="H23" i="1"/>
  <c r="C23" i="1"/>
  <c r="H22" i="1"/>
  <c r="C22" i="1"/>
  <c r="H21" i="1"/>
  <c r="B21" i="1" s="1"/>
  <c r="C21" i="1"/>
  <c r="H20" i="1"/>
  <c r="B20" i="1" s="1"/>
  <c r="C20" i="1"/>
  <c r="H18" i="1"/>
  <c r="C18" i="1"/>
  <c r="H17" i="1"/>
  <c r="B17" i="1" s="1"/>
  <c r="C17" i="1"/>
  <c r="H16" i="1"/>
  <c r="B16" i="1" s="1"/>
  <c r="C16" i="1"/>
  <c r="H15" i="1"/>
  <c r="B15" i="1" s="1"/>
  <c r="C15" i="1"/>
  <c r="H14" i="1"/>
  <c r="B14" i="1" s="1"/>
  <c r="C14" i="1"/>
  <c r="H13" i="1"/>
  <c r="B13" i="1" s="1"/>
  <c r="C13" i="1"/>
  <c r="H12" i="1"/>
  <c r="C12" i="1"/>
  <c r="H11" i="1"/>
  <c r="C11" i="1"/>
  <c r="C34" i="1" s="1"/>
  <c r="H10" i="1"/>
  <c r="C10" i="1"/>
  <c r="H9" i="1"/>
  <c r="B9" i="1" s="1"/>
  <c r="C9" i="1"/>
  <c r="A1" i="11"/>
  <c r="F7" i="11"/>
  <c r="G7" i="11"/>
  <c r="J7" i="11" s="1"/>
  <c r="F8" i="11"/>
  <c r="G8" i="11"/>
  <c r="F9" i="11"/>
  <c r="G9" i="11"/>
  <c r="J9" i="11"/>
  <c r="F10" i="11"/>
  <c r="G10" i="11"/>
  <c r="F11" i="11"/>
  <c r="G11" i="11"/>
  <c r="J11" i="11" s="1"/>
  <c r="F12" i="11"/>
  <c r="G12" i="11"/>
  <c r="F13" i="11"/>
  <c r="G13" i="11"/>
  <c r="J13" i="11" s="1"/>
  <c r="F14" i="11"/>
  <c r="G14" i="11"/>
  <c r="F15" i="11"/>
  <c r="G15" i="11"/>
  <c r="J15" i="11"/>
  <c r="F16" i="11"/>
  <c r="G16" i="11"/>
  <c r="F17" i="11"/>
  <c r="G17" i="11"/>
  <c r="J17" i="11"/>
  <c r="F18" i="11"/>
  <c r="G18" i="11"/>
  <c r="F19" i="11"/>
  <c r="G19" i="11"/>
  <c r="J19" i="11" s="1"/>
  <c r="F20" i="11"/>
  <c r="G20" i="11"/>
  <c r="F21" i="11"/>
  <c r="G21" i="11"/>
  <c r="J21" i="11"/>
  <c r="F32" i="11"/>
  <c r="G32" i="11"/>
  <c r="F33" i="11"/>
  <c r="G33" i="11"/>
  <c r="J33" i="11" s="1"/>
  <c r="F34" i="11"/>
  <c r="G34" i="11"/>
  <c r="J34" i="11" s="1"/>
  <c r="F35" i="11"/>
  <c r="G35" i="11"/>
  <c r="J35" i="11" s="1"/>
  <c r="F36" i="11"/>
  <c r="G36" i="11"/>
  <c r="F37" i="11"/>
  <c r="G37" i="11"/>
  <c r="J37" i="11"/>
  <c r="F38" i="11"/>
  <c r="G38" i="11"/>
  <c r="F39" i="11"/>
  <c r="G39" i="11"/>
  <c r="J39" i="11" s="1"/>
  <c r="F40" i="11"/>
  <c r="G40" i="11"/>
  <c r="F41" i="11"/>
  <c r="G41" i="11"/>
  <c r="J41" i="11" s="1"/>
  <c r="F42" i="11"/>
  <c r="G42" i="11"/>
  <c r="F43" i="11"/>
  <c r="G43" i="11"/>
  <c r="J43" i="11"/>
  <c r="F44" i="11"/>
  <c r="G44" i="11"/>
  <c r="F45" i="11"/>
  <c r="G45" i="11"/>
  <c r="J45" i="11" s="1"/>
  <c r="F46" i="11"/>
  <c r="G46" i="11"/>
  <c r="D9" i="12"/>
  <c r="D10" i="12"/>
  <c r="D11" i="12"/>
  <c r="D12" i="12"/>
  <c r="D13" i="12"/>
  <c r="D14" i="12"/>
  <c r="D15" i="12"/>
  <c r="D16" i="12"/>
  <c r="D17" i="12"/>
  <c r="D19" i="12"/>
  <c r="D20" i="12"/>
  <c r="D21" i="12"/>
  <c r="D22" i="12"/>
  <c r="D23" i="12"/>
  <c r="D34" i="12"/>
  <c r="D36" i="12"/>
  <c r="D38" i="12"/>
  <c r="D40" i="12"/>
  <c r="D42" i="12"/>
  <c r="D44" i="12"/>
  <c r="D45" i="12"/>
  <c r="D46" i="12"/>
  <c r="A1" i="3"/>
  <c r="B8" i="3"/>
  <c r="F8" i="3"/>
  <c r="O8" i="3"/>
  <c r="B9" i="3"/>
  <c r="O9" i="3"/>
  <c r="B10" i="3"/>
  <c r="F10" i="3" s="1"/>
  <c r="O10" i="3"/>
  <c r="B11" i="3"/>
  <c r="F11" i="3" s="1"/>
  <c r="O11" i="3"/>
  <c r="B12" i="3"/>
  <c r="F12" i="3"/>
  <c r="O12" i="3"/>
  <c r="B13" i="3"/>
  <c r="O13" i="3"/>
  <c r="B14" i="3"/>
  <c r="F14" i="3"/>
  <c r="O14" i="3"/>
  <c r="T14" i="3" s="1"/>
  <c r="B15" i="3"/>
  <c r="F15" i="3" s="1"/>
  <c r="O15" i="3"/>
  <c r="B16" i="3"/>
  <c r="F16" i="3"/>
  <c r="O16" i="3"/>
  <c r="B17" i="3"/>
  <c r="F17" i="3" s="1"/>
  <c r="O17" i="3"/>
  <c r="B19" i="3"/>
  <c r="F19" i="3" s="1"/>
  <c r="O19" i="3"/>
  <c r="T19" i="3"/>
  <c r="B20" i="3"/>
  <c r="O20" i="3"/>
  <c r="B21" i="3"/>
  <c r="F21" i="3"/>
  <c r="O21" i="3"/>
  <c r="B22" i="3"/>
  <c r="E22" i="3" s="1"/>
  <c r="O22" i="3"/>
  <c r="B23" i="3"/>
  <c r="F23" i="3"/>
  <c r="O23" i="3"/>
  <c r="B24" i="3"/>
  <c r="O24" i="3"/>
  <c r="B25" i="3"/>
  <c r="F25" i="3"/>
  <c r="O25" i="3"/>
  <c r="B26" i="3"/>
  <c r="J26" i="3" s="1"/>
  <c r="O26" i="3"/>
  <c r="B27" i="3"/>
  <c r="F27" i="3" s="1"/>
  <c r="O27" i="3"/>
  <c r="B28" i="3"/>
  <c r="J28" i="3" s="1"/>
  <c r="K28" i="3"/>
  <c r="L28" i="3"/>
  <c r="O28" i="3"/>
  <c r="B29" i="3"/>
  <c r="F29" i="3" s="1"/>
  <c r="O29" i="3"/>
  <c r="B30" i="3"/>
  <c r="O30" i="3"/>
  <c r="B41" i="3"/>
  <c r="O41" i="3"/>
  <c r="B42" i="3"/>
  <c r="O42" i="3"/>
  <c r="B43" i="3"/>
  <c r="O43" i="3"/>
  <c r="B44" i="3"/>
  <c r="O44" i="3"/>
  <c r="B45" i="3"/>
  <c r="O45" i="3"/>
  <c r="B46" i="3"/>
  <c r="O46" i="3"/>
  <c r="B47" i="3"/>
  <c r="O47" i="3"/>
  <c r="B48" i="3"/>
  <c r="O48" i="3"/>
  <c r="B49" i="3"/>
  <c r="O49" i="3"/>
  <c r="B50" i="3"/>
  <c r="O50" i="3"/>
  <c r="B52" i="3"/>
  <c r="O52" i="3"/>
  <c r="B53" i="3"/>
  <c r="O53" i="3"/>
  <c r="B54" i="3"/>
  <c r="O54" i="3"/>
  <c r="B55" i="3"/>
  <c r="O55" i="3"/>
  <c r="B56" i="3"/>
  <c r="O56" i="3"/>
  <c r="B57" i="3"/>
  <c r="O57" i="3"/>
  <c r="B58" i="3"/>
  <c r="O58" i="3"/>
  <c r="B59" i="3"/>
  <c r="O59" i="3"/>
  <c r="B60" i="3"/>
  <c r="O60" i="3"/>
  <c r="B61" i="3"/>
  <c r="O61" i="3"/>
  <c r="B62" i="3"/>
  <c r="O62" i="3"/>
  <c r="B63" i="3"/>
  <c r="F63" i="3" s="1"/>
  <c r="O63" i="3"/>
  <c r="C8" i="4"/>
  <c r="P8" i="4"/>
  <c r="Z8" i="4" s="1"/>
  <c r="C9" i="4"/>
  <c r="P9" i="4"/>
  <c r="C10" i="4"/>
  <c r="M10" i="4" s="1"/>
  <c r="P10" i="4"/>
  <c r="C11" i="4"/>
  <c r="F11" i="4"/>
  <c r="P11" i="4"/>
  <c r="V11" i="4" s="1"/>
  <c r="C12" i="4"/>
  <c r="L12" i="4" s="1"/>
  <c r="P12" i="4"/>
  <c r="C13" i="4"/>
  <c r="F13" i="4" s="1"/>
  <c r="E13" i="4" s="1"/>
  <c r="M13" i="4"/>
  <c r="P13" i="4"/>
  <c r="C14" i="4"/>
  <c r="P14" i="4"/>
  <c r="V14" i="4" s="1"/>
  <c r="R14" i="4" s="1"/>
  <c r="C15" i="4"/>
  <c r="N15" i="4" s="1"/>
  <c r="P15" i="4"/>
  <c r="S15" i="4" s="1"/>
  <c r="T15" i="4"/>
  <c r="Y15" i="4"/>
  <c r="C16" i="4"/>
  <c r="P16" i="4"/>
  <c r="C17" i="4"/>
  <c r="F17" i="4" s="1"/>
  <c r="P17" i="4"/>
  <c r="C18" i="4"/>
  <c r="P18" i="4"/>
  <c r="V18" i="4"/>
  <c r="C19" i="4"/>
  <c r="F19" i="4"/>
  <c r="P19" i="4"/>
  <c r="S19" i="4"/>
  <c r="C20" i="4"/>
  <c r="P20" i="4"/>
  <c r="Y20" i="4" s="1"/>
  <c r="C21" i="4"/>
  <c r="G21" i="4" s="1"/>
  <c r="P21" i="4"/>
  <c r="V21" i="4" s="1"/>
  <c r="R21" i="4" s="1"/>
  <c r="C22" i="4"/>
  <c r="K22" i="4"/>
  <c r="P22" i="4"/>
  <c r="V22" i="4"/>
  <c r="C33" i="4"/>
  <c r="I33" i="4"/>
  <c r="C34" i="4"/>
  <c r="C35" i="4"/>
  <c r="F35" i="4" s="1"/>
  <c r="C36" i="4"/>
  <c r="C37" i="4"/>
  <c r="N37" i="4" s="1"/>
  <c r="I37" i="4"/>
  <c r="C38" i="4"/>
  <c r="G38" i="4"/>
  <c r="C39" i="4"/>
  <c r="G39" i="4"/>
  <c r="E39" i="4" s="1"/>
  <c r="C40" i="4"/>
  <c r="N40" i="4"/>
  <c r="F40" i="4"/>
  <c r="E40" i="4" s="1"/>
  <c r="D40" i="4" s="1"/>
  <c r="I40" i="4"/>
  <c r="C41" i="4"/>
  <c r="M41" i="4" s="1"/>
  <c r="F41" i="4"/>
  <c r="C42" i="4"/>
  <c r="C43" i="4"/>
  <c r="C44" i="4"/>
  <c r="C45" i="4"/>
  <c r="C46" i="4"/>
  <c r="I46" i="4" s="1"/>
  <c r="C47" i="4"/>
  <c r="Q13" i="5"/>
  <c r="Q14" i="5"/>
  <c r="Q15" i="5"/>
  <c r="I50" i="6"/>
  <c r="I62" i="6"/>
  <c r="E8" i="9"/>
  <c r="E9" i="9"/>
  <c r="E10" i="9"/>
  <c r="E11" i="9"/>
  <c r="E12" i="9"/>
  <c r="E13" i="9"/>
  <c r="E14" i="9"/>
  <c r="E15" i="9"/>
  <c r="E16" i="9"/>
  <c r="E18" i="9"/>
  <c r="E19" i="9"/>
  <c r="E20" i="9"/>
  <c r="E21" i="9"/>
  <c r="E22" i="9"/>
  <c r="E23" i="9"/>
  <c r="E24" i="9"/>
  <c r="E25" i="9"/>
  <c r="E26" i="9"/>
  <c r="E27" i="9"/>
  <c r="E28" i="9"/>
  <c r="E29" i="9"/>
  <c r="E38" i="9"/>
  <c r="E39" i="9"/>
  <c r="E40" i="9"/>
  <c r="E41" i="9"/>
  <c r="E42" i="9"/>
  <c r="E43" i="9"/>
  <c r="E44" i="9"/>
  <c r="E45" i="9"/>
  <c r="E46" i="9"/>
  <c r="E48" i="9"/>
  <c r="E49" i="9"/>
  <c r="E50" i="9"/>
  <c r="E51" i="9"/>
  <c r="E52" i="9"/>
  <c r="E53" i="9"/>
  <c r="E54" i="9"/>
  <c r="E55" i="9"/>
  <c r="E56" i="9"/>
  <c r="E57" i="9"/>
  <c r="E58" i="9"/>
  <c r="F37" i="4"/>
  <c r="E37" i="4" s="1"/>
  <c r="L41" i="4"/>
  <c r="H37" i="4"/>
  <c r="L37" i="4"/>
  <c r="N34" i="4"/>
  <c r="S22" i="4"/>
  <c r="Y22" i="4"/>
  <c r="U21" i="4"/>
  <c r="AA21" i="4"/>
  <c r="S17" i="4"/>
  <c r="U17" i="4"/>
  <c r="L17" i="4"/>
  <c r="L13" i="4"/>
  <c r="Y12" i="4"/>
  <c r="S11" i="4"/>
  <c r="N11" i="4"/>
  <c r="F9" i="4"/>
  <c r="E9" i="4" s="1"/>
  <c r="H9" i="4"/>
  <c r="L9" i="4"/>
  <c r="N9" i="4"/>
  <c r="B34" i="2"/>
  <c r="M42" i="4"/>
  <c r="G46" i="4"/>
  <c r="L46" i="4"/>
  <c r="I9" i="4"/>
  <c r="M9" i="4"/>
  <c r="M16" i="4"/>
  <c r="M17" i="4"/>
  <c r="G9" i="4"/>
  <c r="K9" i="4"/>
  <c r="Z19" i="4"/>
  <c r="V19" i="4"/>
  <c r="T17" i="4"/>
  <c r="Z17" i="4"/>
  <c r="G17" i="4"/>
  <c r="K17" i="4"/>
  <c r="J17" i="4" s="1"/>
  <c r="Z9" i="4"/>
  <c r="K41" i="4"/>
  <c r="G34" i="4"/>
  <c r="B43" i="2"/>
  <c r="J63" i="3"/>
  <c r="U61" i="3"/>
  <c r="Z61" i="3"/>
  <c r="S61" i="3"/>
  <c r="X61" i="3"/>
  <c r="T61" i="3"/>
  <c r="Y61" i="3"/>
  <c r="R61" i="3"/>
  <c r="Q61" i="3" s="1"/>
  <c r="W61" i="3"/>
  <c r="T60" i="3"/>
  <c r="R60" i="3"/>
  <c r="W60" i="3"/>
  <c r="S60" i="3"/>
  <c r="Q60" i="3" s="1"/>
  <c r="X60" i="3"/>
  <c r="U59" i="3"/>
  <c r="Z59" i="3"/>
  <c r="S59" i="3"/>
  <c r="X59" i="3"/>
  <c r="T59" i="3"/>
  <c r="Y59" i="3"/>
  <c r="R59" i="3"/>
  <c r="Q59" i="3" s="1"/>
  <c r="W59" i="3"/>
  <c r="T58" i="3"/>
  <c r="Y58" i="3"/>
  <c r="W58" i="3"/>
  <c r="S58" i="3"/>
  <c r="H58" i="3"/>
  <c r="M58" i="3"/>
  <c r="E58" i="3"/>
  <c r="J58" i="3"/>
  <c r="G58" i="3"/>
  <c r="L58" i="3"/>
  <c r="F58" i="3"/>
  <c r="K58" i="3"/>
  <c r="G57" i="3"/>
  <c r="L57" i="3"/>
  <c r="M57" i="3"/>
  <c r="E57" i="3"/>
  <c r="M56" i="3"/>
  <c r="U55" i="3"/>
  <c r="Z55" i="3"/>
  <c r="S55" i="3"/>
  <c r="X55" i="3"/>
  <c r="T55" i="3"/>
  <c r="Y55" i="3"/>
  <c r="R55" i="3"/>
  <c r="W55" i="3"/>
  <c r="H54" i="3"/>
  <c r="D54" i="3" s="1"/>
  <c r="M54" i="3"/>
  <c r="E54" i="3"/>
  <c r="J54" i="3"/>
  <c r="G54" i="3"/>
  <c r="L54" i="3"/>
  <c r="F54" i="3"/>
  <c r="K54" i="3"/>
  <c r="K53" i="3"/>
  <c r="M53" i="3"/>
  <c r="K50" i="3"/>
  <c r="H50" i="3"/>
  <c r="J50" i="3"/>
  <c r="U49" i="3"/>
  <c r="T49" i="3"/>
  <c r="Y49" i="3"/>
  <c r="W49" i="3"/>
  <c r="Z49" i="3"/>
  <c r="S49" i="3"/>
  <c r="Z48" i="3"/>
  <c r="S48" i="3"/>
  <c r="X48" i="3"/>
  <c r="U48" i="3"/>
  <c r="T48" i="3"/>
  <c r="Y48" i="3"/>
  <c r="R48" i="3"/>
  <c r="W48" i="3"/>
  <c r="H47" i="3"/>
  <c r="M47" i="3"/>
  <c r="E47" i="3"/>
  <c r="J47" i="3"/>
  <c r="G47" i="3"/>
  <c r="L47" i="3"/>
  <c r="F47" i="3"/>
  <c r="K47" i="3"/>
  <c r="L46" i="3"/>
  <c r="F46" i="3"/>
  <c r="D46" i="3" s="1"/>
  <c r="E46" i="3"/>
  <c r="H45" i="3"/>
  <c r="M45" i="3"/>
  <c r="E45" i="3"/>
  <c r="J45" i="3"/>
  <c r="G45" i="3"/>
  <c r="G41" i="3"/>
  <c r="G52" i="3"/>
  <c r="G59" i="3"/>
  <c r="G60" i="3"/>
  <c r="L45" i="3"/>
  <c r="F45" i="3"/>
  <c r="D45" i="3" s="1"/>
  <c r="K45" i="3"/>
  <c r="Z44" i="3"/>
  <c r="S44" i="3"/>
  <c r="X44" i="3"/>
  <c r="U44" i="3"/>
  <c r="T44" i="3"/>
  <c r="Y44" i="3"/>
  <c r="R44" i="3"/>
  <c r="W44" i="3"/>
  <c r="L44" i="3"/>
  <c r="M44" i="3"/>
  <c r="E44" i="3"/>
  <c r="D44" i="3" s="1"/>
  <c r="M41" i="3"/>
  <c r="M49" i="3"/>
  <c r="M52" i="3"/>
  <c r="M59" i="3"/>
  <c r="M60" i="3"/>
  <c r="U41" i="3"/>
  <c r="T41" i="3"/>
  <c r="Y41" i="3"/>
  <c r="R41" i="3"/>
  <c r="W41" i="3"/>
  <c r="Z41" i="3"/>
  <c r="S41" i="3"/>
  <c r="X41" i="3"/>
  <c r="U30" i="3"/>
  <c r="Z30" i="3"/>
  <c r="S30" i="3"/>
  <c r="X30" i="3"/>
  <c r="T30" i="3"/>
  <c r="Y30" i="3"/>
  <c r="R30" i="3"/>
  <c r="Q30" i="3" s="1"/>
  <c r="W30" i="3"/>
  <c r="T29" i="3"/>
  <c r="Y29" i="3"/>
  <c r="R29" i="3"/>
  <c r="W29" i="3"/>
  <c r="U29" i="3"/>
  <c r="Z29" i="3"/>
  <c r="S29" i="3"/>
  <c r="X29" i="3"/>
  <c r="U28" i="3"/>
  <c r="Z28" i="3"/>
  <c r="S28" i="3"/>
  <c r="X28" i="3"/>
  <c r="T28" i="3"/>
  <c r="Y28" i="3"/>
  <c r="R28" i="3"/>
  <c r="Q28" i="3" s="1"/>
  <c r="W28" i="3"/>
  <c r="H28" i="3"/>
  <c r="E28" i="3"/>
  <c r="G28" i="3"/>
  <c r="G27" i="3"/>
  <c r="L27" i="3"/>
  <c r="H27" i="3"/>
  <c r="M27" i="3"/>
  <c r="E27" i="3"/>
  <c r="J27" i="3"/>
  <c r="U26" i="3"/>
  <c r="Z26" i="3"/>
  <c r="S26" i="3"/>
  <c r="X26" i="3"/>
  <c r="T26" i="3"/>
  <c r="Y26" i="3"/>
  <c r="R26" i="3"/>
  <c r="Q26" i="3" s="1"/>
  <c r="W26" i="3"/>
  <c r="G25" i="3"/>
  <c r="H25" i="3"/>
  <c r="E25" i="3"/>
  <c r="J25" i="3"/>
  <c r="Y24" i="3"/>
  <c r="G23" i="3"/>
  <c r="L23" i="3"/>
  <c r="H23" i="3"/>
  <c r="M23" i="3"/>
  <c r="E23" i="3"/>
  <c r="D23" i="3" s="1"/>
  <c r="J23" i="3"/>
  <c r="M22" i="3"/>
  <c r="J22" i="3"/>
  <c r="L22" i="3"/>
  <c r="M20" i="3"/>
  <c r="E20" i="3"/>
  <c r="L20" i="3"/>
  <c r="Y19" i="3"/>
  <c r="W19" i="3"/>
  <c r="Z19" i="3"/>
  <c r="X19" i="3"/>
  <c r="U17" i="3"/>
  <c r="Z17" i="3"/>
  <c r="S17" i="3"/>
  <c r="X17" i="3"/>
  <c r="T17" i="3"/>
  <c r="Y17" i="3"/>
  <c r="R17" i="3"/>
  <c r="W17" i="3"/>
  <c r="H17" i="3"/>
  <c r="M17" i="3"/>
  <c r="E17" i="3"/>
  <c r="J17" i="3"/>
  <c r="G17" i="3"/>
  <c r="L17" i="3"/>
  <c r="W15" i="3"/>
  <c r="Y14" i="3"/>
  <c r="W14" i="3"/>
  <c r="Z14" i="3"/>
  <c r="X14" i="3"/>
  <c r="U13" i="3"/>
  <c r="Z13" i="3"/>
  <c r="S13" i="3"/>
  <c r="X13" i="3"/>
  <c r="T13" i="3"/>
  <c r="Y13" i="3"/>
  <c r="R13" i="3"/>
  <c r="W13" i="3"/>
  <c r="M13" i="3"/>
  <c r="H11" i="3"/>
  <c r="M11" i="3"/>
  <c r="E11" i="3"/>
  <c r="J11" i="3"/>
  <c r="G11" i="3"/>
  <c r="L11" i="3"/>
  <c r="G10" i="3"/>
  <c r="L10" i="3"/>
  <c r="H10" i="3"/>
  <c r="M10" i="3"/>
  <c r="E10" i="3"/>
  <c r="J10" i="3"/>
  <c r="G8" i="3"/>
  <c r="H8" i="3"/>
  <c r="E8" i="3"/>
  <c r="J8" i="3"/>
  <c r="K40" i="4"/>
  <c r="M37" i="4"/>
  <c r="G37" i="4"/>
  <c r="M34" i="4"/>
  <c r="K19" i="4"/>
  <c r="Z18" i="4"/>
  <c r="AA15" i="4"/>
  <c r="X15" i="4"/>
  <c r="U15" i="4"/>
  <c r="U14" i="4"/>
  <c r="V15" i="4"/>
  <c r="K15" i="4"/>
  <c r="Y14" i="4"/>
  <c r="Z14" i="4"/>
  <c r="K13" i="4"/>
  <c r="K11" i="4"/>
  <c r="U63" i="3"/>
  <c r="Z63" i="3"/>
  <c r="S63" i="3"/>
  <c r="X63" i="3"/>
  <c r="T63" i="3"/>
  <c r="Q63" i="3" s="1"/>
  <c r="Y63" i="3"/>
  <c r="R63" i="3"/>
  <c r="W63" i="3"/>
  <c r="T62" i="3"/>
  <c r="Y62" i="3"/>
  <c r="R62" i="3"/>
  <c r="Q62" i="3" s="1"/>
  <c r="W62" i="3"/>
  <c r="U62" i="3"/>
  <c r="Z62" i="3"/>
  <c r="S62" i="3"/>
  <c r="X62" i="3"/>
  <c r="L61" i="3"/>
  <c r="H60" i="3"/>
  <c r="E60" i="3"/>
  <c r="J60" i="3"/>
  <c r="L60" i="3"/>
  <c r="F60" i="3"/>
  <c r="K60" i="3"/>
  <c r="L59" i="3"/>
  <c r="H59" i="3"/>
  <c r="E59" i="3"/>
  <c r="Z57" i="3"/>
  <c r="S57" i="3"/>
  <c r="X57" i="3"/>
  <c r="U57" i="3"/>
  <c r="T57" i="3"/>
  <c r="Y57" i="3"/>
  <c r="R57" i="3"/>
  <c r="W57" i="3"/>
  <c r="U56" i="3"/>
  <c r="T56" i="3"/>
  <c r="Y56" i="3"/>
  <c r="R56" i="3"/>
  <c r="W56" i="3"/>
  <c r="Z56" i="3"/>
  <c r="S56" i="3"/>
  <c r="X56" i="3"/>
  <c r="U54" i="3"/>
  <c r="T54" i="3"/>
  <c r="Y54" i="3"/>
  <c r="R54" i="3"/>
  <c r="W54" i="3"/>
  <c r="Z54" i="3"/>
  <c r="S54" i="3"/>
  <c r="X54" i="3"/>
  <c r="Z53" i="3"/>
  <c r="S53" i="3"/>
  <c r="X53" i="3"/>
  <c r="U53" i="3"/>
  <c r="T53" i="3"/>
  <c r="Y53" i="3"/>
  <c r="R53" i="3"/>
  <c r="W53" i="3"/>
  <c r="U52" i="3"/>
  <c r="T52" i="3"/>
  <c r="Y52" i="3"/>
  <c r="R52" i="3"/>
  <c r="W52" i="3"/>
  <c r="Z52" i="3"/>
  <c r="S52" i="3"/>
  <c r="X52" i="3"/>
  <c r="H52" i="3"/>
  <c r="E52" i="3"/>
  <c r="J52" i="3"/>
  <c r="L52" i="3"/>
  <c r="F52" i="3"/>
  <c r="K52" i="3"/>
  <c r="U50" i="3"/>
  <c r="Z50" i="3"/>
  <c r="S50" i="3"/>
  <c r="X50" i="3"/>
  <c r="T50" i="3"/>
  <c r="Y50" i="3"/>
  <c r="R50" i="3"/>
  <c r="W50" i="3"/>
  <c r="U47" i="3"/>
  <c r="T47" i="3"/>
  <c r="Y47" i="3"/>
  <c r="R47" i="3"/>
  <c r="W47" i="3"/>
  <c r="Z47" i="3"/>
  <c r="S47" i="3"/>
  <c r="X47" i="3"/>
  <c r="U46" i="3"/>
  <c r="Z46" i="3"/>
  <c r="S46" i="3"/>
  <c r="X46" i="3"/>
  <c r="T46" i="3"/>
  <c r="Y46" i="3"/>
  <c r="R46" i="3"/>
  <c r="W46" i="3"/>
  <c r="U45" i="3"/>
  <c r="T45" i="3"/>
  <c r="Y45" i="3"/>
  <c r="R45" i="3"/>
  <c r="W45" i="3"/>
  <c r="Z45" i="3"/>
  <c r="S45" i="3"/>
  <c r="X45" i="3"/>
  <c r="U43" i="3"/>
  <c r="T43" i="3"/>
  <c r="Y43" i="3"/>
  <c r="R43" i="3"/>
  <c r="W43" i="3"/>
  <c r="X43" i="3"/>
  <c r="Z43" i="3"/>
  <c r="S43" i="3"/>
  <c r="Q43" i="3"/>
  <c r="U42" i="3"/>
  <c r="Z42" i="3"/>
  <c r="S42" i="3"/>
  <c r="X42" i="3"/>
  <c r="T42" i="3"/>
  <c r="Y42" i="3"/>
  <c r="R42" i="3"/>
  <c r="W42" i="3"/>
  <c r="H41" i="3"/>
  <c r="E41" i="3"/>
  <c r="J41" i="3"/>
  <c r="K41" i="3"/>
  <c r="L41" i="3"/>
  <c r="F41" i="3"/>
  <c r="G29" i="3"/>
  <c r="L29" i="3"/>
  <c r="H29" i="3"/>
  <c r="M29" i="3"/>
  <c r="E29" i="3"/>
  <c r="J29" i="3"/>
  <c r="T27" i="3"/>
  <c r="Y27" i="3"/>
  <c r="U27" i="3"/>
  <c r="Z27" i="3"/>
  <c r="X27" i="3"/>
  <c r="H26" i="3"/>
  <c r="E26" i="3"/>
  <c r="G26" i="3"/>
  <c r="T25" i="3"/>
  <c r="Y25" i="3"/>
  <c r="R25" i="3"/>
  <c r="W25" i="3"/>
  <c r="U25" i="3"/>
  <c r="Z25" i="3"/>
  <c r="S25" i="3"/>
  <c r="X25" i="3"/>
  <c r="H24" i="3"/>
  <c r="M24" i="3"/>
  <c r="G24" i="3"/>
  <c r="L24" i="3"/>
  <c r="T23" i="3"/>
  <c r="Y23" i="3"/>
  <c r="R23" i="3"/>
  <c r="W23" i="3"/>
  <c r="U23" i="3"/>
  <c r="Q23" i="3" s="1"/>
  <c r="Z23" i="3"/>
  <c r="S23" i="3"/>
  <c r="X23" i="3"/>
  <c r="U22" i="3"/>
  <c r="Z22" i="3"/>
  <c r="T22" i="3"/>
  <c r="Y22" i="3"/>
  <c r="W22" i="3"/>
  <c r="T21" i="3"/>
  <c r="Y21" i="3"/>
  <c r="R21" i="3"/>
  <c r="W21" i="3"/>
  <c r="U21" i="3"/>
  <c r="Z21" i="3"/>
  <c r="S21" i="3"/>
  <c r="X21" i="3"/>
  <c r="G21" i="3"/>
  <c r="L21" i="3"/>
  <c r="H21" i="3"/>
  <c r="M21" i="3"/>
  <c r="E21" i="3"/>
  <c r="J21" i="3"/>
  <c r="G19" i="3"/>
  <c r="L19" i="3"/>
  <c r="H19" i="3"/>
  <c r="D19" i="3" s="1"/>
  <c r="M19" i="3"/>
  <c r="E19" i="3"/>
  <c r="J19" i="3"/>
  <c r="T16" i="3"/>
  <c r="Y16" i="3"/>
  <c r="R16" i="3"/>
  <c r="Q16" i="3" s="1"/>
  <c r="W16" i="3"/>
  <c r="U16" i="3"/>
  <c r="Z16" i="3"/>
  <c r="S16" i="3"/>
  <c r="X16" i="3"/>
  <c r="G16" i="3"/>
  <c r="L16" i="3"/>
  <c r="H16" i="3"/>
  <c r="M16" i="3"/>
  <c r="E16" i="3"/>
  <c r="J16" i="3"/>
  <c r="H15" i="3"/>
  <c r="M15" i="3"/>
  <c r="E15" i="3"/>
  <c r="J15" i="3"/>
  <c r="G15" i="3"/>
  <c r="L15" i="3"/>
  <c r="G14" i="3"/>
  <c r="L14" i="3"/>
  <c r="H14" i="3"/>
  <c r="M14" i="3"/>
  <c r="E14" i="3"/>
  <c r="J14" i="3"/>
  <c r="T12" i="3"/>
  <c r="Q12" i="3" s="1"/>
  <c r="Y12" i="3"/>
  <c r="R12" i="3"/>
  <c r="W12" i="3"/>
  <c r="U12" i="3"/>
  <c r="Z12" i="3"/>
  <c r="S12" i="3"/>
  <c r="X12" i="3"/>
  <c r="G12" i="3"/>
  <c r="L12" i="3"/>
  <c r="H12" i="3"/>
  <c r="M12" i="3"/>
  <c r="E12" i="3"/>
  <c r="J12" i="3"/>
  <c r="U11" i="3"/>
  <c r="Z11" i="3"/>
  <c r="S11" i="3"/>
  <c r="X11" i="3"/>
  <c r="T11" i="3"/>
  <c r="Y11" i="3"/>
  <c r="R11" i="3"/>
  <c r="W11" i="3"/>
  <c r="T10" i="3"/>
  <c r="Y10" i="3"/>
  <c r="R10" i="3"/>
  <c r="Q10" i="3" s="1"/>
  <c r="W10" i="3"/>
  <c r="U10" i="3"/>
  <c r="Z10" i="3"/>
  <c r="S10" i="3"/>
  <c r="X10" i="3"/>
  <c r="U9" i="3"/>
  <c r="Z9" i="3"/>
  <c r="S9" i="3"/>
  <c r="X9" i="3"/>
  <c r="T9" i="3"/>
  <c r="Y9" i="3"/>
  <c r="R9" i="3"/>
  <c r="Q9" i="3" s="1"/>
  <c r="W9" i="3"/>
  <c r="T8" i="3"/>
  <c r="T32" i="3"/>
  <c r="Y8" i="3"/>
  <c r="R8" i="3"/>
  <c r="W8" i="3"/>
  <c r="U8" i="3"/>
  <c r="Z8" i="3"/>
  <c r="S8" i="3"/>
  <c r="X8" i="3"/>
  <c r="U46" i="4"/>
  <c r="Y47" i="4"/>
  <c r="U47" i="4"/>
  <c r="Z37" i="4"/>
  <c r="U37" i="4"/>
  <c r="S37" i="4"/>
  <c r="AA36" i="4"/>
  <c r="Y36" i="4"/>
  <c r="U36" i="4"/>
  <c r="U35" i="4"/>
  <c r="U34" i="4"/>
  <c r="Z32" i="3"/>
  <c r="X32" i="3"/>
  <c r="R32" i="3"/>
  <c r="Z65" i="3"/>
  <c r="X65" i="3"/>
  <c r="T65" i="3"/>
  <c r="R65" i="3"/>
  <c r="L32" i="3"/>
  <c r="J32" i="3"/>
  <c r="H32" i="3"/>
  <c r="Y32" i="3"/>
  <c r="W32" i="3"/>
  <c r="U32" i="3"/>
  <c r="H65" i="3"/>
  <c r="Y65" i="3"/>
  <c r="W65" i="3"/>
  <c r="U65" i="3"/>
  <c r="I18" i="6"/>
  <c r="H22" i="6"/>
  <c r="Q21" i="3"/>
  <c r="D47" i="3"/>
  <c r="H16" i="4"/>
  <c r="Z20" i="4"/>
  <c r="G40" i="4"/>
  <c r="H40" i="4"/>
  <c r="L40" i="4"/>
  <c r="G36" i="4"/>
  <c r="V20" i="4"/>
  <c r="U20" i="4"/>
  <c r="AA20" i="4"/>
  <c r="U19" i="4"/>
  <c r="AA19" i="4"/>
  <c r="K16" i="4"/>
  <c r="N16" i="4"/>
  <c r="G15" i="4"/>
  <c r="L15" i="4"/>
  <c r="H15" i="4"/>
  <c r="U13" i="4"/>
  <c r="Y13" i="4"/>
  <c r="AA13" i="4"/>
  <c r="G11" i="4"/>
  <c r="E11" i="4" s="1"/>
  <c r="H11" i="4"/>
  <c r="L11" i="4"/>
  <c r="J11" i="4" s="1"/>
  <c r="S9" i="4"/>
  <c r="Y9" i="4"/>
  <c r="X9" i="4"/>
  <c r="X47" i="4"/>
  <c r="W47" i="4" s="1"/>
  <c r="Z47" i="4"/>
  <c r="T47" i="4"/>
  <c r="S47" i="4"/>
  <c r="R47" i="4"/>
  <c r="Q47" i="4" s="1"/>
  <c r="S36" i="4"/>
  <c r="R36" i="4" s="1"/>
  <c r="V36" i="4"/>
  <c r="I12" i="4"/>
  <c r="G8" i="4"/>
  <c r="I17" i="4"/>
  <c r="M38" i="4"/>
  <c r="J38" i="4" s="1"/>
  <c r="M18" i="4"/>
  <c r="L42" i="4"/>
  <c r="I42" i="4"/>
  <c r="K42" i="4"/>
  <c r="N8" i="4"/>
  <c r="U8" i="4"/>
  <c r="H12" i="4"/>
  <c r="F18" i="4"/>
  <c r="S18" i="4"/>
  <c r="L38" i="4"/>
  <c r="F34" i="4"/>
  <c r="G12" i="4"/>
  <c r="X36" i="4"/>
  <c r="F47" i="4"/>
  <c r="K38" i="4"/>
  <c r="F38" i="4"/>
  <c r="I38" i="4"/>
  <c r="N38" i="4"/>
  <c r="K34" i="4"/>
  <c r="H34" i="4"/>
  <c r="X18" i="4"/>
  <c r="U18" i="4"/>
  <c r="AA18" i="4"/>
  <c r="K18" i="4"/>
  <c r="I18" i="4"/>
  <c r="H18" i="4"/>
  <c r="N18" i="4"/>
  <c r="H17" i="4"/>
  <c r="N17" i="4"/>
  <c r="T14" i="4"/>
  <c r="X14" i="4"/>
  <c r="S14" i="4"/>
  <c r="K12" i="4"/>
  <c r="M12" i="4"/>
  <c r="F12" i="4"/>
  <c r="V8" i="4"/>
  <c r="X8" i="4"/>
  <c r="AA8" i="4"/>
  <c r="S8" i="4"/>
  <c r="K8" i="4"/>
  <c r="M8" i="4"/>
  <c r="F8" i="4"/>
  <c r="L8" i="4"/>
  <c r="M32" i="3"/>
  <c r="M18" i="3"/>
  <c r="M31" i="3"/>
  <c r="G32" i="3"/>
  <c r="D32" i="3" s="1"/>
  <c r="L18" i="3"/>
  <c r="J18" i="3"/>
  <c r="G18" i="3"/>
  <c r="E18" i="3"/>
  <c r="L31" i="3"/>
  <c r="J31" i="3"/>
  <c r="G31" i="3"/>
  <c r="E31" i="3"/>
  <c r="R31" i="3"/>
  <c r="L51" i="3"/>
  <c r="J51" i="3"/>
  <c r="G51" i="3"/>
  <c r="E51" i="3"/>
  <c r="H51" i="3"/>
  <c r="L64" i="3"/>
  <c r="G64" i="3"/>
  <c r="T45" i="4"/>
  <c r="T43" i="4"/>
  <c r="T41" i="4"/>
  <c r="T37" i="4"/>
  <c r="R37" i="4" s="1"/>
  <c r="Q37" i="4" s="1"/>
  <c r="H18" i="3"/>
  <c r="H31" i="3"/>
  <c r="Z18" i="3"/>
  <c r="X18" i="3"/>
  <c r="U18" i="3"/>
  <c r="Z31" i="3"/>
  <c r="X31" i="3"/>
  <c r="U31" i="3"/>
  <c r="M51" i="3"/>
  <c r="K51" i="3"/>
  <c r="Z51" i="3"/>
  <c r="X51" i="3"/>
  <c r="U51" i="3"/>
  <c r="L49" i="6"/>
  <c r="H56" i="6"/>
  <c r="I19" i="6"/>
  <c r="T44" i="4"/>
  <c r="X46" i="4"/>
  <c r="X42" i="4"/>
  <c r="X38" i="4"/>
  <c r="K29" i="3"/>
  <c r="K27" i="3"/>
  <c r="K25" i="3"/>
  <c r="K23" i="3"/>
  <c r="K21" i="3"/>
  <c r="K19" i="3"/>
  <c r="K17" i="3"/>
  <c r="K15" i="3"/>
  <c r="K13" i="3"/>
  <c r="K11" i="3"/>
  <c r="F28" i="3"/>
  <c r="F26" i="3"/>
  <c r="F20" i="3"/>
  <c r="T51" i="3"/>
  <c r="Y51" i="3"/>
  <c r="S51" i="3"/>
  <c r="Y64" i="3"/>
  <c r="G41" i="4"/>
  <c r="M40" i="4"/>
  <c r="M20" i="4"/>
  <c r="H19" i="4"/>
  <c r="G13" i="4"/>
  <c r="M11" i="4"/>
  <c r="AA46" i="4"/>
  <c r="Y46" i="4"/>
  <c r="S46" i="4"/>
  <c r="AA45" i="4"/>
  <c r="Y45" i="4"/>
  <c r="U45" i="4"/>
  <c r="Z44" i="4"/>
  <c r="V44" i="4"/>
  <c r="S44" i="4"/>
  <c r="R44" i="4" s="1"/>
  <c r="AA43" i="4"/>
  <c r="Y43" i="4"/>
  <c r="U43" i="4"/>
  <c r="Z38" i="4"/>
  <c r="V38" i="4"/>
  <c r="S38" i="4"/>
  <c r="Z34" i="4"/>
  <c r="V34" i="4"/>
  <c r="S34" i="4"/>
  <c r="Z33" i="4"/>
  <c r="K24" i="3"/>
  <c r="K22" i="3"/>
  <c r="K16" i="3"/>
  <c r="K14" i="3"/>
  <c r="K12" i="3"/>
  <c r="K10" i="3"/>
  <c r="K8" i="3"/>
  <c r="W51" i="3"/>
  <c r="W18" i="3"/>
  <c r="I45" i="10"/>
  <c r="Q51" i="3"/>
  <c r="J40" i="4"/>
  <c r="F42" i="4"/>
  <c r="N42" i="4"/>
  <c r="J42" i="4"/>
  <c r="H42" i="4"/>
  <c r="E42" i="4"/>
  <c r="N35" i="4"/>
  <c r="H35" i="4"/>
  <c r="I35" i="4"/>
  <c r="K35" i="4"/>
  <c r="I16" i="4"/>
  <c r="F16" i="4"/>
  <c r="G16" i="4"/>
  <c r="E16" i="4"/>
  <c r="T46" i="4"/>
  <c r="R46" i="4" s="1"/>
  <c r="Z46" i="4"/>
  <c r="W46" i="4"/>
  <c r="X44" i="4"/>
  <c r="Y44" i="4"/>
  <c r="X40" i="4"/>
  <c r="S40" i="4"/>
  <c r="R40" i="4" s="1"/>
  <c r="V40" i="4"/>
  <c r="Z40" i="4"/>
  <c r="X39" i="4"/>
  <c r="X37" i="4"/>
  <c r="W37" i="4" s="1"/>
  <c r="Y37" i="4"/>
  <c r="T36" i="4"/>
  <c r="Z36" i="4"/>
  <c r="X35" i="4"/>
  <c r="T35" i="4"/>
  <c r="Y35" i="4"/>
  <c r="AA35" i="4"/>
  <c r="W35" i="4" s="1"/>
  <c r="T18" i="3"/>
  <c r="R18" i="3"/>
  <c r="F46" i="4"/>
  <c r="N46" i="4"/>
  <c r="K46" i="4"/>
  <c r="H46" i="4"/>
  <c r="E46" i="4" s="1"/>
  <c r="M46" i="4"/>
  <c r="J46" i="4" s="1"/>
  <c r="I45" i="4"/>
  <c r="M45" i="4"/>
  <c r="H45" i="4"/>
  <c r="L45" i="4"/>
  <c r="M44" i="4"/>
  <c r="I34" i="4"/>
  <c r="L34" i="4"/>
  <c r="J34" i="4" s="1"/>
  <c r="D34" i="4" s="1"/>
  <c r="K20" i="4"/>
  <c r="N20" i="4"/>
  <c r="H20" i="4"/>
  <c r="G19" i="4"/>
  <c r="I19" i="4"/>
  <c r="N19" i="4"/>
  <c r="G18" i="4"/>
  <c r="L18" i="4"/>
  <c r="Y16" i="4"/>
  <c r="I15" i="4"/>
  <c r="F15" i="4"/>
  <c r="M15" i="4"/>
  <c r="S13" i="4"/>
  <c r="X13" i="4"/>
  <c r="U9" i="4"/>
  <c r="V9" i="4"/>
  <c r="I8" i="4"/>
  <c r="H8" i="4"/>
  <c r="F18" i="3"/>
  <c r="K18" i="3"/>
  <c r="I67" i="6"/>
  <c r="H47" i="6"/>
  <c r="H59" i="6"/>
  <c r="T18" i="4"/>
  <c r="M8" i="3"/>
  <c r="L8" i="3"/>
  <c r="S14" i="3"/>
  <c r="U14" i="3"/>
  <c r="R14" i="3"/>
  <c r="S19" i="3"/>
  <c r="U19" i="3"/>
  <c r="R19" i="3"/>
  <c r="M25" i="3"/>
  <c r="L25" i="3"/>
  <c r="T8" i="4"/>
  <c r="G35" i="4"/>
  <c r="M35" i="4"/>
  <c r="G42" i="4"/>
  <c r="L16" i="4"/>
  <c r="J16" i="4"/>
  <c r="Y18" i="4"/>
  <c r="W18" i="4" s="1"/>
  <c r="L35" i="4"/>
  <c r="H38" i="4"/>
  <c r="N12" i="4"/>
  <c r="Y8" i="4"/>
  <c r="AA47" i="4"/>
  <c r="V46" i="4"/>
  <c r="U44" i="4"/>
  <c r="Y40" i="4"/>
  <c r="V37" i="4"/>
  <c r="T40" i="4"/>
  <c r="Z35" i="4"/>
  <c r="S35" i="4"/>
  <c r="S18" i="3"/>
  <c r="Y18" i="3"/>
  <c r="E34" i="4"/>
  <c r="H44" i="4"/>
  <c r="I41" i="4"/>
  <c r="E41" i="4"/>
  <c r="H41" i="4"/>
  <c r="N41" i="4"/>
  <c r="J41" i="4" s="1"/>
  <c r="I39" i="4"/>
  <c r="K39" i="4"/>
  <c r="F39" i="4"/>
  <c r="H39" i="4"/>
  <c r="N39" i="4"/>
  <c r="T20" i="4"/>
  <c r="S20" i="4"/>
  <c r="Y19" i="4"/>
  <c r="X19" i="4"/>
  <c r="W19" i="4" s="1"/>
  <c r="T19" i="4"/>
  <c r="AA14" i="4"/>
  <c r="I11" i="4"/>
  <c r="G45" i="4"/>
  <c r="K45" i="4"/>
  <c r="G33" i="4"/>
  <c r="K33" i="4"/>
  <c r="F33" i="4"/>
  <c r="N33" i="4"/>
  <c r="H33" i="4"/>
  <c r="T22" i="4"/>
  <c r="R22" i="4" s="1"/>
  <c r="Z22" i="4"/>
  <c r="U22" i="4"/>
  <c r="AA22" i="4"/>
  <c r="X22" i="4"/>
  <c r="W22" i="4" s="1"/>
  <c r="G22" i="4"/>
  <c r="M22" i="4"/>
  <c r="H22" i="4"/>
  <c r="T21" i="4"/>
  <c r="Z21" i="4"/>
  <c r="S21" i="4"/>
  <c r="Y21" i="4"/>
  <c r="W21" i="4" s="1"/>
  <c r="X21" i="4"/>
  <c r="I21" i="4"/>
  <c r="M21" i="4"/>
  <c r="F21" i="4"/>
  <c r="L21" i="4"/>
  <c r="F14" i="4"/>
  <c r="I13" i="4"/>
  <c r="H13" i="4"/>
  <c r="N13" i="4"/>
  <c r="U12" i="4"/>
  <c r="AA9" i="4"/>
  <c r="W9" i="4" s="1"/>
  <c r="T9" i="4"/>
  <c r="R9" i="4"/>
  <c r="Z42" i="4"/>
  <c r="W42" i="4" s="1"/>
  <c r="Z41" i="4"/>
  <c r="X34" i="4"/>
  <c r="W34" i="4" s="1"/>
  <c r="Y34" i="4"/>
  <c r="F31" i="3"/>
  <c r="K31" i="3"/>
  <c r="X43" i="4"/>
  <c r="W43" i="4" s="1"/>
  <c r="V43" i="4"/>
  <c r="T42" i="4"/>
  <c r="R42" i="4"/>
  <c r="U42" i="4"/>
  <c r="Y42" i="4"/>
  <c r="AA42" i="4"/>
  <c r="X41" i="4"/>
  <c r="U41" i="4"/>
  <c r="Y41" i="4"/>
  <c r="AA41" i="4"/>
  <c r="W41" i="4"/>
  <c r="T38" i="4"/>
  <c r="Y38" i="4"/>
  <c r="Y31" i="3"/>
  <c r="T31" i="3"/>
  <c r="Q31" i="3"/>
  <c r="S31" i="3"/>
  <c r="R20" i="4"/>
  <c r="H8" i="6"/>
  <c r="I61" i="6"/>
  <c r="I49" i="6"/>
  <c r="I8" i="6"/>
  <c r="I27" i="6"/>
  <c r="H48" i="6"/>
  <c r="H64" i="6"/>
  <c r="H13" i="6"/>
  <c r="H57" i="6"/>
  <c r="K8" i="6"/>
  <c r="L13" i="6"/>
  <c r="I54" i="6"/>
  <c r="H65" i="6"/>
  <c r="H43" i="6"/>
  <c r="H52" i="6"/>
  <c r="I53" i="6"/>
  <c r="I45" i="6"/>
  <c r="H55" i="6"/>
  <c r="H63" i="6"/>
  <c r="I65" i="6"/>
  <c r="H26" i="6"/>
  <c r="H17" i="6"/>
  <c r="I14" i="6"/>
  <c r="I23" i="6"/>
  <c r="H10" i="6"/>
  <c r="I9" i="6"/>
  <c r="H44" i="6"/>
  <c r="I46" i="6"/>
  <c r="H49" i="6"/>
  <c r="I55" i="6"/>
  <c r="I58" i="6"/>
  <c r="H61" i="6"/>
  <c r="I63" i="6"/>
  <c r="I43" i="6"/>
  <c r="I66" i="6"/>
  <c r="H66" i="6"/>
  <c r="H62" i="6"/>
  <c r="I31" i="6"/>
  <c r="H28" i="6"/>
  <c r="H24" i="6"/>
  <c r="H20" i="6"/>
  <c r="H15" i="6"/>
  <c r="I12" i="6"/>
  <c r="I16" i="6"/>
  <c r="I21" i="6"/>
  <c r="I25" i="6"/>
  <c r="I29" i="6"/>
  <c r="I11" i="6"/>
  <c r="H11" i="6"/>
  <c r="L28" i="6"/>
  <c r="K20" i="6"/>
  <c r="I18" i="11"/>
  <c r="I36" i="11"/>
  <c r="I15" i="11"/>
  <c r="H32" i="6"/>
  <c r="H12" i="6"/>
  <c r="H29" i="6"/>
  <c r="H27" i="6"/>
  <c r="H25" i="6"/>
  <c r="H23" i="6"/>
  <c r="H21" i="6"/>
  <c r="H19" i="6"/>
  <c r="H16" i="6"/>
  <c r="H14" i="6"/>
  <c r="I10" i="6"/>
  <c r="H18" i="6"/>
  <c r="I13" i="6"/>
  <c r="I15" i="6"/>
  <c r="I17" i="6"/>
  <c r="I22" i="6"/>
  <c r="I24" i="6"/>
  <c r="I28" i="6"/>
  <c r="I30" i="6"/>
  <c r="H31" i="6"/>
  <c r="W17" i="6"/>
  <c r="K27" i="6"/>
  <c r="K19" i="6"/>
  <c r="K11" i="6"/>
  <c r="L19" i="6"/>
  <c r="L27" i="6"/>
  <c r="L31" i="6"/>
  <c r="L18" i="6"/>
  <c r="K23" i="6"/>
  <c r="L15" i="6"/>
  <c r="L10" i="6"/>
  <c r="K29" i="6"/>
  <c r="K21" i="6"/>
  <c r="K13" i="6"/>
  <c r="L9" i="6"/>
  <c r="L17" i="6"/>
  <c r="L25" i="6"/>
  <c r="L8" i="6"/>
  <c r="L22" i="6"/>
  <c r="L12" i="6"/>
  <c r="K32" i="6"/>
  <c r="K28" i="6"/>
  <c r="K24" i="6"/>
  <c r="K18" i="6"/>
  <c r="K14" i="6"/>
  <c r="K15" i="6"/>
  <c r="L23" i="6"/>
  <c r="K25" i="6"/>
  <c r="K9" i="6"/>
  <c r="L21" i="6"/>
  <c r="L30" i="6"/>
  <c r="K30" i="6"/>
  <c r="K22" i="6"/>
  <c r="K16" i="6"/>
  <c r="K10" i="6"/>
  <c r="L32" i="6"/>
  <c r="K43" i="6"/>
  <c r="K64" i="6"/>
  <c r="K56" i="6"/>
  <c r="K52" i="6"/>
  <c r="K48" i="6"/>
  <c r="L61" i="6"/>
  <c r="K59" i="6"/>
  <c r="L53" i="6"/>
  <c r="L65" i="6"/>
  <c r="K66" i="6"/>
  <c r="K58" i="6"/>
  <c r="K50" i="6"/>
  <c r="K47" i="6"/>
  <c r="K61" i="6"/>
  <c r="K63" i="6"/>
  <c r="L43" i="6"/>
  <c r="L66" i="6"/>
  <c r="L62" i="6"/>
  <c r="L54" i="6"/>
  <c r="L50" i="6"/>
  <c r="L46" i="6"/>
  <c r="L67" i="6"/>
  <c r="K65" i="6"/>
  <c r="L59" i="6"/>
  <c r="K49" i="6"/>
  <c r="K62" i="6"/>
  <c r="K46" i="6"/>
  <c r="L55" i="6"/>
  <c r="K55" i="6"/>
  <c r="L51" i="6"/>
  <c r="J36" i="11"/>
  <c r="I37" i="11"/>
  <c r="I38" i="11"/>
  <c r="J38" i="11"/>
  <c r="I39" i="11"/>
  <c r="I40" i="11"/>
  <c r="J40" i="11"/>
  <c r="I41" i="11"/>
  <c r="I42" i="11"/>
  <c r="J42" i="11"/>
  <c r="I43" i="11"/>
  <c r="I44" i="11"/>
  <c r="J44" i="11"/>
  <c r="I45" i="11"/>
  <c r="I46" i="11"/>
  <c r="J46" i="11"/>
  <c r="I17" i="11"/>
  <c r="J18" i="11"/>
  <c r="J10" i="11"/>
  <c r="J14" i="11"/>
  <c r="I16" i="11"/>
  <c r="J8" i="11"/>
  <c r="I7" i="11"/>
  <c r="I9" i="11"/>
  <c r="I12" i="11"/>
  <c r="J12" i="11"/>
  <c r="J20" i="11"/>
  <c r="I8" i="11"/>
  <c r="I21" i="11"/>
  <c r="I35" i="11"/>
  <c r="I11" i="11"/>
  <c r="J32" i="11"/>
  <c r="J16" i="11"/>
  <c r="I20" i="11"/>
  <c r="I13" i="11"/>
  <c r="I32" i="11"/>
  <c r="I19" i="11"/>
  <c r="P13" i="9"/>
  <c r="L16" i="6"/>
  <c r="L24" i="6"/>
  <c r="I33" i="11"/>
  <c r="I34" i="11"/>
  <c r="I10" i="11"/>
  <c r="K57" i="6"/>
  <c r="K12" i="6"/>
  <c r="K26" i="6"/>
  <c r="I14" i="11"/>
  <c r="L58" i="6"/>
  <c r="K44" i="6"/>
  <c r="L29" i="6"/>
  <c r="K17" i="6"/>
  <c r="L63" i="6"/>
  <c r="K31" i="6"/>
  <c r="J26" i="6"/>
  <c r="J22" i="6"/>
  <c r="J13" i="6"/>
  <c r="J29" i="6"/>
  <c r="H67" i="6"/>
  <c r="K67" i="6"/>
  <c r="H51" i="6"/>
  <c r="K51" i="6"/>
  <c r="I60" i="6"/>
  <c r="L60" i="6"/>
  <c r="I52" i="6"/>
  <c r="L52" i="6"/>
  <c r="I48" i="6"/>
  <c r="L48" i="6"/>
  <c r="H54" i="6"/>
  <c r="K54" i="6"/>
  <c r="I64" i="6"/>
  <c r="L64" i="6"/>
  <c r="I56" i="6"/>
  <c r="L56" i="6"/>
  <c r="I44" i="6"/>
  <c r="L44" i="6"/>
  <c r="W38" i="4"/>
  <c r="Q38" i="4" s="1"/>
  <c r="Q47" i="3"/>
  <c r="R8" i="4"/>
  <c r="J35" i="4"/>
  <c r="Q21" i="4"/>
  <c r="W8" i="4"/>
  <c r="E15" i="4"/>
  <c r="E19" i="4"/>
  <c r="D16" i="4"/>
  <c r="R34" i="4"/>
  <c r="Q34" i="4" s="1"/>
  <c r="E12" i="4"/>
  <c r="R18" i="4"/>
  <c r="Q18" i="4"/>
  <c r="J8" i="4"/>
  <c r="D8" i="3"/>
  <c r="E17" i="4"/>
  <c r="D17" i="4" s="1"/>
  <c r="J30" i="3"/>
  <c r="L30" i="3"/>
  <c r="K30" i="3"/>
  <c r="H30" i="3"/>
  <c r="M30" i="3"/>
  <c r="E30" i="3"/>
  <c r="G30" i="3"/>
  <c r="F30" i="3"/>
  <c r="Q9" i="4"/>
  <c r="R35" i="4"/>
  <c r="Q35" i="4" s="1"/>
  <c r="W13" i="4"/>
  <c r="E8" i="4"/>
  <c r="J18" i="4"/>
  <c r="E38" i="4"/>
  <c r="D38" i="4"/>
  <c r="Q52" i="3"/>
  <c r="T12" i="4"/>
  <c r="AA12" i="4"/>
  <c r="V12" i="4"/>
  <c r="X12" i="4"/>
  <c r="S12" i="4"/>
  <c r="Z12" i="4"/>
  <c r="Q42" i="4"/>
  <c r="D13" i="4"/>
  <c r="W14" i="4"/>
  <c r="Q14" i="4" s="1"/>
  <c r="I47" i="4"/>
  <c r="L47" i="4"/>
  <c r="N47" i="4"/>
  <c r="K47" i="4"/>
  <c r="G47" i="4"/>
  <c r="H47" i="4"/>
  <c r="M47" i="4"/>
  <c r="F44" i="4"/>
  <c r="N44" i="4"/>
  <c r="L44" i="4"/>
  <c r="K44" i="4"/>
  <c r="J44" i="4" s="1"/>
  <c r="G44" i="4"/>
  <c r="I44" i="4"/>
  <c r="J22" i="4"/>
  <c r="R19" i="4"/>
  <c r="Q19" i="4"/>
  <c r="J13" i="4"/>
  <c r="I36" i="4"/>
  <c r="M36" i="4"/>
  <c r="K36" i="4"/>
  <c r="N36" i="4"/>
  <c r="J36" i="4" s="1"/>
  <c r="H36" i="4"/>
  <c r="F36" i="4"/>
  <c r="L36" i="4"/>
  <c r="M33" i="4"/>
  <c r="L33" i="4"/>
  <c r="L22" i="4"/>
  <c r="N22" i="4"/>
  <c r="F22" i="4"/>
  <c r="E22" i="4" s="1"/>
  <c r="H21" i="4"/>
  <c r="E21" i="4"/>
  <c r="D21" i="4" s="1"/>
  <c r="N21" i="4"/>
  <c r="J21" i="4" s="1"/>
  <c r="K21" i="4"/>
  <c r="R27" i="3"/>
  <c r="S27" i="3"/>
  <c r="W27" i="3"/>
  <c r="F24" i="3"/>
  <c r="D24" i="3" s="1"/>
  <c r="E24" i="3"/>
  <c r="J24" i="3"/>
  <c r="S22" i="3"/>
  <c r="R22" i="3"/>
  <c r="Q22" i="3" s="1"/>
  <c r="X22" i="3"/>
  <c r="K20" i="3"/>
  <c r="J20" i="3"/>
  <c r="H20" i="3"/>
  <c r="G20" i="3"/>
  <c r="D20" i="3" s="1"/>
  <c r="D17" i="3"/>
  <c r="Q8" i="3"/>
  <c r="Q25" i="3"/>
  <c r="D41" i="3"/>
  <c r="I22" i="4"/>
  <c r="V10" i="4"/>
  <c r="S10" i="4"/>
  <c r="T10" i="4"/>
  <c r="Y10" i="4"/>
  <c r="Z10" i="4"/>
  <c r="AA10" i="4"/>
  <c r="B35" i="2"/>
  <c r="C49" i="2"/>
  <c r="T33" i="4"/>
  <c r="V33" i="4"/>
  <c r="X33" i="4"/>
  <c r="Q65" i="3"/>
  <c r="Q57" i="3"/>
  <c r="Q44" i="3"/>
  <c r="G20" i="4"/>
  <c r="L20" i="4"/>
  <c r="J20" i="4" s="1"/>
  <c r="F20" i="4"/>
  <c r="E20" i="4" s="1"/>
  <c r="I20" i="4"/>
  <c r="V13" i="4"/>
  <c r="Z13" i="4"/>
  <c r="T13" i="4"/>
  <c r="U11" i="4"/>
  <c r="R11" i="4" s="1"/>
  <c r="Z11" i="4"/>
  <c r="Y11" i="4"/>
  <c r="AA11" i="4"/>
  <c r="X11" i="4"/>
  <c r="T11" i="4"/>
  <c r="L63" i="3"/>
  <c r="M63" i="3"/>
  <c r="H63" i="3"/>
  <c r="G63" i="3"/>
  <c r="E63" i="3"/>
  <c r="D63" i="3" s="1"/>
  <c r="K61" i="3"/>
  <c r="G61" i="3"/>
  <c r="M61" i="3"/>
  <c r="H61" i="3"/>
  <c r="F59" i="3"/>
  <c r="D59" i="3" s="1"/>
  <c r="J59" i="3"/>
  <c r="K59" i="3"/>
  <c r="K57" i="3"/>
  <c r="F57" i="3"/>
  <c r="D57" i="3" s="1"/>
  <c r="J57" i="3"/>
  <c r="H57" i="3"/>
  <c r="K55" i="3"/>
  <c r="L55" i="3"/>
  <c r="E55" i="3"/>
  <c r="F55" i="3"/>
  <c r="J55" i="3"/>
  <c r="G53" i="3"/>
  <c r="H53" i="3"/>
  <c r="J53" i="3"/>
  <c r="L53" i="3"/>
  <c r="E53" i="3"/>
  <c r="F53" i="3"/>
  <c r="L50" i="3"/>
  <c r="M50" i="3"/>
  <c r="G50" i="3"/>
  <c r="E50" i="3"/>
  <c r="F50" i="3"/>
  <c r="K48" i="3"/>
  <c r="H48" i="3"/>
  <c r="J48" i="3"/>
  <c r="G48" i="3"/>
  <c r="M48" i="3"/>
  <c r="G46" i="3"/>
  <c r="H46" i="3"/>
  <c r="J46" i="3"/>
  <c r="K46" i="3"/>
  <c r="M46" i="3"/>
  <c r="K44" i="3"/>
  <c r="J44" i="3"/>
  <c r="G44" i="3"/>
  <c r="F44" i="3"/>
  <c r="H44" i="3"/>
  <c r="G42" i="3"/>
  <c r="M42" i="3"/>
  <c r="K42" i="3"/>
  <c r="H42" i="3"/>
  <c r="J42" i="3"/>
  <c r="B12" i="2"/>
  <c r="H24" i="2"/>
  <c r="B39" i="2"/>
  <c r="B49" i="2" s="1"/>
  <c r="K18" i="5" s="1"/>
  <c r="H49" i="2"/>
  <c r="I10" i="4"/>
  <c r="L10" i="4"/>
  <c r="H10" i="4"/>
  <c r="Y60" i="3"/>
  <c r="Z60" i="3"/>
  <c r="R58" i="3"/>
  <c r="X58" i="3"/>
  <c r="R49" i="3"/>
  <c r="Q49" i="3"/>
  <c r="X49" i="3"/>
  <c r="H9" i="3"/>
  <c r="F9" i="3"/>
  <c r="X45" i="4"/>
  <c r="V45" i="4"/>
  <c r="R45" i="4"/>
  <c r="Q45" i="4" s="1"/>
  <c r="Z45" i="4"/>
  <c r="Z58" i="3"/>
  <c r="U58" i="3"/>
  <c r="U60" i="3"/>
  <c r="F45" i="4"/>
  <c r="E45" i="4"/>
  <c r="D45" i="4" s="1"/>
  <c r="N45" i="4"/>
  <c r="J45" i="4"/>
  <c r="M39" i="4"/>
  <c r="L39" i="4"/>
  <c r="J39" i="4"/>
  <c r="D39" i="4"/>
  <c r="M19" i="4"/>
  <c r="L19" i="4"/>
  <c r="J19" i="4" s="1"/>
  <c r="Y17" i="4"/>
  <c r="X17" i="4"/>
  <c r="W17" i="4" s="1"/>
  <c r="V17" i="4"/>
  <c r="R17" i="4" s="1"/>
  <c r="AA17" i="4"/>
  <c r="C24" i="2"/>
  <c r="F13" i="3"/>
  <c r="G13" i="3"/>
  <c r="E69" i="10"/>
  <c r="F69" i="10" s="1"/>
  <c r="R34" i="10"/>
  <c r="S34" i="10"/>
  <c r="E65" i="10"/>
  <c r="F65" i="10" s="1"/>
  <c r="R30" i="10"/>
  <c r="U30" i="10" s="1"/>
  <c r="O65" i="10" s="1"/>
  <c r="S30" i="10"/>
  <c r="S26" i="10"/>
  <c r="E57" i="10"/>
  <c r="F57" i="10" s="1"/>
  <c r="R22" i="10"/>
  <c r="S22" i="10"/>
  <c r="E53" i="10"/>
  <c r="F53" i="10" s="1"/>
  <c r="R18" i="10"/>
  <c r="U18" i="10" s="1"/>
  <c r="O53" i="10" s="1"/>
  <c r="S18" i="10"/>
  <c r="I14" i="10"/>
  <c r="L26" i="3"/>
  <c r="K26" i="3"/>
  <c r="G22" i="3"/>
  <c r="F22" i="3"/>
  <c r="L47" i="6"/>
  <c r="K45" i="6"/>
  <c r="L45" i="6"/>
  <c r="I12" i="10"/>
  <c r="S32" i="10"/>
  <c r="S24" i="10"/>
  <c r="S20" i="10"/>
  <c r="S16" i="10"/>
  <c r="S12" i="10"/>
  <c r="R32" i="10"/>
  <c r="N67" i="10" s="1"/>
  <c r="R24" i="10"/>
  <c r="N59" i="10" s="1"/>
  <c r="R20" i="10"/>
  <c r="U20" i="10" s="1"/>
  <c r="O55" i="10" s="1"/>
  <c r="R16" i="10"/>
  <c r="U16" i="10" s="1"/>
  <c r="O51" i="10" s="1"/>
  <c r="R12" i="10"/>
  <c r="U12" i="10" s="1"/>
  <c r="O47" i="10" s="1"/>
  <c r="Q8" i="4"/>
  <c r="D8" i="4"/>
  <c r="W45" i="4"/>
  <c r="D53" i="3"/>
  <c r="D20" i="4"/>
  <c r="X48" i="4"/>
  <c r="D30" i="3"/>
  <c r="D19" i="4"/>
  <c r="J33" i="4"/>
  <c r="D50" i="3"/>
  <c r="B24" i="2"/>
  <c r="K12" i="5" s="1"/>
  <c r="R12" i="5" s="1"/>
  <c r="E36" i="4"/>
  <c r="E44" i="4"/>
  <c r="D44" i="4"/>
  <c r="J47" i="4"/>
  <c r="R12" i="4"/>
  <c r="D36" i="4"/>
  <c r="K16" i="5"/>
  <c r="R16" i="5" s="1"/>
  <c r="R24" i="5"/>
  <c r="K24" i="5"/>
  <c r="N69" i="10" l="1"/>
  <c r="D65" i="10"/>
  <c r="E30" i="10"/>
  <c r="C65" i="10" s="1"/>
  <c r="D64" i="10"/>
  <c r="E29" i="10"/>
  <c r="C64" i="10" s="1"/>
  <c r="D61" i="10"/>
  <c r="E26" i="10"/>
  <c r="C61" i="10" s="1"/>
  <c r="D60" i="10"/>
  <c r="E25" i="10"/>
  <c r="C60" i="10" s="1"/>
  <c r="D57" i="10"/>
  <c r="E22" i="10"/>
  <c r="C57" i="10" s="1"/>
  <c r="D56" i="10"/>
  <c r="E21" i="10"/>
  <c r="C56" i="10" s="1"/>
  <c r="D69" i="10"/>
  <c r="E34" i="10"/>
  <c r="C69" i="10" s="1"/>
  <c r="D68" i="10"/>
  <c r="E33" i="10"/>
  <c r="C68" i="10" s="1"/>
  <c r="D48" i="10"/>
  <c r="D49" i="10"/>
  <c r="E14" i="10"/>
  <c r="C49" i="10" s="1"/>
  <c r="S21" i="10"/>
  <c r="E56" i="10"/>
  <c r="F56" i="10" s="1"/>
  <c r="I21" i="10"/>
  <c r="S29" i="10"/>
  <c r="E64" i="10"/>
  <c r="F64" i="10" s="1"/>
  <c r="E63" i="10"/>
  <c r="F63" i="10" s="1"/>
  <c r="G28" i="10"/>
  <c r="I26" i="10"/>
  <c r="R27" i="10"/>
  <c r="N62" i="10" s="1"/>
  <c r="G27" i="10"/>
  <c r="R26" i="10"/>
  <c r="U26" i="10" s="1"/>
  <c r="O61" i="10" s="1"/>
  <c r="S28" i="10"/>
  <c r="R14" i="10"/>
  <c r="U14" i="10" s="1"/>
  <c r="O49" i="10" s="1"/>
  <c r="E61" i="10"/>
  <c r="F61" i="10" s="1"/>
  <c r="I34" i="10"/>
  <c r="E59" i="10"/>
  <c r="F59" i="10" s="1"/>
  <c r="G24" i="10"/>
  <c r="R29" i="10"/>
  <c r="T29" i="10" s="1"/>
  <c r="S23" i="10"/>
  <c r="G23" i="10"/>
  <c r="E49" i="10"/>
  <c r="F49" i="10" s="1"/>
  <c r="I30" i="10"/>
  <c r="I29" i="10"/>
  <c r="I28" i="10"/>
  <c r="E67" i="10"/>
  <c r="F67" i="10" s="1"/>
  <c r="G32" i="10"/>
  <c r="E55" i="10"/>
  <c r="F55" i="10" s="1"/>
  <c r="G20" i="10"/>
  <c r="E66" i="10"/>
  <c r="F66" i="10" s="1"/>
  <c r="G31" i="10"/>
  <c r="R19" i="10"/>
  <c r="U19" i="10" s="1"/>
  <c r="O54" i="10" s="1"/>
  <c r="G19" i="10"/>
  <c r="I19" i="10"/>
  <c r="S14" i="10"/>
  <c r="R28" i="10"/>
  <c r="U28" i="10" s="1"/>
  <c r="O63" i="10" s="1"/>
  <c r="U34" i="10"/>
  <c r="O69" i="10" s="1"/>
  <c r="N51" i="10"/>
  <c r="H37" i="9"/>
  <c r="H56" i="9" s="1"/>
  <c r="H45" i="19"/>
  <c r="J45" i="19"/>
  <c r="N65" i="19"/>
  <c r="N55" i="19"/>
  <c r="N58" i="19"/>
  <c r="N61" i="19"/>
  <c r="N67" i="19"/>
  <c r="N66" i="19"/>
  <c r="N64" i="19"/>
  <c r="N60" i="19"/>
  <c r="N46" i="19"/>
  <c r="N56" i="19"/>
  <c r="N49" i="19"/>
  <c r="N52" i="19"/>
  <c r="N59" i="19"/>
  <c r="N48" i="19"/>
  <c r="N53" i="19"/>
  <c r="N57" i="19"/>
  <c r="N54" i="19"/>
  <c r="N47" i="19"/>
  <c r="N69" i="19"/>
  <c r="N62" i="19"/>
  <c r="N63" i="19"/>
  <c r="N68" i="19"/>
  <c r="N51" i="19"/>
  <c r="N50" i="19"/>
  <c r="I45" i="19"/>
  <c r="G45" i="19"/>
  <c r="H45" i="10"/>
  <c r="M10" i="19"/>
  <c r="K10" i="19"/>
  <c r="T30" i="19"/>
  <c r="T23" i="19"/>
  <c r="T18" i="19"/>
  <c r="T25" i="19"/>
  <c r="T28" i="19"/>
  <c r="T21" i="19"/>
  <c r="T17" i="19"/>
  <c r="T14" i="19"/>
  <c r="T20" i="19"/>
  <c r="T31" i="19"/>
  <c r="T26" i="19"/>
  <c r="T19" i="19"/>
  <c r="T29" i="19"/>
  <c r="T13" i="19"/>
  <c r="T32" i="19"/>
  <c r="T12" i="19"/>
  <c r="T11" i="19"/>
  <c r="T24" i="19"/>
  <c r="T22" i="19"/>
  <c r="T27" i="19"/>
  <c r="T16" i="19"/>
  <c r="T15" i="19"/>
  <c r="T33" i="19"/>
  <c r="T34" i="19"/>
  <c r="BD26" i="15"/>
  <c r="M10" i="17"/>
  <c r="K10" i="17"/>
  <c r="T34" i="17"/>
  <c r="T30" i="17"/>
  <c r="T31" i="17"/>
  <c r="T11" i="17"/>
  <c r="T29" i="17"/>
  <c r="T28" i="17"/>
  <c r="T32" i="17"/>
  <c r="T27" i="17"/>
  <c r="T33" i="17"/>
  <c r="J45" i="17"/>
  <c r="H45" i="17"/>
  <c r="N64" i="17"/>
  <c r="N65" i="17"/>
  <c r="N67" i="17"/>
  <c r="N63" i="17"/>
  <c r="N46" i="17"/>
  <c r="N69" i="17"/>
  <c r="N66" i="17"/>
  <c r="N68" i="17"/>
  <c r="N62" i="17"/>
  <c r="G45" i="10"/>
  <c r="I45" i="17"/>
  <c r="G45" i="17"/>
  <c r="N56" i="10"/>
  <c r="W47" i="6"/>
  <c r="N47" i="10"/>
  <c r="N55" i="10"/>
  <c r="N65" i="10"/>
  <c r="N53" i="10"/>
  <c r="N46" i="10"/>
  <c r="N48" i="10"/>
  <c r="V36" i="11"/>
  <c r="N57" i="10"/>
  <c r="V11" i="11"/>
  <c r="T11" i="16"/>
  <c r="G37" i="9"/>
  <c r="G44" i="9" s="1"/>
  <c r="H45" i="16"/>
  <c r="J45" i="16"/>
  <c r="N46" i="16"/>
  <c r="E32" i="12"/>
  <c r="E39" i="12" s="1"/>
  <c r="G45" i="16"/>
  <c r="I45" i="16"/>
  <c r="K10" i="10"/>
  <c r="K10" i="16"/>
  <c r="M10" i="16"/>
  <c r="I7" i="9"/>
  <c r="I19" i="9" s="1"/>
  <c r="T13" i="10"/>
  <c r="T34" i="10"/>
  <c r="T11" i="10"/>
  <c r="T18" i="10"/>
  <c r="T32" i="10"/>
  <c r="T30" i="10"/>
  <c r="T16" i="10"/>
  <c r="W12" i="6"/>
  <c r="T21" i="10"/>
  <c r="T20" i="10"/>
  <c r="F37" i="9"/>
  <c r="F47" i="9" s="1"/>
  <c r="O42" i="6"/>
  <c r="V59" i="3"/>
  <c r="P59" i="3" s="1"/>
  <c r="P42" i="6"/>
  <c r="F32" i="12"/>
  <c r="F41" i="12" s="1"/>
  <c r="N42" i="6"/>
  <c r="J45" i="10"/>
  <c r="H32" i="12"/>
  <c r="H36" i="12" s="1"/>
  <c r="H34" i="1"/>
  <c r="V8" i="3"/>
  <c r="P8" i="3" s="1"/>
  <c r="V21" i="3"/>
  <c r="P21" i="3" s="1"/>
  <c r="I10" i="3"/>
  <c r="H59" i="9"/>
  <c r="H47" i="9"/>
  <c r="V23" i="3"/>
  <c r="P23" i="3" s="1"/>
  <c r="H55" i="9"/>
  <c r="H42" i="9"/>
  <c r="H50" i="9"/>
  <c r="V27" i="3"/>
  <c r="V13" i="3"/>
  <c r="B31" i="1"/>
  <c r="V57" i="3"/>
  <c r="P57" i="3" s="1"/>
  <c r="B62" i="1"/>
  <c r="B63" i="1"/>
  <c r="I24" i="3"/>
  <c r="C24" i="3" s="1"/>
  <c r="B52" i="1"/>
  <c r="I37" i="9"/>
  <c r="I39" i="9" s="1"/>
  <c r="G32" i="12"/>
  <c r="G41" i="12" s="1"/>
  <c r="P7" i="6"/>
  <c r="G7" i="9"/>
  <c r="G15" i="9" s="1"/>
  <c r="N7" i="6"/>
  <c r="H7" i="12"/>
  <c r="H20" i="12" s="1"/>
  <c r="M10" i="10"/>
  <c r="F7" i="12"/>
  <c r="B32" i="1"/>
  <c r="V58" i="3"/>
  <c r="V16" i="3"/>
  <c r="P16" i="3" s="1"/>
  <c r="I23" i="3"/>
  <c r="C23" i="3" s="1"/>
  <c r="V41" i="3"/>
  <c r="V22" i="3"/>
  <c r="P22" i="3" s="1"/>
  <c r="V10" i="3"/>
  <c r="P10" i="3" s="1"/>
  <c r="V12" i="3"/>
  <c r="P12" i="3" s="1"/>
  <c r="I16" i="3"/>
  <c r="B12" i="1"/>
  <c r="I32" i="3"/>
  <c r="C32" i="3" s="1"/>
  <c r="V26" i="3"/>
  <c r="P26" i="3" s="1"/>
  <c r="I59" i="3"/>
  <c r="C59" i="3" s="1"/>
  <c r="I31" i="3"/>
  <c r="I20" i="3"/>
  <c r="C20" i="3" s="1"/>
  <c r="I18" i="3"/>
  <c r="I45" i="3"/>
  <c r="C45" i="3" s="1"/>
  <c r="B29" i="1"/>
  <c r="V30" i="3"/>
  <c r="P30" i="3" s="1"/>
  <c r="V61" i="3"/>
  <c r="P61" i="3" s="1"/>
  <c r="I21" i="3"/>
  <c r="V25" i="3"/>
  <c r="P25" i="3" s="1"/>
  <c r="V62" i="3"/>
  <c r="P62" i="3" s="1"/>
  <c r="I41" i="3"/>
  <c r="C41" i="3" s="1"/>
  <c r="B44" i="1"/>
  <c r="B57" i="1"/>
  <c r="B51" i="1"/>
  <c r="B58" i="1"/>
  <c r="V46" i="3"/>
  <c r="V50" i="3"/>
  <c r="V52" i="3"/>
  <c r="P52" i="3" s="1"/>
  <c r="V44" i="3"/>
  <c r="P44" i="3" s="1"/>
  <c r="V55" i="3"/>
  <c r="I57" i="3"/>
  <c r="C57" i="3" s="1"/>
  <c r="B42" i="1"/>
  <c r="B48" i="1"/>
  <c r="I46" i="3"/>
  <c r="C46" i="3" s="1"/>
  <c r="B43" i="1"/>
  <c r="V65" i="3"/>
  <c r="P65" i="3" s="1"/>
  <c r="I52" i="3"/>
  <c r="I54" i="3"/>
  <c r="C54" i="3" s="1"/>
  <c r="V60" i="3"/>
  <c r="P60" i="3" s="1"/>
  <c r="I53" i="3"/>
  <c r="C53" i="3" s="1"/>
  <c r="I60" i="3"/>
  <c r="B64" i="1"/>
  <c r="V51" i="3"/>
  <c r="P51" i="3" s="1"/>
  <c r="B47" i="1"/>
  <c r="B54" i="1"/>
  <c r="V56" i="3"/>
  <c r="P56" i="3" s="1"/>
  <c r="I44" i="3"/>
  <c r="C44" i="3" s="1"/>
  <c r="I58" i="3"/>
  <c r="B65" i="1"/>
  <c r="I50" i="3"/>
  <c r="C50" i="3" s="1"/>
  <c r="V48" i="3"/>
  <c r="V47" i="3"/>
  <c r="P47" i="3" s="1"/>
  <c r="C20" i="5"/>
  <c r="V53" i="3"/>
  <c r="V45" i="3"/>
  <c r="V54" i="3"/>
  <c r="V49" i="3"/>
  <c r="P49" i="3" s="1"/>
  <c r="I47" i="3"/>
  <c r="C47" i="3" s="1"/>
  <c r="Y66" i="3"/>
  <c r="I51" i="3"/>
  <c r="C51" i="3" s="1"/>
  <c r="C21" i="5"/>
  <c r="V9" i="3"/>
  <c r="P9" i="3" s="1"/>
  <c r="B19" i="1"/>
  <c r="V28" i="3"/>
  <c r="P28" i="3" s="1"/>
  <c r="V29" i="3"/>
  <c r="P29" i="3" s="1"/>
  <c r="I12" i="3"/>
  <c r="V18" i="3"/>
  <c r="I25" i="3"/>
  <c r="I14" i="3"/>
  <c r="I27" i="3"/>
  <c r="B18" i="1"/>
  <c r="I11" i="3"/>
  <c r="C11" i="3" s="1"/>
  <c r="V17" i="3"/>
  <c r="I22" i="3"/>
  <c r="I15" i="3"/>
  <c r="I29" i="3"/>
  <c r="V19" i="3"/>
  <c r="B22" i="1"/>
  <c r="B10" i="1"/>
  <c r="B23" i="1"/>
  <c r="V11" i="3"/>
  <c r="I19" i="3"/>
  <c r="C19" i="3" s="1"/>
  <c r="V14" i="3"/>
  <c r="B24" i="1"/>
  <c r="V31" i="3"/>
  <c r="P31" i="3" s="1"/>
  <c r="I30" i="3"/>
  <c r="C30" i="3" s="1"/>
  <c r="I17" i="3"/>
  <c r="C17" i="3" s="1"/>
  <c r="V32" i="3"/>
  <c r="B27" i="1"/>
  <c r="C14" i="5"/>
  <c r="C16" i="5" s="1"/>
  <c r="I8" i="3"/>
  <c r="C8" i="3" s="1"/>
  <c r="Q45" i="3"/>
  <c r="Q41" i="3"/>
  <c r="Q42" i="3"/>
  <c r="Q54" i="3"/>
  <c r="B46" i="1"/>
  <c r="Q46" i="3"/>
  <c r="Q56" i="3"/>
  <c r="D60" i="3"/>
  <c r="Q53" i="3"/>
  <c r="D52" i="3"/>
  <c r="B55" i="1"/>
  <c r="F33" i="3"/>
  <c r="B11" i="1"/>
  <c r="Q18" i="3"/>
  <c r="D14" i="3"/>
  <c r="Q19" i="3"/>
  <c r="D26" i="3"/>
  <c r="D12" i="3"/>
  <c r="Q32" i="3"/>
  <c r="Q11" i="3"/>
  <c r="D11" i="3"/>
  <c r="Q14" i="3"/>
  <c r="D28" i="3"/>
  <c r="D31" i="3"/>
  <c r="B26" i="1"/>
  <c r="D27" i="3"/>
  <c r="D10" i="3"/>
  <c r="Q29" i="3"/>
  <c r="Q13" i="3"/>
  <c r="Q17" i="3"/>
  <c r="D21" i="3"/>
  <c r="Q12" i="4"/>
  <c r="R18" i="5"/>
  <c r="K22" i="5"/>
  <c r="R22" i="5" s="1"/>
  <c r="Q11" i="4"/>
  <c r="U24" i="10"/>
  <c r="O59" i="10" s="1"/>
  <c r="T24" i="10"/>
  <c r="Q17" i="4"/>
  <c r="E47" i="4"/>
  <c r="D47" i="4" s="1"/>
  <c r="R13" i="4"/>
  <c r="Q13" i="4" s="1"/>
  <c r="W12" i="4"/>
  <c r="D22" i="4"/>
  <c r="T12" i="10"/>
  <c r="Y23" i="4"/>
  <c r="B50" i="1"/>
  <c r="C67" i="1"/>
  <c r="B56" i="1"/>
  <c r="H67" i="1"/>
  <c r="U22" i="10"/>
  <c r="O57" i="10" s="1"/>
  <c r="T22" i="10"/>
  <c r="T23" i="4"/>
  <c r="W11" i="4"/>
  <c r="Q58" i="3"/>
  <c r="U32" i="10"/>
  <c r="O67" i="10" s="1"/>
  <c r="Q27" i="3"/>
  <c r="H60" i="6"/>
  <c r="K60" i="6"/>
  <c r="J11" i="6"/>
  <c r="J21" i="6"/>
  <c r="J15" i="6"/>
  <c r="J14" i="6"/>
  <c r="J28" i="6"/>
  <c r="J19" i="6"/>
  <c r="J9" i="6"/>
  <c r="J12" i="6"/>
  <c r="J17" i="6"/>
  <c r="J23" i="6"/>
  <c r="J25" i="6"/>
  <c r="J27" i="6"/>
  <c r="J8" i="6"/>
  <c r="J31" i="6"/>
  <c r="J32" i="6"/>
  <c r="J30" i="6"/>
  <c r="J24" i="6"/>
  <c r="J16" i="6"/>
  <c r="J10" i="6"/>
  <c r="J18" i="6"/>
  <c r="J20" i="6"/>
  <c r="J62" i="3"/>
  <c r="L62" i="3"/>
  <c r="K62" i="3"/>
  <c r="M62" i="3"/>
  <c r="G62" i="3"/>
  <c r="H62" i="3"/>
  <c r="E62" i="3"/>
  <c r="F62" i="3"/>
  <c r="H56" i="3"/>
  <c r="E56" i="3"/>
  <c r="D56" i="3" s="1"/>
  <c r="J56" i="3"/>
  <c r="G56" i="3"/>
  <c r="L56" i="3"/>
  <c r="F56" i="3"/>
  <c r="K56" i="3"/>
  <c r="J49" i="3"/>
  <c r="L49" i="3"/>
  <c r="G49" i="3"/>
  <c r="H49" i="3"/>
  <c r="E49" i="3"/>
  <c r="D49" i="3" s="1"/>
  <c r="F49" i="3"/>
  <c r="K49" i="3"/>
  <c r="M43" i="3"/>
  <c r="E43" i="3"/>
  <c r="J43" i="3"/>
  <c r="L43" i="3"/>
  <c r="F43" i="3"/>
  <c r="H43" i="3"/>
  <c r="K43" i="3"/>
  <c r="G43" i="3"/>
  <c r="D11" i="4"/>
  <c r="D58" i="3"/>
  <c r="V16" i="4"/>
  <c r="V23" i="4" s="1"/>
  <c r="S16" i="4"/>
  <c r="AA16" i="4"/>
  <c r="AA23" i="4" s="1"/>
  <c r="U16" i="4"/>
  <c r="X16" i="4"/>
  <c r="Z16" i="4"/>
  <c r="T16" i="4"/>
  <c r="H53" i="6"/>
  <c r="K53" i="6"/>
  <c r="L57" i="6"/>
  <c r="I57" i="6"/>
  <c r="E18" i="4"/>
  <c r="D18" i="4" s="1"/>
  <c r="W44" i="4"/>
  <c r="D18" i="3"/>
  <c r="E35" i="4"/>
  <c r="D35" i="4" s="1"/>
  <c r="F61" i="3"/>
  <c r="E61" i="3"/>
  <c r="J61" i="3"/>
  <c r="I61" i="3" s="1"/>
  <c r="M55" i="3"/>
  <c r="I55" i="3" s="1"/>
  <c r="G55" i="3"/>
  <c r="D55" i="3" s="1"/>
  <c r="H55" i="3"/>
  <c r="L48" i="3"/>
  <c r="I48" i="3" s="1"/>
  <c r="F48" i="3"/>
  <c r="E48" i="3"/>
  <c r="L42" i="3"/>
  <c r="F42" i="3"/>
  <c r="E42" i="3"/>
  <c r="X64" i="3"/>
  <c r="X66" i="3" s="1"/>
  <c r="T64" i="3"/>
  <c r="T66" i="3" s="1"/>
  <c r="U64" i="3"/>
  <c r="U66" i="3" s="1"/>
  <c r="S64" i="3"/>
  <c r="S66" i="3" s="1"/>
  <c r="R64" i="3"/>
  <c r="Q64" i="3" s="1"/>
  <c r="W64" i="3"/>
  <c r="W66" i="3" s="1"/>
  <c r="Z64" i="3"/>
  <c r="Z66" i="3" s="1"/>
  <c r="I25" i="10"/>
  <c r="S25" i="10"/>
  <c r="E60" i="10"/>
  <c r="F60" i="10" s="1"/>
  <c r="R25" i="10"/>
  <c r="D41" i="4"/>
  <c r="D42" i="4"/>
  <c r="Q48" i="3"/>
  <c r="R15" i="4"/>
  <c r="X10" i="4"/>
  <c r="U10" i="4"/>
  <c r="C18" i="5"/>
  <c r="F64" i="3"/>
  <c r="J64" i="3"/>
  <c r="E64" i="3"/>
  <c r="H64" i="3"/>
  <c r="M64" i="3"/>
  <c r="K64" i="3"/>
  <c r="Q22" i="4"/>
  <c r="W36" i="4"/>
  <c r="Q36" i="4" s="1"/>
  <c r="F10" i="4"/>
  <c r="G10" i="4"/>
  <c r="G23" i="4" s="1"/>
  <c r="K10" i="4"/>
  <c r="N10" i="4"/>
  <c r="R15" i="3"/>
  <c r="U15" i="3"/>
  <c r="Z15" i="3"/>
  <c r="S15" i="3"/>
  <c r="X15" i="3"/>
  <c r="T15" i="3"/>
  <c r="Y15" i="3"/>
  <c r="L26" i="6"/>
  <c r="I26" i="6"/>
  <c r="I20" i="6"/>
  <c r="L20" i="6"/>
  <c r="D46" i="4"/>
  <c r="Q50" i="3"/>
  <c r="D15" i="3"/>
  <c r="Q46" i="4"/>
  <c r="Q55" i="3"/>
  <c r="K14" i="4"/>
  <c r="L14" i="4"/>
  <c r="L23" i="4" s="1"/>
  <c r="I14" i="4"/>
  <c r="I23" i="4" s="1"/>
  <c r="G14" i="4"/>
  <c r="E14" i="4" s="1"/>
  <c r="H14" i="4"/>
  <c r="H23" i="4" s="1"/>
  <c r="M14" i="4"/>
  <c r="M23" i="4" s="1"/>
  <c r="N14" i="4"/>
  <c r="D25" i="3"/>
  <c r="U20" i="3"/>
  <c r="Z20" i="3"/>
  <c r="X20" i="3"/>
  <c r="T20" i="3"/>
  <c r="Y20" i="3"/>
  <c r="R20" i="3"/>
  <c r="W20" i="3"/>
  <c r="S33" i="4"/>
  <c r="U33" i="4"/>
  <c r="Y33" i="4"/>
  <c r="AA33" i="4"/>
  <c r="S33" i="10"/>
  <c r="I33" i="10"/>
  <c r="R33" i="10"/>
  <c r="E33" i="4"/>
  <c r="S20" i="3"/>
  <c r="V63" i="3"/>
  <c r="P63" i="3" s="1"/>
  <c r="L9" i="3"/>
  <c r="G9" i="3"/>
  <c r="G33" i="3" s="1"/>
  <c r="E9" i="3"/>
  <c r="K9" i="3"/>
  <c r="K33" i="3" s="1"/>
  <c r="D13" i="5" s="1"/>
  <c r="J13" i="5" s="1"/>
  <c r="M9" i="3"/>
  <c r="J9" i="3"/>
  <c r="E68" i="10"/>
  <c r="F68" i="10" s="1"/>
  <c r="J15" i="4"/>
  <c r="D15" i="4" s="1"/>
  <c r="Q44" i="4"/>
  <c r="V42" i="3"/>
  <c r="V43" i="3"/>
  <c r="P43" i="3" s="1"/>
  <c r="T24" i="3"/>
  <c r="R24" i="3"/>
  <c r="W24" i="3"/>
  <c r="U24" i="3"/>
  <c r="Z24" i="3"/>
  <c r="S24" i="3"/>
  <c r="X24" i="3"/>
  <c r="L65" i="3"/>
  <c r="K65" i="3"/>
  <c r="J65" i="3"/>
  <c r="E65" i="3"/>
  <c r="F65" i="3"/>
  <c r="M65" i="3"/>
  <c r="G65" i="3"/>
  <c r="D29" i="3"/>
  <c r="U39" i="4"/>
  <c r="V39" i="4"/>
  <c r="AA39" i="4"/>
  <c r="Z39" i="4"/>
  <c r="T39" i="4"/>
  <c r="T48" i="4" s="1"/>
  <c r="S39" i="4"/>
  <c r="R39" i="4" s="1"/>
  <c r="J12" i="4"/>
  <c r="D12" i="4" s="1"/>
  <c r="D16" i="3"/>
  <c r="J9" i="4"/>
  <c r="D9" i="4" s="1"/>
  <c r="L43" i="4"/>
  <c r="L48" i="4" s="1"/>
  <c r="N43" i="4"/>
  <c r="N48" i="4" s="1"/>
  <c r="I43" i="4"/>
  <c r="I48" i="4" s="1"/>
  <c r="F43" i="4"/>
  <c r="G43" i="4"/>
  <c r="G48" i="4" s="1"/>
  <c r="H43" i="4"/>
  <c r="H48" i="4" s="1"/>
  <c r="K43" i="4"/>
  <c r="M43" i="4"/>
  <c r="M48" i="4" s="1"/>
  <c r="E13" i="3"/>
  <c r="J13" i="3"/>
  <c r="H13" i="3"/>
  <c r="L13" i="3"/>
  <c r="I17" i="10"/>
  <c r="E52" i="10"/>
  <c r="F52" i="10" s="1"/>
  <c r="S17" i="10"/>
  <c r="H45" i="9"/>
  <c r="K37" i="4"/>
  <c r="Z15" i="4"/>
  <c r="Z23" i="4" s="1"/>
  <c r="V41" i="4"/>
  <c r="R41" i="4" s="1"/>
  <c r="Q41" i="4" s="1"/>
  <c r="I23" i="10"/>
  <c r="V15" i="11"/>
  <c r="S15" i="10"/>
  <c r="E62" i="10"/>
  <c r="F62" i="10" s="1"/>
  <c r="N7" i="10"/>
  <c r="E50" i="10"/>
  <c r="F50" i="10" s="1"/>
  <c r="W52" i="6"/>
  <c r="X20" i="4"/>
  <c r="W20" i="4" s="1"/>
  <c r="Q20" i="4" s="1"/>
  <c r="M26" i="3"/>
  <c r="I26" i="3" s="1"/>
  <c r="C26" i="3" s="1"/>
  <c r="H22" i="3"/>
  <c r="D22" i="3" s="1"/>
  <c r="AA40" i="4"/>
  <c r="W40" i="4" s="1"/>
  <c r="Q40" i="4" s="1"/>
  <c r="R31" i="10"/>
  <c r="R23" i="10"/>
  <c r="R15" i="10"/>
  <c r="V40" i="11"/>
  <c r="K63" i="3"/>
  <c r="I63" i="3" s="1"/>
  <c r="C63" i="3" s="1"/>
  <c r="M28" i="3"/>
  <c r="I28" i="3" s="1"/>
  <c r="I31" i="10"/>
  <c r="E58" i="10"/>
  <c r="F58" i="10" s="1"/>
  <c r="H52" i="9" l="1"/>
  <c r="H40" i="9"/>
  <c r="H41" i="9"/>
  <c r="H57" i="9"/>
  <c r="H38" i="9"/>
  <c r="H43" i="9"/>
  <c r="H48" i="9"/>
  <c r="H54" i="9"/>
  <c r="H46" i="9"/>
  <c r="H49" i="9"/>
  <c r="H39" i="9"/>
  <c r="H58" i="9"/>
  <c r="H53" i="9"/>
  <c r="H44" i="9"/>
  <c r="H51" i="9"/>
  <c r="I69" i="10"/>
  <c r="D66" i="10"/>
  <c r="E31" i="10"/>
  <c r="C66" i="10" s="1"/>
  <c r="D59" i="10"/>
  <c r="H59" i="10" s="1"/>
  <c r="E24" i="10"/>
  <c r="C59" i="10" s="1"/>
  <c r="D55" i="10"/>
  <c r="G55" i="10" s="1"/>
  <c r="E20" i="10"/>
  <c r="C55" i="10" s="1"/>
  <c r="U27" i="10"/>
  <c r="O62" i="10" s="1"/>
  <c r="D67" i="10"/>
  <c r="E32" i="10"/>
  <c r="C67" i="10" s="1"/>
  <c r="D62" i="10"/>
  <c r="I62" i="10" s="1"/>
  <c r="E27" i="10"/>
  <c r="C62" i="10" s="1"/>
  <c r="D58" i="10"/>
  <c r="E23" i="10"/>
  <c r="C58" i="10" s="1"/>
  <c r="D63" i="10"/>
  <c r="E28" i="10"/>
  <c r="C63" i="10" s="1"/>
  <c r="D54" i="10"/>
  <c r="E19" i="10"/>
  <c r="C54" i="10" s="1"/>
  <c r="N61" i="10"/>
  <c r="H61" i="10" s="1"/>
  <c r="T26" i="10"/>
  <c r="T28" i="10"/>
  <c r="N63" i="10"/>
  <c r="N49" i="10"/>
  <c r="G49" i="10" s="1"/>
  <c r="U29" i="10"/>
  <c r="O64" i="10" s="1"/>
  <c r="N64" i="10"/>
  <c r="H64" i="10" s="1"/>
  <c r="T14" i="10"/>
  <c r="N54" i="10"/>
  <c r="T19" i="10"/>
  <c r="T27" i="10"/>
  <c r="E37" i="12"/>
  <c r="H57" i="19"/>
  <c r="E41" i="12"/>
  <c r="H62" i="19"/>
  <c r="I60" i="19"/>
  <c r="I64" i="19"/>
  <c r="I66" i="19"/>
  <c r="J54" i="19"/>
  <c r="I67" i="19"/>
  <c r="I58" i="19"/>
  <c r="I48" i="19"/>
  <c r="H56" i="19"/>
  <c r="H51" i="10"/>
  <c r="G65" i="19"/>
  <c r="G56" i="19"/>
  <c r="G53" i="19"/>
  <c r="G47" i="19"/>
  <c r="G59" i="19"/>
  <c r="G61" i="19"/>
  <c r="G52" i="19"/>
  <c r="G46" i="19"/>
  <c r="G69" i="19"/>
  <c r="G57" i="19"/>
  <c r="G48" i="19"/>
  <c r="G67" i="19"/>
  <c r="G55" i="19"/>
  <c r="G64" i="19"/>
  <c r="G66" i="19"/>
  <c r="G60" i="19"/>
  <c r="G58" i="19"/>
  <c r="G54" i="19"/>
  <c r="G63" i="19"/>
  <c r="G68" i="19"/>
  <c r="G62" i="19"/>
  <c r="G50" i="19"/>
  <c r="G51" i="19"/>
  <c r="I55" i="19"/>
  <c r="I61" i="19"/>
  <c r="I47" i="19"/>
  <c r="I59" i="19"/>
  <c r="I52" i="19"/>
  <c r="I53" i="19"/>
  <c r="I65" i="19"/>
  <c r="I56" i="19"/>
  <c r="I54" i="19"/>
  <c r="I57" i="19"/>
  <c r="I46" i="19"/>
  <c r="I49" i="19"/>
  <c r="I51" i="19"/>
  <c r="I69" i="19"/>
  <c r="I62" i="19"/>
  <c r="I50" i="19"/>
  <c r="I68" i="19"/>
  <c r="I63" i="19"/>
  <c r="J66" i="19"/>
  <c r="J59" i="19"/>
  <c r="J52" i="19"/>
  <c r="J53" i="19"/>
  <c r="J65" i="19"/>
  <c r="J49" i="19"/>
  <c r="J47" i="19"/>
  <c r="J48" i="19"/>
  <c r="J60" i="19"/>
  <c r="J64" i="19"/>
  <c r="J56" i="19"/>
  <c r="J57" i="19"/>
  <c r="J58" i="19"/>
  <c r="J67" i="19"/>
  <c r="J55" i="19"/>
  <c r="J46" i="19"/>
  <c r="J61" i="19"/>
  <c r="J62" i="19"/>
  <c r="J50" i="19"/>
  <c r="J69" i="19"/>
  <c r="J68" i="19"/>
  <c r="J63" i="19"/>
  <c r="J51" i="19"/>
  <c r="G49" i="19"/>
  <c r="H53" i="19"/>
  <c r="H59" i="19"/>
  <c r="H49" i="19"/>
  <c r="H47" i="19"/>
  <c r="H52" i="19"/>
  <c r="H65" i="19"/>
  <c r="H46" i="19"/>
  <c r="H48" i="19"/>
  <c r="H64" i="19"/>
  <c r="H67" i="19"/>
  <c r="H66" i="19"/>
  <c r="H55" i="19"/>
  <c r="H60" i="19"/>
  <c r="H54" i="19"/>
  <c r="H61" i="19"/>
  <c r="H58" i="19"/>
  <c r="H50" i="19"/>
  <c r="H68" i="19"/>
  <c r="H69" i="19"/>
  <c r="H51" i="19"/>
  <c r="H63" i="19"/>
  <c r="E42" i="12"/>
  <c r="G47" i="10"/>
  <c r="E45" i="12"/>
  <c r="J65" i="17"/>
  <c r="G56" i="10"/>
  <c r="I10" i="9"/>
  <c r="H57" i="10"/>
  <c r="I66" i="17"/>
  <c r="I67" i="17"/>
  <c r="I64" i="17"/>
  <c r="I65" i="17"/>
  <c r="I46" i="17"/>
  <c r="I63" i="17"/>
  <c r="I69" i="17"/>
  <c r="I62" i="17"/>
  <c r="I68" i="17"/>
  <c r="J66" i="17"/>
  <c r="J64" i="17"/>
  <c r="J69" i="17"/>
  <c r="J46" i="17"/>
  <c r="J63" i="17"/>
  <c r="J67" i="17"/>
  <c r="J62" i="17"/>
  <c r="J68" i="17"/>
  <c r="G51" i="10"/>
  <c r="I8" i="9"/>
  <c r="G69" i="10"/>
  <c r="I20" i="9"/>
  <c r="H67" i="10"/>
  <c r="G46" i="10"/>
  <c r="G39" i="9"/>
  <c r="I18" i="9"/>
  <c r="G67" i="10"/>
  <c r="G53" i="10"/>
  <c r="G66" i="17"/>
  <c r="G48" i="10"/>
  <c r="H65" i="10"/>
  <c r="H69" i="17"/>
  <c r="H47" i="10"/>
  <c r="F56" i="9"/>
  <c r="H69" i="10"/>
  <c r="G64" i="17"/>
  <c r="G67" i="17"/>
  <c r="G63" i="17"/>
  <c r="G46" i="17"/>
  <c r="G69" i="17"/>
  <c r="G65" i="17"/>
  <c r="G62" i="17"/>
  <c r="G68" i="17"/>
  <c r="H64" i="17"/>
  <c r="H66" i="17"/>
  <c r="H67" i="17"/>
  <c r="H46" i="17"/>
  <c r="H63" i="17"/>
  <c r="H65" i="17"/>
  <c r="H62" i="17"/>
  <c r="H68" i="17"/>
  <c r="H56" i="10"/>
  <c r="E47" i="12"/>
  <c r="E43" i="12"/>
  <c r="E36" i="12"/>
  <c r="E38" i="12"/>
  <c r="G65" i="10"/>
  <c r="E35" i="12"/>
  <c r="G57" i="10"/>
  <c r="E40" i="12"/>
  <c r="I15" i="9"/>
  <c r="E46" i="12"/>
  <c r="H46" i="10"/>
  <c r="H48" i="10"/>
  <c r="I11" i="9"/>
  <c r="E33" i="12"/>
  <c r="H53" i="10"/>
  <c r="G58" i="9"/>
  <c r="G51" i="9"/>
  <c r="G49" i="9"/>
  <c r="G45" i="9"/>
  <c r="G40" i="9"/>
  <c r="G48" i="9"/>
  <c r="G43" i="9"/>
  <c r="G56" i="9"/>
  <c r="G52" i="9"/>
  <c r="G46" i="9"/>
  <c r="G41" i="9"/>
  <c r="G53" i="9"/>
  <c r="G38" i="9"/>
  <c r="G42" i="9"/>
  <c r="G59" i="9"/>
  <c r="G57" i="9"/>
  <c r="G50" i="9"/>
  <c r="G55" i="9"/>
  <c r="E34" i="12"/>
  <c r="E44" i="12"/>
  <c r="G54" i="9"/>
  <c r="E48" i="12"/>
  <c r="G47" i="9"/>
  <c r="J47" i="9" s="1"/>
  <c r="I9" i="9"/>
  <c r="I16" i="9"/>
  <c r="I23" i="9"/>
  <c r="I21" i="9"/>
  <c r="I25" i="9"/>
  <c r="I13" i="9"/>
  <c r="I29" i="9"/>
  <c r="I17" i="9"/>
  <c r="I24" i="9"/>
  <c r="I12" i="9"/>
  <c r="I22" i="9"/>
  <c r="I14" i="9"/>
  <c r="I28" i="9"/>
  <c r="I27" i="9"/>
  <c r="I26" i="9"/>
  <c r="I46" i="16"/>
  <c r="H46" i="16"/>
  <c r="G46" i="16"/>
  <c r="J46" i="16"/>
  <c r="F54" i="9"/>
  <c r="F38" i="9"/>
  <c r="F45" i="9"/>
  <c r="F59" i="9"/>
  <c r="F41" i="9"/>
  <c r="F46" i="9"/>
  <c r="F58" i="9"/>
  <c r="F43" i="9"/>
  <c r="F40" i="9"/>
  <c r="F39" i="9"/>
  <c r="F52" i="9"/>
  <c r="F44" i="9"/>
  <c r="J44" i="9" s="1"/>
  <c r="F55" i="9"/>
  <c r="F48" i="9"/>
  <c r="F49" i="9"/>
  <c r="F53" i="9"/>
  <c r="F42" i="9"/>
  <c r="F50" i="9"/>
  <c r="F51" i="9"/>
  <c r="F57" i="9"/>
  <c r="H41" i="12"/>
  <c r="J41" i="12" s="1"/>
  <c r="J56" i="10"/>
  <c r="H47" i="12"/>
  <c r="H45" i="12"/>
  <c r="J47" i="10"/>
  <c r="I59" i="10"/>
  <c r="I65" i="10"/>
  <c r="H48" i="12"/>
  <c r="H43" i="12"/>
  <c r="H37" i="12"/>
  <c r="C10" i="3"/>
  <c r="F46" i="12"/>
  <c r="F42" i="12"/>
  <c r="F36" i="12"/>
  <c r="F38" i="12"/>
  <c r="F45" i="12"/>
  <c r="F33" i="12"/>
  <c r="F48" i="12"/>
  <c r="F37" i="12"/>
  <c r="H40" i="12"/>
  <c r="F44" i="12"/>
  <c r="F39" i="12"/>
  <c r="I39" i="12" s="1"/>
  <c r="H44" i="12"/>
  <c r="I64" i="10"/>
  <c r="I53" i="10"/>
  <c r="J53" i="10"/>
  <c r="J46" i="10"/>
  <c r="J51" i="10"/>
  <c r="I47" i="10"/>
  <c r="J69" i="10"/>
  <c r="L69" i="10" s="1"/>
  <c r="H46" i="12"/>
  <c r="H33" i="12"/>
  <c r="J67" i="10"/>
  <c r="J65" i="10"/>
  <c r="I57" i="10"/>
  <c r="F43" i="12"/>
  <c r="J48" i="10"/>
  <c r="J57" i="10"/>
  <c r="F34" i="12"/>
  <c r="I46" i="10"/>
  <c r="I56" i="10"/>
  <c r="F35" i="12"/>
  <c r="I51" i="10"/>
  <c r="I67" i="10"/>
  <c r="I48" i="10"/>
  <c r="F40" i="12"/>
  <c r="F47" i="12"/>
  <c r="H35" i="12"/>
  <c r="H34" i="12"/>
  <c r="H38" i="12"/>
  <c r="H39" i="12"/>
  <c r="H42" i="12"/>
  <c r="P27" i="3"/>
  <c r="I42" i="9"/>
  <c r="K42" i="9" s="1"/>
  <c r="I47" i="9"/>
  <c r="K47" i="9" s="1"/>
  <c r="P55" i="3"/>
  <c r="I51" i="9"/>
  <c r="K51" i="9" s="1"/>
  <c r="C31" i="3"/>
  <c r="I56" i="9"/>
  <c r="K56" i="9" s="1"/>
  <c r="I41" i="9"/>
  <c r="K41" i="9" s="1"/>
  <c r="I41" i="12"/>
  <c r="I38" i="9"/>
  <c r="K38" i="9" s="1"/>
  <c r="P58" i="3"/>
  <c r="P13" i="3"/>
  <c r="I52" i="9"/>
  <c r="K52" i="9" s="1"/>
  <c r="I59" i="9"/>
  <c r="K59" i="9" s="1"/>
  <c r="G37" i="12"/>
  <c r="C58" i="3"/>
  <c r="P41" i="3"/>
  <c r="C22" i="3"/>
  <c r="P46" i="3"/>
  <c r="C18" i="3"/>
  <c r="G21" i="9"/>
  <c r="C14" i="3"/>
  <c r="I49" i="9"/>
  <c r="K49" i="9" s="1"/>
  <c r="I57" i="9"/>
  <c r="K57" i="9" s="1"/>
  <c r="I58" i="9"/>
  <c r="K58" i="9" s="1"/>
  <c r="I44" i="9"/>
  <c r="I55" i="9"/>
  <c r="K55" i="9" s="1"/>
  <c r="I43" i="9"/>
  <c r="K43" i="9" s="1"/>
  <c r="I48" i="9"/>
  <c r="K48" i="9" s="1"/>
  <c r="I50" i="9"/>
  <c r="K50" i="9" s="1"/>
  <c r="I45" i="9"/>
  <c r="K45" i="9" s="1"/>
  <c r="I40" i="9"/>
  <c r="K40" i="9" s="1"/>
  <c r="I53" i="9"/>
  <c r="I54" i="9"/>
  <c r="K54" i="9" s="1"/>
  <c r="I46" i="9"/>
  <c r="K46" i="9" s="1"/>
  <c r="G33" i="12"/>
  <c r="G46" i="12"/>
  <c r="G35" i="12"/>
  <c r="G40" i="12"/>
  <c r="G36" i="12"/>
  <c r="J36" i="12" s="1"/>
  <c r="G44" i="12"/>
  <c r="G48" i="12"/>
  <c r="G39" i="12"/>
  <c r="G43" i="12"/>
  <c r="G47" i="12"/>
  <c r="G42" i="12"/>
  <c r="G38" i="12"/>
  <c r="G45" i="12"/>
  <c r="G34" i="12"/>
  <c r="H13" i="12"/>
  <c r="H21" i="12"/>
  <c r="G8" i="9"/>
  <c r="G29" i="9"/>
  <c r="G22" i="9"/>
  <c r="G28" i="9"/>
  <c r="G9" i="9"/>
  <c r="G20" i="9"/>
  <c r="G16" i="9"/>
  <c r="G11" i="9"/>
  <c r="G26" i="9"/>
  <c r="G23" i="9"/>
  <c r="G18" i="9"/>
  <c r="G10" i="9"/>
  <c r="G17" i="9"/>
  <c r="G27" i="9"/>
  <c r="G14" i="9"/>
  <c r="G13" i="9"/>
  <c r="G19" i="9"/>
  <c r="G12" i="9"/>
  <c r="G24" i="9"/>
  <c r="G25" i="9"/>
  <c r="F11" i="12"/>
  <c r="F13" i="12"/>
  <c r="F14" i="12"/>
  <c r="F22" i="12"/>
  <c r="F15" i="12"/>
  <c r="F9" i="12"/>
  <c r="F18" i="12"/>
  <c r="F10" i="12"/>
  <c r="F8" i="12"/>
  <c r="F20" i="12"/>
  <c r="F12" i="12"/>
  <c r="F19" i="12"/>
  <c r="F16" i="12"/>
  <c r="F21" i="12"/>
  <c r="F17" i="12"/>
  <c r="F23" i="12"/>
  <c r="H11" i="12"/>
  <c r="H23" i="12"/>
  <c r="H18" i="12"/>
  <c r="H17" i="12"/>
  <c r="H15" i="12"/>
  <c r="H10" i="12"/>
  <c r="H9" i="12"/>
  <c r="H19" i="12"/>
  <c r="H8" i="12"/>
  <c r="H12" i="12"/>
  <c r="H22" i="12"/>
  <c r="H16" i="12"/>
  <c r="H14" i="12"/>
  <c r="P18" i="3"/>
  <c r="C16" i="3"/>
  <c r="P11" i="3"/>
  <c r="C21" i="3"/>
  <c r="C27" i="3"/>
  <c r="P19" i="3"/>
  <c r="P45" i="3"/>
  <c r="P50" i="3"/>
  <c r="C60" i="3"/>
  <c r="I62" i="3"/>
  <c r="C55" i="3"/>
  <c r="C52" i="3"/>
  <c r="P53" i="3"/>
  <c r="B67" i="1"/>
  <c r="P54" i="3"/>
  <c r="C15" i="3"/>
  <c r="Z33" i="3"/>
  <c r="C29" i="3"/>
  <c r="P17" i="3"/>
  <c r="C25" i="3"/>
  <c r="C12" i="3"/>
  <c r="C24" i="5"/>
  <c r="P32" i="3"/>
  <c r="Y33" i="3"/>
  <c r="L33" i="3"/>
  <c r="D14" i="5" s="1"/>
  <c r="J14" i="5" s="1"/>
  <c r="V15" i="3"/>
  <c r="V24" i="3"/>
  <c r="P14" i="3"/>
  <c r="H66" i="3"/>
  <c r="D43" i="3"/>
  <c r="B34" i="1"/>
  <c r="D13" i="3"/>
  <c r="C28" i="3"/>
  <c r="T33" i="3"/>
  <c r="J43" i="4"/>
  <c r="D65" i="3"/>
  <c r="U23" i="4"/>
  <c r="R10" i="4"/>
  <c r="E66" i="3"/>
  <c r="D42" i="3"/>
  <c r="J37" i="4"/>
  <c r="K48" i="4"/>
  <c r="I65" i="3"/>
  <c r="E10" i="4"/>
  <c r="F23" i="4"/>
  <c r="W10" i="4"/>
  <c r="W23" i="4" s="1"/>
  <c r="X23" i="4"/>
  <c r="U25" i="10"/>
  <c r="O60" i="10" s="1"/>
  <c r="T25" i="10"/>
  <c r="N60" i="10"/>
  <c r="F66" i="3"/>
  <c r="W15" i="4"/>
  <c r="M66" i="3"/>
  <c r="I56" i="3"/>
  <c r="C56" i="3" s="1"/>
  <c r="C22" i="5"/>
  <c r="Q15" i="4"/>
  <c r="E43" i="4"/>
  <c r="D43" i="4" s="1"/>
  <c r="F48" i="4"/>
  <c r="P48" i="3"/>
  <c r="Q66" i="3"/>
  <c r="D48" i="3"/>
  <c r="C48" i="3" s="1"/>
  <c r="W16" i="4"/>
  <c r="L66" i="3"/>
  <c r="I42" i="3"/>
  <c r="AA48" i="4"/>
  <c r="R66" i="3"/>
  <c r="U31" i="10"/>
  <c r="O66" i="10" s="1"/>
  <c r="T31" i="10"/>
  <c r="N66" i="10"/>
  <c r="W33" i="4"/>
  <c r="W48" i="4" s="1"/>
  <c r="Y48" i="4"/>
  <c r="D62" i="3"/>
  <c r="U17" i="10"/>
  <c r="O52" i="10" s="1"/>
  <c r="T17" i="10"/>
  <c r="N52" i="10"/>
  <c r="P42" i="3"/>
  <c r="D33" i="4"/>
  <c r="X33" i="3"/>
  <c r="V48" i="4"/>
  <c r="I9" i="3"/>
  <c r="J33" i="3"/>
  <c r="U48" i="4"/>
  <c r="S33" i="3"/>
  <c r="V64" i="3"/>
  <c r="V66" i="3" s="1"/>
  <c r="S23" i="4"/>
  <c r="R16" i="4"/>
  <c r="Q16" i="4" s="1"/>
  <c r="G66" i="3"/>
  <c r="J45" i="6"/>
  <c r="J66" i="6"/>
  <c r="J46" i="6"/>
  <c r="J56" i="6"/>
  <c r="J54" i="6"/>
  <c r="J51" i="6"/>
  <c r="J65" i="6"/>
  <c r="J62" i="6"/>
  <c r="J67" i="6"/>
  <c r="J43" i="6"/>
  <c r="J58" i="6"/>
  <c r="J60" i="6"/>
  <c r="J64" i="6"/>
  <c r="J49" i="6"/>
  <c r="J52" i="6"/>
  <c r="J48" i="6"/>
  <c r="J44" i="6"/>
  <c r="J57" i="6"/>
  <c r="J61" i="6"/>
  <c r="J63" i="6"/>
  <c r="J50" i="6"/>
  <c r="J47" i="6"/>
  <c r="J55" i="6"/>
  <c r="J53" i="6"/>
  <c r="M53" i="6" s="1"/>
  <c r="J59" i="6"/>
  <c r="U33" i="10"/>
  <c r="O68" i="10" s="1"/>
  <c r="T33" i="10"/>
  <c r="N68" i="10"/>
  <c r="K23" i="4"/>
  <c r="J10" i="4"/>
  <c r="J23" i="4" s="1"/>
  <c r="M33" i="3"/>
  <c r="S48" i="4"/>
  <c r="R33" i="4"/>
  <c r="M57" i="6"/>
  <c r="N57" i="6"/>
  <c r="K66" i="3"/>
  <c r="H33" i="3"/>
  <c r="Q24" i="3"/>
  <c r="V20" i="3"/>
  <c r="W33" i="3"/>
  <c r="U33" i="3"/>
  <c r="D64" i="3"/>
  <c r="F19" i="5"/>
  <c r="G19" i="5"/>
  <c r="E19" i="5"/>
  <c r="P57" i="6"/>
  <c r="O57" i="6"/>
  <c r="I49" i="3"/>
  <c r="C49" i="3" s="1"/>
  <c r="K39" i="9"/>
  <c r="T15" i="10"/>
  <c r="U15" i="10"/>
  <c r="O50" i="10" s="1"/>
  <c r="N50" i="10"/>
  <c r="K12" i="11"/>
  <c r="K37" i="11"/>
  <c r="K32" i="11"/>
  <c r="K45" i="11"/>
  <c r="K44" i="11"/>
  <c r="K41" i="11"/>
  <c r="K7" i="11"/>
  <c r="K20" i="11"/>
  <c r="K21" i="11"/>
  <c r="K39" i="11"/>
  <c r="K17" i="11"/>
  <c r="K33" i="11"/>
  <c r="K38" i="11"/>
  <c r="K8" i="11"/>
  <c r="K9" i="11"/>
  <c r="K13" i="11"/>
  <c r="K16" i="11"/>
  <c r="K10" i="11"/>
  <c r="K40" i="11"/>
  <c r="K15" i="11"/>
  <c r="K19" i="11"/>
  <c r="K43" i="11"/>
  <c r="K11" i="11"/>
  <c r="K35" i="11"/>
  <c r="K42" i="11"/>
  <c r="K46" i="11"/>
  <c r="K34" i="11"/>
  <c r="K18" i="11"/>
  <c r="K14" i="11"/>
  <c r="K36" i="11"/>
  <c r="Q20" i="3"/>
  <c r="I64" i="3"/>
  <c r="G21" i="5"/>
  <c r="E21" i="5"/>
  <c r="F21" i="5"/>
  <c r="Z48" i="4"/>
  <c r="W39" i="4"/>
  <c r="Q39" i="4" s="1"/>
  <c r="I13" i="3"/>
  <c r="D9" i="3"/>
  <c r="E33" i="3"/>
  <c r="Q15" i="3"/>
  <c r="R33" i="3"/>
  <c r="N58" i="10"/>
  <c r="T23" i="10"/>
  <c r="U23" i="10"/>
  <c r="O58" i="10" s="1"/>
  <c r="E20" i="5"/>
  <c r="G20" i="5"/>
  <c r="F20" i="5"/>
  <c r="J14" i="4"/>
  <c r="D14" i="4" s="1"/>
  <c r="N23" i="4"/>
  <c r="D61" i="3"/>
  <c r="C61" i="3" s="1"/>
  <c r="O53" i="6"/>
  <c r="P53" i="6"/>
  <c r="I43" i="3"/>
  <c r="J66" i="3"/>
  <c r="P60" i="6"/>
  <c r="O60" i="6"/>
  <c r="N60" i="6"/>
  <c r="M60" i="6"/>
  <c r="J59" i="10" l="1"/>
  <c r="K44" i="9"/>
  <c r="L44" i="9" s="1"/>
  <c r="G62" i="10"/>
  <c r="K53" i="9"/>
  <c r="I42" i="12"/>
  <c r="L64" i="19"/>
  <c r="G59" i="10"/>
  <c r="K59" i="10" s="1"/>
  <c r="G61" i="10"/>
  <c r="K61" i="10" s="1"/>
  <c r="K62" i="19"/>
  <c r="I55" i="10"/>
  <c r="H55" i="10"/>
  <c r="K55" i="10" s="1"/>
  <c r="I37" i="12"/>
  <c r="J54" i="10"/>
  <c r="H63" i="10"/>
  <c r="I33" i="12"/>
  <c r="J49" i="10"/>
  <c r="G64" i="10"/>
  <c r="K64" i="10" s="1"/>
  <c r="H62" i="10"/>
  <c r="H49" i="10"/>
  <c r="K49" i="10" s="1"/>
  <c r="I54" i="10"/>
  <c r="J62" i="10"/>
  <c r="L62" i="10" s="1"/>
  <c r="J55" i="10"/>
  <c r="I63" i="10"/>
  <c r="I49" i="10"/>
  <c r="G63" i="10"/>
  <c r="H54" i="10"/>
  <c r="J61" i="10"/>
  <c r="I61" i="10"/>
  <c r="J63" i="10"/>
  <c r="G54" i="10"/>
  <c r="J64" i="10"/>
  <c r="L64" i="10" s="1"/>
  <c r="K51" i="10"/>
  <c r="I34" i="12"/>
  <c r="K48" i="10"/>
  <c r="K56" i="10"/>
  <c r="K57" i="19"/>
  <c r="L48" i="19"/>
  <c r="K61" i="19"/>
  <c r="I35" i="12"/>
  <c r="L68" i="19"/>
  <c r="K65" i="19"/>
  <c r="J54" i="9"/>
  <c r="L54" i="9" s="1"/>
  <c r="L55" i="19"/>
  <c r="L66" i="19"/>
  <c r="L56" i="19"/>
  <c r="J46" i="9"/>
  <c r="L46" i="9" s="1"/>
  <c r="L60" i="19"/>
  <c r="L49" i="19"/>
  <c r="K51" i="19"/>
  <c r="K48" i="19"/>
  <c r="L57" i="19"/>
  <c r="L54" i="19"/>
  <c r="L67" i="19"/>
  <c r="K67" i="10"/>
  <c r="L58" i="19"/>
  <c r="J56" i="9"/>
  <c r="L56" i="9" s="1"/>
  <c r="L50" i="19"/>
  <c r="L47" i="19"/>
  <c r="K55" i="19"/>
  <c r="L65" i="19"/>
  <c r="K68" i="19"/>
  <c r="K46" i="19"/>
  <c r="L63" i="19"/>
  <c r="L53" i="19"/>
  <c r="K63" i="19"/>
  <c r="K52" i="19"/>
  <c r="L52" i="19"/>
  <c r="K54" i="19"/>
  <c r="L59" i="19"/>
  <c r="K58" i="19"/>
  <c r="K59" i="19"/>
  <c r="L62" i="19"/>
  <c r="K60" i="19"/>
  <c r="K47" i="19"/>
  <c r="I45" i="12"/>
  <c r="K65" i="10"/>
  <c r="K69" i="10"/>
  <c r="M69" i="10" s="1"/>
  <c r="L69" i="19"/>
  <c r="L61" i="19"/>
  <c r="K66" i="19"/>
  <c r="K53" i="19"/>
  <c r="L51" i="19"/>
  <c r="K64" i="19"/>
  <c r="L46" i="19"/>
  <c r="K67" i="19"/>
  <c r="K50" i="19"/>
  <c r="K56" i="19"/>
  <c r="K57" i="10"/>
  <c r="K49" i="19"/>
  <c r="K69" i="19"/>
  <c r="L67" i="17"/>
  <c r="K69" i="17"/>
  <c r="J39" i="9"/>
  <c r="L39" i="9" s="1"/>
  <c r="K47" i="10"/>
  <c r="I40" i="12"/>
  <c r="K67" i="17"/>
  <c r="I46" i="12"/>
  <c r="J55" i="9"/>
  <c r="L55" i="9" s="1"/>
  <c r="L68" i="17"/>
  <c r="L69" i="17"/>
  <c r="L65" i="17"/>
  <c r="I43" i="12"/>
  <c r="K63" i="17"/>
  <c r="K66" i="17"/>
  <c r="L46" i="17"/>
  <c r="K46" i="10"/>
  <c r="J40" i="9"/>
  <c r="L40" i="9" s="1"/>
  <c r="K53" i="10"/>
  <c r="L62" i="17"/>
  <c r="J50" i="9"/>
  <c r="L50" i="9" s="1"/>
  <c r="K46" i="17"/>
  <c r="L63" i="17"/>
  <c r="I48" i="12"/>
  <c r="I47" i="12"/>
  <c r="K64" i="17"/>
  <c r="I38" i="12"/>
  <c r="J53" i="9"/>
  <c r="I36" i="12"/>
  <c r="K36" i="12" s="1"/>
  <c r="L64" i="17"/>
  <c r="K68" i="17"/>
  <c r="K62" i="17"/>
  <c r="M62" i="17" s="1"/>
  <c r="L66" i="17"/>
  <c r="J41" i="9"/>
  <c r="L41" i="9" s="1"/>
  <c r="K65" i="17"/>
  <c r="J57" i="9"/>
  <c r="L57" i="9" s="1"/>
  <c r="J43" i="9"/>
  <c r="L43" i="9" s="1"/>
  <c r="J51" i="9"/>
  <c r="L51" i="9" s="1"/>
  <c r="J58" i="9"/>
  <c r="L58" i="9" s="1"/>
  <c r="J45" i="9"/>
  <c r="L45" i="9" s="1"/>
  <c r="J42" i="9"/>
  <c r="L42" i="9" s="1"/>
  <c r="J49" i="9"/>
  <c r="L49" i="9" s="1"/>
  <c r="I44" i="12"/>
  <c r="J52" i="9"/>
  <c r="L52" i="9" s="1"/>
  <c r="J59" i="9"/>
  <c r="L59" i="9" s="1"/>
  <c r="J48" i="9"/>
  <c r="L48" i="9" s="1"/>
  <c r="J38" i="9"/>
  <c r="L38" i="9" s="1"/>
  <c r="K46" i="16"/>
  <c r="L46" i="16"/>
  <c r="J47" i="12"/>
  <c r="L56" i="10"/>
  <c r="J45" i="12"/>
  <c r="K41" i="12"/>
  <c r="J37" i="12"/>
  <c r="L47" i="10"/>
  <c r="J48" i="12"/>
  <c r="J43" i="12"/>
  <c r="L59" i="10"/>
  <c r="L65" i="10"/>
  <c r="L46" i="10"/>
  <c r="J46" i="12"/>
  <c r="L57" i="10"/>
  <c r="J40" i="12"/>
  <c r="L67" i="10"/>
  <c r="L51" i="10"/>
  <c r="J44" i="12"/>
  <c r="J33" i="12"/>
  <c r="L53" i="10"/>
  <c r="L48" i="10"/>
  <c r="J34" i="12"/>
  <c r="J38" i="12"/>
  <c r="J42" i="12"/>
  <c r="J35" i="12"/>
  <c r="J39" i="12"/>
  <c r="K39" i="12" s="1"/>
  <c r="L47" i="9"/>
  <c r="R60" i="6"/>
  <c r="Q57" i="6"/>
  <c r="R53" i="6"/>
  <c r="C62" i="3"/>
  <c r="P24" i="3"/>
  <c r="C65" i="3"/>
  <c r="D21" i="5"/>
  <c r="J21" i="5" s="1"/>
  <c r="P64" i="3"/>
  <c r="P66" i="3" s="1"/>
  <c r="D19" i="5"/>
  <c r="D20" i="5"/>
  <c r="J20" i="5" s="1"/>
  <c r="V33" i="3"/>
  <c r="C13" i="3"/>
  <c r="E14" i="5"/>
  <c r="D15" i="5"/>
  <c r="J15" i="5" s="1"/>
  <c r="D12" i="5"/>
  <c r="J12" i="5" s="1"/>
  <c r="C43" i="3"/>
  <c r="F14" i="5"/>
  <c r="N15" i="11"/>
  <c r="L15" i="11"/>
  <c r="P15" i="11"/>
  <c r="M15" i="11"/>
  <c r="O15" i="11"/>
  <c r="Q15" i="11"/>
  <c r="O46" i="6"/>
  <c r="M46" i="6"/>
  <c r="N46" i="6"/>
  <c r="P46" i="6"/>
  <c r="F12" i="5"/>
  <c r="E12" i="5"/>
  <c r="P20" i="3"/>
  <c r="N40" i="11"/>
  <c r="Q40" i="11"/>
  <c r="L40" i="11"/>
  <c r="O40" i="11"/>
  <c r="M40" i="11"/>
  <c r="P40" i="11"/>
  <c r="O7" i="11"/>
  <c r="N7" i="11"/>
  <c r="M7" i="11"/>
  <c r="L7" i="11"/>
  <c r="P7" i="11"/>
  <c r="Q7" i="11"/>
  <c r="N49" i="6"/>
  <c r="M49" i="6"/>
  <c r="O49" i="6"/>
  <c r="P49" i="6"/>
  <c r="P66" i="6"/>
  <c r="N66" i="6"/>
  <c r="M66" i="6"/>
  <c r="O66" i="6"/>
  <c r="I33" i="3"/>
  <c r="E48" i="4"/>
  <c r="E18" i="5"/>
  <c r="E22" i="5" s="1"/>
  <c r="G18" i="5"/>
  <c r="F18" i="5"/>
  <c r="F22" i="5" s="1"/>
  <c r="H60" i="10"/>
  <c r="I60" i="10"/>
  <c r="G60" i="10"/>
  <c r="J60" i="10"/>
  <c r="J48" i="4"/>
  <c r="D37" i="4"/>
  <c r="P15" i="3"/>
  <c r="Q33" i="3"/>
  <c r="L36" i="11"/>
  <c r="N36" i="11"/>
  <c r="Q36" i="11"/>
  <c r="O36" i="11"/>
  <c r="P36" i="11"/>
  <c r="M36" i="11"/>
  <c r="O10" i="11"/>
  <c r="L10" i="11"/>
  <c r="M10" i="11"/>
  <c r="N10" i="11"/>
  <c r="P10" i="11"/>
  <c r="Q10" i="11"/>
  <c r="N41" i="11"/>
  <c r="P41" i="11"/>
  <c r="O41" i="11"/>
  <c r="L41" i="11"/>
  <c r="Q41" i="11"/>
  <c r="M41" i="11"/>
  <c r="M59" i="6"/>
  <c r="N59" i="6"/>
  <c r="P59" i="6"/>
  <c r="O59" i="6"/>
  <c r="M64" i="6"/>
  <c r="N64" i="6"/>
  <c r="O64" i="6"/>
  <c r="P64" i="6"/>
  <c r="M45" i="6"/>
  <c r="N45" i="6"/>
  <c r="P45" i="6"/>
  <c r="O45" i="6"/>
  <c r="D48" i="4"/>
  <c r="L18" i="5" s="1"/>
  <c r="L22" i="5" s="1"/>
  <c r="M43" i="11"/>
  <c r="L43" i="11"/>
  <c r="P43" i="11"/>
  <c r="N43" i="11"/>
  <c r="Q43" i="11"/>
  <c r="O43" i="11"/>
  <c r="M14" i="11"/>
  <c r="N14" i="11"/>
  <c r="Q14" i="11"/>
  <c r="O14" i="11"/>
  <c r="L14" i="11"/>
  <c r="P14" i="11"/>
  <c r="L16" i="11"/>
  <c r="N16" i="11"/>
  <c r="M16" i="11"/>
  <c r="O16" i="11"/>
  <c r="Q16" i="11"/>
  <c r="P16" i="11"/>
  <c r="P44" i="11"/>
  <c r="L44" i="11"/>
  <c r="N44" i="11"/>
  <c r="Q44" i="11"/>
  <c r="M44" i="11"/>
  <c r="O44" i="11"/>
  <c r="R57" i="6"/>
  <c r="N53" i="6"/>
  <c r="Q53" i="6" s="1"/>
  <c r="P52" i="6"/>
  <c r="M52" i="6"/>
  <c r="N52" i="6"/>
  <c r="O52" i="6"/>
  <c r="Q45" i="11"/>
  <c r="N45" i="11"/>
  <c r="L45" i="11"/>
  <c r="M45" i="11"/>
  <c r="O45" i="11"/>
  <c r="P45" i="11"/>
  <c r="M58" i="6"/>
  <c r="N58" i="6"/>
  <c r="O58" i="6"/>
  <c r="P58" i="6"/>
  <c r="G52" i="10"/>
  <c r="H52" i="10"/>
  <c r="J52" i="10"/>
  <c r="I52" i="10"/>
  <c r="N13" i="11"/>
  <c r="L13" i="11"/>
  <c r="O13" i="11"/>
  <c r="P13" i="11"/>
  <c r="M13" i="11"/>
  <c r="Q13" i="11"/>
  <c r="N9" i="11"/>
  <c r="M9" i="11"/>
  <c r="O9" i="11"/>
  <c r="L9" i="11"/>
  <c r="Q9" i="11"/>
  <c r="P9" i="11"/>
  <c r="N43" i="6"/>
  <c r="M43" i="6"/>
  <c r="P43" i="6"/>
  <c r="O43" i="6"/>
  <c r="I66" i="10"/>
  <c r="J66" i="10"/>
  <c r="H66" i="10"/>
  <c r="G66" i="10"/>
  <c r="I66" i="3"/>
  <c r="C42" i="3"/>
  <c r="D66" i="3"/>
  <c r="D33" i="3"/>
  <c r="C9" i="3"/>
  <c r="N32" i="11"/>
  <c r="M32" i="11"/>
  <c r="O32" i="11"/>
  <c r="L32" i="11"/>
  <c r="P32" i="11"/>
  <c r="Q32" i="11"/>
  <c r="Q46" i="11"/>
  <c r="M46" i="11"/>
  <c r="P46" i="11"/>
  <c r="L46" i="11"/>
  <c r="N46" i="11"/>
  <c r="O46" i="11"/>
  <c r="P37" i="11"/>
  <c r="M37" i="11"/>
  <c r="Q37" i="11"/>
  <c r="N37" i="11"/>
  <c r="O37" i="11"/>
  <c r="L37" i="11"/>
  <c r="J68" i="10"/>
  <c r="I68" i="10"/>
  <c r="H68" i="10"/>
  <c r="G68" i="10"/>
  <c r="N50" i="6"/>
  <c r="M50" i="6"/>
  <c r="O50" i="6"/>
  <c r="P50" i="6"/>
  <c r="P67" i="6"/>
  <c r="N67" i="6"/>
  <c r="O67" i="6"/>
  <c r="M67" i="6"/>
  <c r="D18" i="5"/>
  <c r="P39" i="11"/>
  <c r="M39" i="11"/>
  <c r="O39" i="11"/>
  <c r="Q39" i="11"/>
  <c r="N39" i="11"/>
  <c r="L39" i="11"/>
  <c r="O20" i="11"/>
  <c r="P20" i="11"/>
  <c r="M20" i="11"/>
  <c r="L20" i="11"/>
  <c r="N20" i="11"/>
  <c r="Q20" i="11"/>
  <c r="O34" i="11"/>
  <c r="M34" i="11"/>
  <c r="Q34" i="11"/>
  <c r="L34" i="11"/>
  <c r="P34" i="11"/>
  <c r="N34" i="11"/>
  <c r="O8" i="11"/>
  <c r="Q8" i="11"/>
  <c r="L8" i="11"/>
  <c r="P8" i="11"/>
  <c r="N8" i="11"/>
  <c r="M8" i="11"/>
  <c r="L42" i="11"/>
  <c r="M42" i="11"/>
  <c r="O42" i="11"/>
  <c r="N42" i="11"/>
  <c r="P42" i="11"/>
  <c r="Q42" i="11"/>
  <c r="O38" i="11"/>
  <c r="N38" i="11"/>
  <c r="Q38" i="11"/>
  <c r="M38" i="11"/>
  <c r="L38" i="11"/>
  <c r="P38" i="11"/>
  <c r="O12" i="11"/>
  <c r="Q12" i="11"/>
  <c r="L12" i="11"/>
  <c r="N12" i="11"/>
  <c r="M12" i="11"/>
  <c r="P12" i="11"/>
  <c r="P63" i="6"/>
  <c r="O63" i="6"/>
  <c r="M63" i="6"/>
  <c r="N63" i="6"/>
  <c r="P62" i="6"/>
  <c r="O62" i="6"/>
  <c r="N62" i="6"/>
  <c r="M62" i="6"/>
  <c r="D10" i="4"/>
  <c r="D23" i="4" s="1"/>
  <c r="L12" i="5" s="1"/>
  <c r="E23" i="4"/>
  <c r="Q10" i="4"/>
  <c r="Q23" i="4" s="1"/>
  <c r="R23" i="4"/>
  <c r="I58" i="10"/>
  <c r="G58" i="10"/>
  <c r="J58" i="10"/>
  <c r="H58" i="10"/>
  <c r="R48" i="4"/>
  <c r="Q33" i="4"/>
  <c r="Q48" i="4" s="1"/>
  <c r="N55" i="6"/>
  <c r="M55" i="6"/>
  <c r="P55" i="6"/>
  <c r="O55" i="6"/>
  <c r="N47" i="6"/>
  <c r="O47" i="6"/>
  <c r="P47" i="6"/>
  <c r="M47" i="6"/>
  <c r="M35" i="11"/>
  <c r="Q35" i="11"/>
  <c r="L35" i="11"/>
  <c r="P35" i="11"/>
  <c r="O35" i="11"/>
  <c r="N35" i="11"/>
  <c r="Q33" i="11"/>
  <c r="L33" i="11"/>
  <c r="P33" i="11"/>
  <c r="M33" i="11"/>
  <c r="O33" i="11"/>
  <c r="N33" i="11"/>
  <c r="J50" i="10"/>
  <c r="I50" i="10"/>
  <c r="H50" i="10"/>
  <c r="G50" i="10"/>
  <c r="C64" i="3"/>
  <c r="O61" i="6"/>
  <c r="M61" i="6"/>
  <c r="P61" i="6"/>
  <c r="N61" i="6"/>
  <c r="N65" i="6"/>
  <c r="M65" i="6"/>
  <c r="P65" i="6"/>
  <c r="O65" i="6"/>
  <c r="M18" i="11"/>
  <c r="N18" i="11"/>
  <c r="L18" i="11"/>
  <c r="O18" i="11"/>
  <c r="P18" i="11"/>
  <c r="Q18" i="11"/>
  <c r="O11" i="11"/>
  <c r="N11" i="11"/>
  <c r="M11" i="11"/>
  <c r="P11" i="11"/>
  <c r="L11" i="11"/>
  <c r="Q11" i="11"/>
  <c r="N17" i="11"/>
  <c r="M17" i="11"/>
  <c r="L17" i="11"/>
  <c r="Q17" i="11"/>
  <c r="P17" i="11"/>
  <c r="O17" i="11"/>
  <c r="F15" i="5"/>
  <c r="E15" i="5"/>
  <c r="P51" i="6"/>
  <c r="N51" i="6"/>
  <c r="O51" i="6"/>
  <c r="M51" i="6"/>
  <c r="O44" i="6"/>
  <c r="N44" i="6"/>
  <c r="P44" i="6"/>
  <c r="M44" i="6"/>
  <c r="M54" i="6"/>
  <c r="O54" i="6"/>
  <c r="P54" i="6"/>
  <c r="N54" i="6"/>
  <c r="E13" i="5"/>
  <c r="F13" i="5"/>
  <c r="Q60" i="6"/>
  <c r="M19" i="11"/>
  <c r="O19" i="11"/>
  <c r="L19" i="11"/>
  <c r="N19" i="11"/>
  <c r="P19" i="11"/>
  <c r="Q19" i="11"/>
  <c r="O21" i="11"/>
  <c r="L21" i="11"/>
  <c r="N21" i="11"/>
  <c r="M21" i="11"/>
  <c r="P21" i="11"/>
  <c r="Q21" i="11"/>
  <c r="M48" i="6"/>
  <c r="N48" i="6"/>
  <c r="P48" i="6"/>
  <c r="O48" i="6"/>
  <c r="P56" i="6"/>
  <c r="O56" i="6"/>
  <c r="M56" i="6"/>
  <c r="N56" i="6"/>
  <c r="K62" i="10" l="1"/>
  <c r="M62" i="10" s="1"/>
  <c r="L53" i="9"/>
  <c r="L60" i="9" s="1"/>
  <c r="H19" i="5" s="1"/>
  <c r="I19" i="5" s="1"/>
  <c r="K60" i="9"/>
  <c r="L54" i="10"/>
  <c r="M62" i="19"/>
  <c r="K35" i="12"/>
  <c r="M64" i="19"/>
  <c r="K63" i="10"/>
  <c r="L55" i="10"/>
  <c r="M55" i="10" s="1"/>
  <c r="K37" i="12"/>
  <c r="L61" i="10"/>
  <c r="M61" i="10" s="1"/>
  <c r="K33" i="12"/>
  <c r="L49" i="10"/>
  <c r="M49" i="10" s="1"/>
  <c r="L63" i="10"/>
  <c r="M51" i="10"/>
  <c r="K54" i="10"/>
  <c r="M54" i="10" s="1"/>
  <c r="L52" i="10"/>
  <c r="K34" i="12"/>
  <c r="M66" i="19"/>
  <c r="M65" i="19"/>
  <c r="M47" i="10"/>
  <c r="M65" i="10"/>
  <c r="M67" i="10"/>
  <c r="M49" i="19"/>
  <c r="M55" i="19"/>
  <c r="K45" i="12"/>
  <c r="M67" i="19"/>
  <c r="M47" i="19"/>
  <c r="M57" i="19"/>
  <c r="M48" i="10"/>
  <c r="M56" i="10"/>
  <c r="M60" i="19"/>
  <c r="M48" i="19"/>
  <c r="M68" i="19"/>
  <c r="M61" i="19"/>
  <c r="L70" i="19"/>
  <c r="M54" i="19"/>
  <c r="K38" i="12"/>
  <c r="M56" i="19"/>
  <c r="M69" i="19"/>
  <c r="M53" i="19"/>
  <c r="M58" i="19"/>
  <c r="K40" i="12"/>
  <c r="M57" i="10"/>
  <c r="M50" i="19"/>
  <c r="M59" i="10"/>
  <c r="M51" i="19"/>
  <c r="M59" i="19"/>
  <c r="M52" i="19"/>
  <c r="M63" i="19"/>
  <c r="M46" i="19"/>
  <c r="K70" i="19"/>
  <c r="K48" i="12"/>
  <c r="M65" i="17"/>
  <c r="M69" i="17"/>
  <c r="M67" i="17"/>
  <c r="M64" i="10"/>
  <c r="K46" i="12"/>
  <c r="K47" i="12"/>
  <c r="M46" i="17"/>
  <c r="K43" i="12"/>
  <c r="I49" i="12"/>
  <c r="M68" i="17"/>
  <c r="M53" i="10"/>
  <c r="M63" i="17"/>
  <c r="M66" i="17"/>
  <c r="M46" i="10"/>
  <c r="M64" i="17"/>
  <c r="K44" i="12"/>
  <c r="J60" i="9"/>
  <c r="M46" i="16"/>
  <c r="R36" i="11"/>
  <c r="R12" i="11"/>
  <c r="R38" i="11"/>
  <c r="R43" i="11"/>
  <c r="R40" i="11"/>
  <c r="R45" i="11"/>
  <c r="R37" i="11"/>
  <c r="R46" i="11"/>
  <c r="R7" i="11"/>
  <c r="R21" i="11"/>
  <c r="R13" i="11"/>
  <c r="R17" i="11"/>
  <c r="J49" i="12"/>
  <c r="K42" i="12"/>
  <c r="R56" i="6"/>
  <c r="R55" i="6"/>
  <c r="S60" i="6"/>
  <c r="Q51" i="6"/>
  <c r="Q62" i="6"/>
  <c r="K68" i="10"/>
  <c r="R52" i="6"/>
  <c r="S53" i="6"/>
  <c r="R43" i="6"/>
  <c r="Q43" i="6"/>
  <c r="R62" i="6"/>
  <c r="Q66" i="6"/>
  <c r="R48" i="6"/>
  <c r="Q63" i="6"/>
  <c r="R58" i="6"/>
  <c r="L68" i="10"/>
  <c r="S57" i="6"/>
  <c r="L60" i="10"/>
  <c r="R49" i="6"/>
  <c r="Q61" i="6"/>
  <c r="R61" i="6"/>
  <c r="R45" i="6"/>
  <c r="Q44" i="6"/>
  <c r="K52" i="10"/>
  <c r="R64" i="6"/>
  <c r="K58" i="10"/>
  <c r="L58" i="10"/>
  <c r="L66" i="10"/>
  <c r="Q58" i="6"/>
  <c r="R47" i="6"/>
  <c r="R50" i="6"/>
  <c r="Q59" i="6"/>
  <c r="P33" i="3"/>
  <c r="C33" i="3"/>
  <c r="D16" i="5"/>
  <c r="J16" i="5" s="1"/>
  <c r="J24" i="5" s="1"/>
  <c r="D24" i="5"/>
  <c r="R54" i="6"/>
  <c r="R51" i="6"/>
  <c r="R33" i="11"/>
  <c r="R14" i="11"/>
  <c r="Q45" i="6"/>
  <c r="M12" i="5"/>
  <c r="N12" i="5"/>
  <c r="N16" i="5" s="1"/>
  <c r="N24" i="5" s="1"/>
  <c r="O12" i="5"/>
  <c r="Q56" i="6"/>
  <c r="Q54" i="6"/>
  <c r="Q47" i="6"/>
  <c r="Q67" i="6"/>
  <c r="C66" i="3"/>
  <c r="R41" i="11"/>
  <c r="Q46" i="6"/>
  <c r="R8" i="11"/>
  <c r="R39" i="11"/>
  <c r="R67" i="6"/>
  <c r="G22" i="5"/>
  <c r="Q49" i="6"/>
  <c r="R46" i="6"/>
  <c r="R11" i="11"/>
  <c r="D22" i="5"/>
  <c r="J22" i="5" s="1"/>
  <c r="J18" i="5"/>
  <c r="R32" i="11"/>
  <c r="Q64" i="6"/>
  <c r="R10" i="11"/>
  <c r="R44" i="6"/>
  <c r="K50" i="10"/>
  <c r="R35" i="11"/>
  <c r="R42" i="11"/>
  <c r="K66" i="10"/>
  <c r="Q52" i="6"/>
  <c r="R44" i="11"/>
  <c r="R59" i="6"/>
  <c r="R16" i="11"/>
  <c r="R15" i="11"/>
  <c r="Q48" i="6"/>
  <c r="L50" i="10"/>
  <c r="R34" i="11"/>
  <c r="R20" i="11"/>
  <c r="Q50" i="6"/>
  <c r="E24" i="5"/>
  <c r="E16" i="5"/>
  <c r="L24" i="5"/>
  <c r="L16" i="5"/>
  <c r="R19" i="11"/>
  <c r="R65" i="6"/>
  <c r="Q55" i="6"/>
  <c r="R9" i="11"/>
  <c r="K60" i="10"/>
  <c r="R66" i="6"/>
  <c r="F16" i="5"/>
  <c r="F24" i="5" s="1"/>
  <c r="R18" i="11"/>
  <c r="Q65" i="6"/>
  <c r="O18" i="5"/>
  <c r="M18" i="5"/>
  <c r="M22" i="5" s="1"/>
  <c r="N18" i="5"/>
  <c r="N22" i="5" s="1"/>
  <c r="R63" i="6"/>
  <c r="M63" i="10" l="1"/>
  <c r="M70" i="19"/>
  <c r="K49" i="12"/>
  <c r="H21" i="5" s="1"/>
  <c r="I21" i="5" s="1"/>
  <c r="R22" i="11"/>
  <c r="P12" i="5" s="1"/>
  <c r="P16" i="5" s="1"/>
  <c r="S55" i="6"/>
  <c r="S51" i="6"/>
  <c r="S56" i="6"/>
  <c r="S43" i="6"/>
  <c r="S52" i="6"/>
  <c r="S62" i="6"/>
  <c r="M68" i="10"/>
  <c r="S66" i="6"/>
  <c r="M52" i="10"/>
  <c r="M60" i="10"/>
  <c r="S58" i="6"/>
  <c r="S48" i="6"/>
  <c r="S63" i="6"/>
  <c r="S49" i="6"/>
  <c r="M58" i="10"/>
  <c r="S61" i="6"/>
  <c r="S45" i="6"/>
  <c r="S64" i="6"/>
  <c r="S46" i="6"/>
  <c r="S47" i="6"/>
  <c r="S59" i="6"/>
  <c r="M66" i="10"/>
  <c r="S50" i="6"/>
  <c r="L70" i="10"/>
  <c r="S54" i="6"/>
  <c r="R68" i="6"/>
  <c r="S67" i="6"/>
  <c r="S44" i="6"/>
  <c r="M24" i="5"/>
  <c r="M16" i="5"/>
  <c r="O22" i="5"/>
  <c r="M50" i="10"/>
  <c r="K70" i="10"/>
  <c r="S65" i="6"/>
  <c r="Q68" i="6"/>
  <c r="R47" i="11"/>
  <c r="P18" i="5" s="1"/>
  <c r="P22" i="5" s="1"/>
  <c r="O16" i="5"/>
  <c r="Q12" i="5" l="1"/>
  <c r="Q16" i="5" s="1"/>
  <c r="P24" i="5"/>
  <c r="S68" i="6"/>
  <c r="H18" i="5" s="1"/>
  <c r="I18" i="5" s="1"/>
  <c r="M70" i="10"/>
  <c r="H20" i="5" s="1"/>
  <c r="I20" i="5" s="1"/>
  <c r="Q18" i="5"/>
  <c r="Q22" i="5" s="1"/>
  <c r="O24" i="5"/>
  <c r="Q24" i="5" l="1"/>
  <c r="I22" i="5"/>
  <c r="M18" i="15" s="1"/>
  <c r="H22" i="5"/>
  <c r="C13" i="8" l="1"/>
  <c r="L10" i="19" l="1"/>
  <c r="J10" i="19"/>
  <c r="J10" i="17"/>
  <c r="L10" i="17"/>
  <c r="G13" i="5"/>
  <c r="J10" i="16"/>
  <c r="L10" i="16"/>
  <c r="G14" i="5"/>
  <c r="H7" i="9"/>
  <c r="M7" i="6"/>
  <c r="G12" i="5"/>
  <c r="E7" i="12"/>
  <c r="G7" i="12"/>
  <c r="L10" i="10"/>
  <c r="L17" i="10" s="1"/>
  <c r="F7" i="9"/>
  <c r="J10" i="10"/>
  <c r="O7" i="6"/>
  <c r="G15" i="5"/>
  <c r="J23" i="19" l="1"/>
  <c r="J29" i="19"/>
  <c r="J13" i="19"/>
  <c r="J24" i="19"/>
  <c r="J19" i="19"/>
  <c r="J30" i="19"/>
  <c r="J26" i="19"/>
  <c r="J18" i="19"/>
  <c r="J12" i="19"/>
  <c r="J32" i="19"/>
  <c r="J17" i="19"/>
  <c r="J28" i="19"/>
  <c r="J21" i="19"/>
  <c r="J14" i="19"/>
  <c r="J11" i="19"/>
  <c r="J25" i="19"/>
  <c r="J15" i="19"/>
  <c r="J27" i="19"/>
  <c r="J33" i="19"/>
  <c r="J16" i="19"/>
  <c r="J22" i="19"/>
  <c r="J34" i="19"/>
  <c r="K28" i="19"/>
  <c r="K25" i="19"/>
  <c r="K32" i="19"/>
  <c r="K21" i="19"/>
  <c r="K24" i="19"/>
  <c r="K11" i="19"/>
  <c r="K15" i="19"/>
  <c r="J31" i="19"/>
  <c r="K23" i="19"/>
  <c r="K27" i="19"/>
  <c r="J20" i="19"/>
  <c r="K31" i="19"/>
  <c r="K33" i="19"/>
  <c r="K29" i="19"/>
  <c r="K16" i="19"/>
  <c r="K14" i="19"/>
  <c r="K30" i="19"/>
  <c r="K22" i="19"/>
  <c r="K12" i="19"/>
  <c r="K34" i="19"/>
  <c r="K18" i="19"/>
  <c r="K20" i="19"/>
  <c r="K19" i="19"/>
  <c r="K17" i="19"/>
  <c r="K13" i="19"/>
  <c r="K26" i="19"/>
  <c r="L29" i="19"/>
  <c r="L18" i="19"/>
  <c r="L11" i="19"/>
  <c r="L30" i="19"/>
  <c r="L31" i="19"/>
  <c r="L23" i="19"/>
  <c r="L19" i="19"/>
  <c r="L28" i="19"/>
  <c r="L17" i="19"/>
  <c r="L20" i="19"/>
  <c r="L13" i="19"/>
  <c r="L25" i="19"/>
  <c r="L24" i="19"/>
  <c r="L14" i="19"/>
  <c r="L26" i="19"/>
  <c r="L12" i="19"/>
  <c r="L21" i="19"/>
  <c r="L15" i="19"/>
  <c r="L16" i="19"/>
  <c r="L27" i="19"/>
  <c r="L33" i="19"/>
  <c r="L34" i="19"/>
  <c r="L22" i="19"/>
  <c r="M28" i="19"/>
  <c r="M16" i="19"/>
  <c r="M14" i="19"/>
  <c r="M22" i="19"/>
  <c r="M26" i="19"/>
  <c r="M32" i="19"/>
  <c r="M12" i="19"/>
  <c r="M20" i="19"/>
  <c r="M25" i="19"/>
  <c r="M13" i="19"/>
  <c r="L32" i="19"/>
  <c r="M21" i="19"/>
  <c r="M18" i="19"/>
  <c r="M19" i="19"/>
  <c r="M11" i="19"/>
  <c r="M31" i="19"/>
  <c r="M27" i="19"/>
  <c r="M30" i="19"/>
  <c r="M33" i="19"/>
  <c r="M23" i="19"/>
  <c r="M34" i="19"/>
  <c r="M29" i="19"/>
  <c r="M15" i="19"/>
  <c r="M17" i="19"/>
  <c r="M24" i="19"/>
  <c r="L30" i="17"/>
  <c r="L11" i="17"/>
  <c r="L31" i="17"/>
  <c r="L29" i="17"/>
  <c r="L34" i="17"/>
  <c r="L28" i="17"/>
  <c r="L33" i="17"/>
  <c r="L27" i="17"/>
  <c r="L32" i="17"/>
  <c r="M32" i="17"/>
  <c r="M31" i="17"/>
  <c r="M28" i="17"/>
  <c r="M34" i="17"/>
  <c r="M30" i="17"/>
  <c r="M33" i="17"/>
  <c r="M29" i="17"/>
  <c r="M11" i="17"/>
  <c r="M27" i="17"/>
  <c r="J31" i="17"/>
  <c r="J28" i="17"/>
  <c r="J32" i="17"/>
  <c r="J30" i="17"/>
  <c r="J11" i="17"/>
  <c r="J29" i="17"/>
  <c r="J33" i="17"/>
  <c r="J27" i="17"/>
  <c r="K32" i="17"/>
  <c r="K11" i="17"/>
  <c r="K31" i="17"/>
  <c r="J34" i="17"/>
  <c r="K29" i="17"/>
  <c r="K28" i="17"/>
  <c r="K34" i="17"/>
  <c r="K30" i="17"/>
  <c r="K27" i="17"/>
  <c r="K33" i="17"/>
  <c r="L11" i="16"/>
  <c r="M11" i="16"/>
  <c r="J11" i="16"/>
  <c r="K11" i="16"/>
  <c r="E13" i="12"/>
  <c r="I13" i="12" s="1"/>
  <c r="E17" i="12"/>
  <c r="I17" i="12" s="1"/>
  <c r="E16" i="12"/>
  <c r="I16" i="12" s="1"/>
  <c r="E18" i="12"/>
  <c r="I18" i="12" s="1"/>
  <c r="E8" i="12"/>
  <c r="I8" i="12" s="1"/>
  <c r="E15" i="12"/>
  <c r="I15" i="12" s="1"/>
  <c r="E23" i="12"/>
  <c r="I23" i="12" s="1"/>
  <c r="E9" i="12"/>
  <c r="I9" i="12" s="1"/>
  <c r="E14" i="12"/>
  <c r="I14" i="12" s="1"/>
  <c r="E22" i="12"/>
  <c r="I22" i="12" s="1"/>
  <c r="E19" i="12"/>
  <c r="I19" i="12" s="1"/>
  <c r="E10" i="12"/>
  <c r="I10" i="12" s="1"/>
  <c r="E12" i="12"/>
  <c r="I12" i="12" s="1"/>
  <c r="E21" i="12"/>
  <c r="I21" i="12" s="1"/>
  <c r="E11" i="12"/>
  <c r="I11" i="12" s="1"/>
  <c r="E20" i="12"/>
  <c r="I20" i="12" s="1"/>
  <c r="O11" i="6"/>
  <c r="O14" i="6"/>
  <c r="P28" i="6"/>
  <c r="P12" i="6"/>
  <c r="O26" i="6"/>
  <c r="O25" i="6"/>
  <c r="O30" i="6"/>
  <c r="P23" i="6"/>
  <c r="P29" i="6"/>
  <c r="P32" i="6"/>
  <c r="O32" i="6"/>
  <c r="O8" i="6"/>
  <c r="P20" i="6"/>
  <c r="P25" i="6"/>
  <c r="O17" i="6"/>
  <c r="O24" i="6"/>
  <c r="P31" i="6"/>
  <c r="P27" i="6"/>
  <c r="O12" i="6"/>
  <c r="O22" i="6"/>
  <c r="O18" i="6"/>
  <c r="P18" i="6"/>
  <c r="P8" i="6"/>
  <c r="O19" i="6"/>
  <c r="O10" i="6"/>
  <c r="O9" i="6"/>
  <c r="P10" i="6"/>
  <c r="P24" i="6"/>
  <c r="O16" i="6"/>
  <c r="P16" i="6"/>
  <c r="P30" i="6"/>
  <c r="O20" i="6"/>
  <c r="P11" i="6"/>
  <c r="P15" i="6"/>
  <c r="O31" i="6"/>
  <c r="O15" i="6"/>
  <c r="O13" i="6"/>
  <c r="P26" i="6"/>
  <c r="P9" i="6"/>
  <c r="O27" i="6"/>
  <c r="O28" i="6"/>
  <c r="P13" i="6"/>
  <c r="P14" i="6"/>
  <c r="P19" i="6"/>
  <c r="P21" i="6"/>
  <c r="O23" i="6"/>
  <c r="O29" i="6"/>
  <c r="O21" i="6"/>
  <c r="P17" i="6"/>
  <c r="P22" i="6"/>
  <c r="J31" i="10"/>
  <c r="J11" i="10"/>
  <c r="J14" i="10"/>
  <c r="K28" i="10"/>
  <c r="K33" i="10"/>
  <c r="K11" i="10"/>
  <c r="K30" i="10"/>
  <c r="J12" i="10"/>
  <c r="J26" i="10"/>
  <c r="J24" i="10"/>
  <c r="J27" i="10"/>
  <c r="J33" i="10"/>
  <c r="K22" i="10"/>
  <c r="K21" i="10"/>
  <c r="K18" i="10"/>
  <c r="K13" i="10"/>
  <c r="K27" i="10"/>
  <c r="J21" i="10"/>
  <c r="J25" i="10"/>
  <c r="K31" i="10"/>
  <c r="K23" i="10"/>
  <c r="K26" i="10"/>
  <c r="J34" i="10"/>
  <c r="J20" i="10"/>
  <c r="J13" i="10"/>
  <c r="K32" i="10"/>
  <c r="K17" i="10"/>
  <c r="K34" i="10"/>
  <c r="J32" i="10"/>
  <c r="J29" i="10"/>
  <c r="K19" i="10"/>
  <c r="K20" i="10"/>
  <c r="K14" i="10"/>
  <c r="J28" i="10"/>
  <c r="J18" i="10"/>
  <c r="K29" i="10"/>
  <c r="J30" i="10"/>
  <c r="J16" i="10"/>
  <c r="K15" i="10"/>
  <c r="K12" i="10"/>
  <c r="K16" i="10"/>
  <c r="J17" i="10"/>
  <c r="J23" i="10"/>
  <c r="J15" i="10"/>
  <c r="J22" i="10"/>
  <c r="J19" i="10"/>
  <c r="K25" i="10"/>
  <c r="K24" i="10"/>
  <c r="F17" i="9"/>
  <c r="J17" i="9" s="1"/>
  <c r="F23" i="9"/>
  <c r="J23" i="9" s="1"/>
  <c r="F20" i="9"/>
  <c r="J20" i="9" s="1"/>
  <c r="F16" i="9"/>
  <c r="J16" i="9" s="1"/>
  <c r="F8" i="9"/>
  <c r="J8" i="9" s="1"/>
  <c r="F10" i="9"/>
  <c r="J10" i="9" s="1"/>
  <c r="F11" i="9"/>
  <c r="J11" i="9" s="1"/>
  <c r="F25" i="9"/>
  <c r="J25" i="9" s="1"/>
  <c r="F28" i="9"/>
  <c r="J28" i="9" s="1"/>
  <c r="F18" i="9"/>
  <c r="J18" i="9" s="1"/>
  <c r="F19" i="9"/>
  <c r="J19" i="9" s="1"/>
  <c r="F26" i="9"/>
  <c r="J26" i="9" s="1"/>
  <c r="F9" i="9"/>
  <c r="J9" i="9" s="1"/>
  <c r="F24" i="9"/>
  <c r="J24" i="9" s="1"/>
  <c r="F22" i="9"/>
  <c r="J22" i="9" s="1"/>
  <c r="F15" i="9"/>
  <c r="J15" i="9" s="1"/>
  <c r="F21" i="9"/>
  <c r="J21" i="9" s="1"/>
  <c r="F12" i="9"/>
  <c r="J12" i="9" s="1"/>
  <c r="F14" i="9"/>
  <c r="J14" i="9" s="1"/>
  <c r="F13" i="9"/>
  <c r="J13" i="9" s="1"/>
  <c r="F29" i="9"/>
  <c r="J29" i="9" s="1"/>
  <c r="F27" i="9"/>
  <c r="J27" i="9" s="1"/>
  <c r="L24" i="10"/>
  <c r="L25" i="10"/>
  <c r="L18" i="10"/>
  <c r="M31" i="10"/>
  <c r="M18" i="10"/>
  <c r="L30" i="10"/>
  <c r="M15" i="10"/>
  <c r="M28" i="10"/>
  <c r="M11" i="10"/>
  <c r="L19" i="10"/>
  <c r="M16" i="10"/>
  <c r="M32" i="10"/>
  <c r="L11" i="10"/>
  <c r="M22" i="10"/>
  <c r="M33" i="10"/>
  <c r="L23" i="10"/>
  <c r="L12" i="10"/>
  <c r="M29" i="10"/>
  <c r="M34" i="10"/>
  <c r="L21" i="10"/>
  <c r="M19" i="10"/>
  <c r="M27" i="10"/>
  <c r="L16" i="10"/>
  <c r="L13" i="10"/>
  <c r="M14" i="10"/>
  <c r="M21" i="10"/>
  <c r="L27" i="10"/>
  <c r="M25" i="10"/>
  <c r="M30" i="10"/>
  <c r="L29" i="10"/>
  <c r="L34" i="10"/>
  <c r="L20" i="10"/>
  <c r="L28" i="10"/>
  <c r="M20" i="10"/>
  <c r="M13" i="10"/>
  <c r="L22" i="10"/>
  <c r="M23" i="10"/>
  <c r="L15" i="10"/>
  <c r="L33" i="10"/>
  <c r="M17" i="10"/>
  <c r="O17" i="10" s="1"/>
  <c r="M12" i="10"/>
  <c r="L26" i="10"/>
  <c r="L31" i="10"/>
  <c r="L32" i="10"/>
  <c r="L14" i="10"/>
  <c r="M26" i="10"/>
  <c r="M24" i="10"/>
  <c r="G18" i="12"/>
  <c r="J18" i="12" s="1"/>
  <c r="G13" i="12"/>
  <c r="J13" i="12" s="1"/>
  <c r="G23" i="12"/>
  <c r="J23" i="12" s="1"/>
  <c r="G10" i="12"/>
  <c r="J10" i="12" s="1"/>
  <c r="G21" i="12"/>
  <c r="J21" i="12" s="1"/>
  <c r="G19" i="12"/>
  <c r="J19" i="12" s="1"/>
  <c r="G9" i="12"/>
  <c r="J9" i="12" s="1"/>
  <c r="G8" i="12"/>
  <c r="J8" i="12" s="1"/>
  <c r="G15" i="12"/>
  <c r="J15" i="12" s="1"/>
  <c r="G12" i="12"/>
  <c r="J12" i="12" s="1"/>
  <c r="G22" i="12"/>
  <c r="J22" i="12" s="1"/>
  <c r="G16" i="12"/>
  <c r="J16" i="12" s="1"/>
  <c r="G17" i="12"/>
  <c r="J17" i="12" s="1"/>
  <c r="G11" i="12"/>
  <c r="J11" i="12" s="1"/>
  <c r="G20" i="12"/>
  <c r="J20" i="12" s="1"/>
  <c r="G14" i="12"/>
  <c r="J14" i="12" s="1"/>
  <c r="G16" i="5"/>
  <c r="G24" i="5" s="1"/>
  <c r="M26" i="6"/>
  <c r="M8" i="6"/>
  <c r="N17" i="6"/>
  <c r="N30" i="6"/>
  <c r="N13" i="6"/>
  <c r="N23" i="6"/>
  <c r="N24" i="6"/>
  <c r="N29" i="6"/>
  <c r="N20" i="6"/>
  <c r="N16" i="6"/>
  <c r="N9" i="6"/>
  <c r="N27" i="6"/>
  <c r="M9" i="6"/>
  <c r="M31" i="6"/>
  <c r="M10" i="6"/>
  <c r="M18" i="6"/>
  <c r="M27" i="6"/>
  <c r="N19" i="6"/>
  <c r="N15" i="6"/>
  <c r="N22" i="6"/>
  <c r="N31" i="6"/>
  <c r="N14" i="6"/>
  <c r="M11" i="6"/>
  <c r="M25" i="6"/>
  <c r="N8" i="6"/>
  <c r="M29" i="6"/>
  <c r="M32" i="6"/>
  <c r="N26" i="6"/>
  <c r="M14" i="6"/>
  <c r="M19" i="6"/>
  <c r="M21" i="6"/>
  <c r="N28" i="6"/>
  <c r="N10" i="6"/>
  <c r="M17" i="6"/>
  <c r="M30" i="6"/>
  <c r="M24" i="6"/>
  <c r="M13" i="6"/>
  <c r="M16" i="6"/>
  <c r="N21" i="6"/>
  <c r="N18" i="6"/>
  <c r="N32" i="6"/>
  <c r="M22" i="6"/>
  <c r="M28" i="6"/>
  <c r="M12" i="6"/>
  <c r="M23" i="6"/>
  <c r="M15" i="6"/>
  <c r="M20" i="6"/>
  <c r="N11" i="6"/>
  <c r="N12" i="6"/>
  <c r="N25" i="6"/>
  <c r="H17" i="9"/>
  <c r="K17" i="9" s="1"/>
  <c r="H8" i="9"/>
  <c r="K8" i="9" s="1"/>
  <c r="H24" i="9"/>
  <c r="K24" i="9" s="1"/>
  <c r="H13" i="9"/>
  <c r="K13" i="9" s="1"/>
  <c r="H20" i="9"/>
  <c r="K20" i="9" s="1"/>
  <c r="H11" i="9"/>
  <c r="K11" i="9" s="1"/>
  <c r="H29" i="9"/>
  <c r="K29" i="9" s="1"/>
  <c r="H12" i="9"/>
  <c r="K12" i="9" s="1"/>
  <c r="H9" i="9"/>
  <c r="K9" i="9" s="1"/>
  <c r="H10" i="9"/>
  <c r="K10" i="9" s="1"/>
  <c r="H28" i="9"/>
  <c r="K28" i="9" s="1"/>
  <c r="H18" i="9"/>
  <c r="K18" i="9" s="1"/>
  <c r="H27" i="9"/>
  <c r="K27" i="9" s="1"/>
  <c r="H23" i="9"/>
  <c r="K23" i="9" s="1"/>
  <c r="H14" i="9"/>
  <c r="K14" i="9" s="1"/>
  <c r="H19" i="9"/>
  <c r="K19" i="9" s="1"/>
  <c r="H22" i="9"/>
  <c r="K22" i="9" s="1"/>
  <c r="H25" i="9"/>
  <c r="K25" i="9" s="1"/>
  <c r="H21" i="9"/>
  <c r="K21" i="9" s="1"/>
  <c r="H16" i="9"/>
  <c r="K16" i="9" s="1"/>
  <c r="H26" i="9"/>
  <c r="K26" i="9" s="1"/>
  <c r="H15" i="9"/>
  <c r="K15" i="9" s="1"/>
  <c r="N24" i="19" l="1"/>
  <c r="N20" i="19"/>
  <c r="O33" i="10"/>
  <c r="N22" i="19"/>
  <c r="O27" i="19"/>
  <c r="O30" i="17"/>
  <c r="O22" i="19"/>
  <c r="N32" i="19"/>
  <c r="N16" i="19"/>
  <c r="O20" i="19"/>
  <c r="O16" i="19"/>
  <c r="O19" i="19"/>
  <c r="O25" i="19"/>
  <c r="N28" i="19"/>
  <c r="O13" i="19"/>
  <c r="N17" i="19"/>
  <c r="O34" i="19"/>
  <c r="N34" i="19"/>
  <c r="O33" i="19"/>
  <c r="O17" i="19"/>
  <c r="N12" i="19"/>
  <c r="O28" i="19"/>
  <c r="N18" i="19"/>
  <c r="N33" i="19"/>
  <c r="N26" i="19"/>
  <c r="O15" i="19"/>
  <c r="O23" i="19"/>
  <c r="N31" i="19"/>
  <c r="N27" i="19"/>
  <c r="N30" i="19"/>
  <c r="O32" i="19"/>
  <c r="O21" i="19"/>
  <c r="O31" i="19"/>
  <c r="N15" i="19"/>
  <c r="N19" i="19"/>
  <c r="O12" i="19"/>
  <c r="O30" i="19"/>
  <c r="N25" i="19"/>
  <c r="O26" i="19"/>
  <c r="O11" i="19"/>
  <c r="N11" i="19"/>
  <c r="N13" i="19"/>
  <c r="O14" i="19"/>
  <c r="O18" i="19"/>
  <c r="N14" i="19"/>
  <c r="N29" i="19"/>
  <c r="O24" i="19"/>
  <c r="O29" i="19"/>
  <c r="N21" i="19"/>
  <c r="N23" i="19"/>
  <c r="O34" i="17"/>
  <c r="N31" i="17"/>
  <c r="N33" i="17"/>
  <c r="N30" i="17"/>
  <c r="N34" i="17"/>
  <c r="O27" i="17"/>
  <c r="O31" i="17"/>
  <c r="N27" i="17"/>
  <c r="N11" i="17"/>
  <c r="N32" i="17"/>
  <c r="O32" i="17"/>
  <c r="N28" i="17"/>
  <c r="O33" i="17"/>
  <c r="O28" i="17"/>
  <c r="O29" i="17"/>
  <c r="O11" i="17"/>
  <c r="N29" i="17"/>
  <c r="O29" i="10"/>
  <c r="O19" i="10"/>
  <c r="O18" i="10"/>
  <c r="O11" i="16"/>
  <c r="N11" i="16"/>
  <c r="Q19" i="6"/>
  <c r="O34" i="10"/>
  <c r="O31" i="10"/>
  <c r="O16" i="10"/>
  <c r="O11" i="10"/>
  <c r="R29" i="6"/>
  <c r="R28" i="6"/>
  <c r="O28" i="10"/>
  <c r="Q30" i="6"/>
  <c r="N30" i="10"/>
  <c r="Q23" i="6"/>
  <c r="R11" i="6"/>
  <c r="N19" i="10"/>
  <c r="R21" i="6"/>
  <c r="N22" i="10"/>
  <c r="N20" i="10"/>
  <c r="R15" i="6"/>
  <c r="Q8" i="6"/>
  <c r="R32" i="6"/>
  <c r="Q24" i="6"/>
  <c r="R16" i="6"/>
  <c r="Q15" i="6"/>
  <c r="O15" i="10"/>
  <c r="N31" i="10"/>
  <c r="O22" i="10"/>
  <c r="Q17" i="6"/>
  <c r="N28" i="10"/>
  <c r="Q12" i="6"/>
  <c r="Q25" i="6"/>
  <c r="Q20" i="6"/>
  <c r="N16" i="10"/>
  <c r="N11" i="10"/>
  <c r="R27" i="6"/>
  <c r="N13" i="10"/>
  <c r="R17" i="6"/>
  <c r="O25" i="10"/>
  <c r="N33" i="10"/>
  <c r="R9" i="6"/>
  <c r="R14" i="6"/>
  <c r="N27" i="10"/>
  <c r="Q21" i="6"/>
  <c r="R19" i="6"/>
  <c r="R23" i="6"/>
  <c r="O32" i="10"/>
  <c r="O12" i="10"/>
  <c r="L15" i="9"/>
  <c r="L16" i="9"/>
  <c r="R25" i="6"/>
  <c r="K22" i="12"/>
  <c r="Q11" i="6"/>
  <c r="O23" i="10"/>
  <c r="L22" i="9"/>
  <c r="L20" i="9"/>
  <c r="N14" i="10"/>
  <c r="R26" i="6"/>
  <c r="K14" i="12"/>
  <c r="O27" i="10"/>
  <c r="L24" i="9"/>
  <c r="L23" i="9"/>
  <c r="R24" i="6"/>
  <c r="K9" i="12"/>
  <c r="L9" i="9"/>
  <c r="L17" i="9"/>
  <c r="K23" i="12"/>
  <c r="L26" i="9"/>
  <c r="K15" i="12"/>
  <c r="Q28" i="6"/>
  <c r="O13" i="10"/>
  <c r="O24" i="10"/>
  <c r="L19" i="9"/>
  <c r="N18" i="10"/>
  <c r="N34" i="10"/>
  <c r="R13" i="6"/>
  <c r="R10" i="6"/>
  <c r="I24" i="12"/>
  <c r="K8" i="12"/>
  <c r="L27" i="9"/>
  <c r="L18" i="9"/>
  <c r="N24" i="10"/>
  <c r="R8" i="6"/>
  <c r="K20" i="12"/>
  <c r="K18" i="12"/>
  <c r="Q22" i="6"/>
  <c r="Q14" i="6"/>
  <c r="L29" i="9"/>
  <c r="L28" i="9"/>
  <c r="N26" i="10"/>
  <c r="R31" i="6"/>
  <c r="K11" i="12"/>
  <c r="K16" i="12"/>
  <c r="K30" i="9"/>
  <c r="Q18" i="6"/>
  <c r="O14" i="10"/>
  <c r="L13" i="9"/>
  <c r="L25" i="9"/>
  <c r="N15" i="10"/>
  <c r="N12" i="10"/>
  <c r="K21" i="12"/>
  <c r="K17" i="12"/>
  <c r="Q32" i="6"/>
  <c r="Q10" i="6"/>
  <c r="O20" i="10"/>
  <c r="O21" i="10"/>
  <c r="L14" i="9"/>
  <c r="L11" i="9"/>
  <c r="N23" i="10"/>
  <c r="N25" i="10"/>
  <c r="R18" i="6"/>
  <c r="K12" i="12"/>
  <c r="K13" i="12"/>
  <c r="Q31" i="6"/>
  <c r="L12" i="9"/>
  <c r="L10" i="9"/>
  <c r="N17" i="10"/>
  <c r="P17" i="10" s="1"/>
  <c r="N29" i="10"/>
  <c r="N21" i="10"/>
  <c r="R20" i="6"/>
  <c r="R22" i="6"/>
  <c r="K10" i="12"/>
  <c r="Q27" i="6"/>
  <c r="Q16" i="6"/>
  <c r="Q29" i="6"/>
  <c r="J24" i="12"/>
  <c r="Q13" i="6"/>
  <c r="Q9" i="6"/>
  <c r="Q26" i="6"/>
  <c r="O26" i="10"/>
  <c r="O30" i="10"/>
  <c r="L21" i="9"/>
  <c r="L8" i="9"/>
  <c r="J30" i="9"/>
  <c r="N32" i="10"/>
  <c r="R12" i="6"/>
  <c r="R30" i="6"/>
  <c r="K19" i="12"/>
  <c r="P24" i="19" l="1"/>
  <c r="P30" i="17"/>
  <c r="P27" i="19"/>
  <c r="P22" i="19"/>
  <c r="P20" i="19"/>
  <c r="P32" i="19"/>
  <c r="P25" i="19"/>
  <c r="P16" i="19"/>
  <c r="P13" i="19"/>
  <c r="P33" i="10"/>
  <c r="P21" i="19"/>
  <c r="P23" i="19"/>
  <c r="P14" i="19"/>
  <c r="P28" i="19"/>
  <c r="N35" i="19"/>
  <c r="P31" i="19"/>
  <c r="P34" i="19"/>
  <c r="P19" i="19"/>
  <c r="P12" i="19"/>
  <c r="P30" i="19"/>
  <c r="P11" i="19"/>
  <c r="M35" i="19"/>
  <c r="P33" i="17"/>
  <c r="P26" i="19"/>
  <c r="P33" i="19"/>
  <c r="P29" i="19"/>
  <c r="P17" i="19"/>
  <c r="P15" i="19"/>
  <c r="P18" i="19"/>
  <c r="P34" i="17"/>
  <c r="P31" i="17"/>
  <c r="P11" i="17"/>
  <c r="P27" i="17"/>
  <c r="P29" i="17"/>
  <c r="P28" i="17"/>
  <c r="P32" i="17"/>
  <c r="P29" i="10"/>
  <c r="P11" i="16"/>
  <c r="P18" i="10"/>
  <c r="S19" i="6"/>
  <c r="P34" i="10"/>
  <c r="P31" i="10"/>
  <c r="S29" i="6"/>
  <c r="P28" i="10"/>
  <c r="P11" i="10"/>
  <c r="P16" i="10"/>
  <c r="P30" i="10"/>
  <c r="P21" i="10"/>
  <c r="S11" i="6"/>
  <c r="S28" i="6"/>
  <c r="S20" i="6"/>
  <c r="P22" i="10"/>
  <c r="P20" i="10"/>
  <c r="S23" i="6"/>
  <c r="P19" i="10"/>
  <c r="S21" i="6"/>
  <c r="S30" i="6"/>
  <c r="S15" i="6"/>
  <c r="S32" i="6"/>
  <c r="P15" i="10"/>
  <c r="S24" i="6"/>
  <c r="S16" i="6"/>
  <c r="S12" i="6"/>
  <c r="S14" i="6"/>
  <c r="S17" i="6"/>
  <c r="P13" i="10"/>
  <c r="P27" i="10"/>
  <c r="P24" i="10"/>
  <c r="P25" i="10"/>
  <c r="S25" i="6"/>
  <c r="S26" i="6"/>
  <c r="N35" i="10"/>
  <c r="S9" i="6"/>
  <c r="S31" i="6"/>
  <c r="P12" i="10"/>
  <c r="P32" i="10"/>
  <c r="S27" i="6"/>
  <c r="P23" i="10"/>
  <c r="K24" i="12"/>
  <c r="H15" i="5" s="1"/>
  <c r="I15" i="5" s="1"/>
  <c r="S18" i="6"/>
  <c r="S13" i="6"/>
  <c r="R33" i="6"/>
  <c r="S10" i="6"/>
  <c r="Q33" i="6"/>
  <c r="L30" i="9"/>
  <c r="H13" i="5" s="1"/>
  <c r="I13" i="5" s="1"/>
  <c r="M35" i="10"/>
  <c r="S22" i="6"/>
  <c r="P14" i="10"/>
  <c r="S8" i="6"/>
  <c r="P26" i="10"/>
  <c r="O35" i="19" l="1"/>
  <c r="O35" i="10"/>
  <c r="S33" i="6"/>
  <c r="H12" i="5" s="1"/>
  <c r="H14" i="5" l="1"/>
  <c r="I14" i="5" s="1"/>
  <c r="I12" i="5"/>
  <c r="H16" i="5" l="1"/>
  <c r="H24" i="5" s="1"/>
  <c r="I16" i="5"/>
  <c r="M17" i="15" s="1"/>
  <c r="M19" i="15" s="1"/>
  <c r="M20" i="15" s="1"/>
  <c r="BD27" i="15" l="1"/>
  <c r="I24" i="5"/>
  <c r="E48" i="17"/>
  <c r="F48" i="17" s="1"/>
  <c r="I26" i="17"/>
  <c r="D52" i="17"/>
  <c r="R21" i="17"/>
  <c r="T21" i="17" s="1"/>
  <c r="D55" i="17"/>
  <c r="C60" i="17"/>
  <c r="D60" i="17"/>
  <c r="D58" i="17"/>
  <c r="D50" i="17"/>
  <c r="D51" i="17"/>
  <c r="I12" i="17"/>
  <c r="E47" i="17"/>
  <c r="F47" i="17" s="1"/>
  <c r="C57" i="17"/>
  <c r="R20" i="17"/>
  <c r="C55" i="17"/>
  <c r="D56" i="17"/>
  <c r="C56" i="17"/>
  <c r="E60" i="17"/>
  <c r="F60" i="17" s="1"/>
  <c r="I25" i="17"/>
  <c r="E58" i="17"/>
  <c r="F58" i="17" s="1"/>
  <c r="I23" i="17"/>
  <c r="C53" i="17"/>
  <c r="R18" i="17"/>
  <c r="D53" i="17"/>
  <c r="D59" i="17"/>
  <c r="S24" i="17"/>
  <c r="C59" i="17"/>
  <c r="R23" i="17"/>
  <c r="C58" i="17"/>
  <c r="C47" i="17"/>
  <c r="D47" i="17"/>
  <c r="S22" i="17"/>
  <c r="D57" i="17"/>
  <c r="S12" i="17"/>
  <c r="R12" i="17"/>
  <c r="T12" i="17" s="1"/>
  <c r="D49" i="17"/>
  <c r="E49" i="17"/>
  <c r="F49" i="17" s="1"/>
  <c r="S14" i="17"/>
  <c r="C49" i="17"/>
  <c r="C48" i="17"/>
  <c r="I13" i="17"/>
  <c r="S13" i="17"/>
  <c r="D48" i="17"/>
  <c r="S21" i="17"/>
  <c r="E56" i="17"/>
  <c r="F56" i="17" s="1"/>
  <c r="E51" i="17"/>
  <c r="F51" i="17" s="1"/>
  <c r="C51" i="17"/>
  <c r="S15" i="17"/>
  <c r="C50" i="17"/>
  <c r="D61" i="17"/>
  <c r="E61" i="17"/>
  <c r="F61" i="17" s="1"/>
  <c r="S26" i="17"/>
  <c r="C61" i="17"/>
  <c r="C54" i="17"/>
  <c r="E54" i="17"/>
  <c r="F54" i="17" s="1"/>
  <c r="D54" i="17"/>
  <c r="R17" i="17"/>
  <c r="C52" i="17"/>
  <c r="S16" i="17" l="1"/>
  <c r="I17" i="17"/>
  <c r="I16" i="17"/>
  <c r="E52" i="17"/>
  <c r="F52" i="17" s="1"/>
  <c r="E53" i="17"/>
  <c r="F53" i="17" s="1"/>
  <c r="R14" i="17"/>
  <c r="N49" i="17" s="1"/>
  <c r="J49" i="17" s="1"/>
  <c r="R26" i="17"/>
  <c r="N61" i="17" s="1"/>
  <c r="G61" i="17" s="1"/>
  <c r="S25" i="17"/>
  <c r="I21" i="17"/>
  <c r="J21" i="17" s="1"/>
  <c r="I14" i="17"/>
  <c r="R25" i="17"/>
  <c r="U25" i="17" s="1"/>
  <c r="O60" i="17" s="1"/>
  <c r="S18" i="17"/>
  <c r="T23" i="17"/>
  <c r="N58" i="17"/>
  <c r="U23" i="17"/>
  <c r="O58" i="17" s="1"/>
  <c r="U18" i="17"/>
  <c r="O53" i="17" s="1"/>
  <c r="T18" i="17"/>
  <c r="N53" i="17"/>
  <c r="K12" i="17"/>
  <c r="M12" i="17"/>
  <c r="L12" i="17"/>
  <c r="J12" i="17"/>
  <c r="I61" i="17"/>
  <c r="J61" i="17"/>
  <c r="U17" i="17"/>
  <c r="O52" i="17" s="1"/>
  <c r="N52" i="17"/>
  <c r="T17" i="17"/>
  <c r="U20" i="17"/>
  <c r="O55" i="17" s="1"/>
  <c r="N55" i="17"/>
  <c r="T20" i="17"/>
  <c r="N56" i="17"/>
  <c r="S19" i="17"/>
  <c r="R16" i="17"/>
  <c r="U12" i="17"/>
  <c r="O47" i="17" s="1"/>
  <c r="U21" i="17"/>
  <c r="O56" i="17" s="1"/>
  <c r="R13" i="17"/>
  <c r="I19" i="17"/>
  <c r="N47" i="17"/>
  <c r="I24" i="17"/>
  <c r="E50" i="17"/>
  <c r="F50" i="17" s="1"/>
  <c r="E55" i="17"/>
  <c r="F55" i="17" s="1"/>
  <c r="I22" i="17"/>
  <c r="R15" i="17"/>
  <c r="I18" i="17"/>
  <c r="I20" i="17"/>
  <c r="I15" i="17"/>
  <c r="S23" i="17"/>
  <c r="E57" i="17"/>
  <c r="F57" i="17" s="1"/>
  <c r="R19" i="17"/>
  <c r="R22" i="17"/>
  <c r="S17" i="17"/>
  <c r="R24" i="17"/>
  <c r="E59" i="17"/>
  <c r="F59" i="17" s="1"/>
  <c r="S20" i="17"/>
  <c r="T14" i="17" l="1"/>
  <c r="K14" i="17" s="1"/>
  <c r="G49" i="17"/>
  <c r="I49" i="17"/>
  <c r="L49" i="17" s="1"/>
  <c r="H49" i="17"/>
  <c r="U14" i="17"/>
  <c r="O49" i="17" s="1"/>
  <c r="M21" i="17"/>
  <c r="L21" i="17"/>
  <c r="K21" i="17"/>
  <c r="N21" i="17" s="1"/>
  <c r="N12" i="17"/>
  <c r="O12" i="17"/>
  <c r="N60" i="17"/>
  <c r="J60" i="17" s="1"/>
  <c r="H61" i="17"/>
  <c r="K61" i="17" s="1"/>
  <c r="L61" i="17"/>
  <c r="T25" i="17"/>
  <c r="M25" i="17" s="1"/>
  <c r="T26" i="17"/>
  <c r="J26" i="17" s="1"/>
  <c r="U26" i="17"/>
  <c r="O61" i="17" s="1"/>
  <c r="N50" i="17"/>
  <c r="T15" i="17"/>
  <c r="U15" i="17"/>
  <c r="O50" i="17" s="1"/>
  <c r="G53" i="17"/>
  <c r="I53" i="17"/>
  <c r="J53" i="17"/>
  <c r="H53" i="17"/>
  <c r="N54" i="17"/>
  <c r="U19" i="17"/>
  <c r="O54" i="17" s="1"/>
  <c r="T19" i="17"/>
  <c r="J56" i="17"/>
  <c r="I56" i="17"/>
  <c r="G56" i="17"/>
  <c r="H56" i="17"/>
  <c r="J17" i="17"/>
  <c r="L17" i="17"/>
  <c r="K17" i="17"/>
  <c r="M17" i="17"/>
  <c r="J18" i="17"/>
  <c r="M18" i="17"/>
  <c r="K18" i="17"/>
  <c r="L18" i="17"/>
  <c r="N51" i="17"/>
  <c r="U16" i="17"/>
  <c r="O51" i="17" s="1"/>
  <c r="T16" i="17"/>
  <c r="T24" i="17"/>
  <c r="U24" i="17"/>
  <c r="O59" i="17" s="1"/>
  <c r="N59" i="17"/>
  <c r="G52" i="17"/>
  <c r="H52" i="17"/>
  <c r="I52" i="17"/>
  <c r="J52" i="17"/>
  <c r="J47" i="17"/>
  <c r="H47" i="17"/>
  <c r="G47" i="17"/>
  <c r="I47" i="17"/>
  <c r="J55" i="17"/>
  <c r="G55" i="17"/>
  <c r="H55" i="17"/>
  <c r="I55" i="17"/>
  <c r="T22" i="17"/>
  <c r="N57" i="17"/>
  <c r="U22" i="17"/>
  <c r="O57" i="17" s="1"/>
  <c r="J20" i="17"/>
  <c r="L20" i="17"/>
  <c r="M20" i="17"/>
  <c r="K20" i="17"/>
  <c r="N48" i="17"/>
  <c r="T13" i="17"/>
  <c r="U13" i="17"/>
  <c r="O48" i="17" s="1"/>
  <c r="J58" i="17"/>
  <c r="I58" i="17"/>
  <c r="G58" i="17"/>
  <c r="H58" i="17"/>
  <c r="M23" i="17"/>
  <c r="J23" i="17"/>
  <c r="L23" i="17"/>
  <c r="K23" i="17"/>
  <c r="O21" i="17" l="1"/>
  <c r="P21" i="17" s="1"/>
  <c r="K49" i="17"/>
  <c r="M49" i="17" s="1"/>
  <c r="I60" i="17"/>
  <c r="L60" i="17" s="1"/>
  <c r="M14" i="17"/>
  <c r="H60" i="17"/>
  <c r="G60" i="17"/>
  <c r="K60" i="17" s="1"/>
  <c r="J14" i="17"/>
  <c r="N14" i="17" s="1"/>
  <c r="L14" i="17"/>
  <c r="P12" i="17"/>
  <c r="L58" i="17"/>
  <c r="O18" i="17"/>
  <c r="O17" i="17"/>
  <c r="K26" i="17"/>
  <c r="N26" i="17" s="1"/>
  <c r="L26" i="17"/>
  <c r="M61" i="17"/>
  <c r="M26" i="17"/>
  <c r="L55" i="17"/>
  <c r="K47" i="17"/>
  <c r="L47" i="17"/>
  <c r="K25" i="17"/>
  <c r="L56" i="17"/>
  <c r="K55" i="17"/>
  <c r="K53" i="17"/>
  <c r="J25" i="17"/>
  <c r="O23" i="17"/>
  <c r="L25" i="17"/>
  <c r="O25" i="17" s="1"/>
  <c r="L52" i="17"/>
  <c r="H51" i="17"/>
  <c r="J51" i="17"/>
  <c r="G51" i="17"/>
  <c r="I51" i="17"/>
  <c r="K52" i="17"/>
  <c r="L53" i="17"/>
  <c r="N18" i="17"/>
  <c r="K19" i="17"/>
  <c r="L19" i="17"/>
  <c r="J19" i="17"/>
  <c r="M19" i="17"/>
  <c r="N23" i="17"/>
  <c r="J15" i="17"/>
  <c r="L15" i="17"/>
  <c r="M15" i="17"/>
  <c r="K15" i="17"/>
  <c r="N20" i="17"/>
  <c r="J59" i="17"/>
  <c r="H59" i="17"/>
  <c r="I59" i="17"/>
  <c r="G59" i="17"/>
  <c r="H54" i="17"/>
  <c r="G54" i="17"/>
  <c r="J54" i="17"/>
  <c r="I54" i="17"/>
  <c r="H50" i="17"/>
  <c r="J50" i="17"/>
  <c r="I50" i="17"/>
  <c r="G50" i="17"/>
  <c r="G48" i="17"/>
  <c r="J48" i="17"/>
  <c r="I48" i="17"/>
  <c r="H48" i="17"/>
  <c r="O20" i="17"/>
  <c r="N17" i="17"/>
  <c r="I57" i="17"/>
  <c r="J57" i="17"/>
  <c r="H57" i="17"/>
  <c r="G57" i="17"/>
  <c r="L24" i="17"/>
  <c r="M24" i="17"/>
  <c r="K24" i="17"/>
  <c r="J24" i="17"/>
  <c r="J13" i="17"/>
  <c r="M13" i="17"/>
  <c r="L13" i="17"/>
  <c r="K13" i="17"/>
  <c r="K58" i="17"/>
  <c r="J22" i="17"/>
  <c r="L22" i="17"/>
  <c r="K22" i="17"/>
  <c r="M22" i="17"/>
  <c r="M16" i="17"/>
  <c r="K16" i="17"/>
  <c r="L16" i="17"/>
  <c r="J16" i="17"/>
  <c r="K56" i="17"/>
  <c r="O16" i="17" l="1"/>
  <c r="M58" i="17"/>
  <c r="O14" i="17"/>
  <c r="P14" i="17" s="1"/>
  <c r="N16" i="17"/>
  <c r="N24" i="17"/>
  <c r="P23" i="17"/>
  <c r="O26" i="17"/>
  <c r="P26" i="17" s="1"/>
  <c r="M60" i="17"/>
  <c r="K57" i="17"/>
  <c r="M56" i="17"/>
  <c r="N25" i="17"/>
  <c r="P25" i="17" s="1"/>
  <c r="P18" i="17"/>
  <c r="M55" i="17"/>
  <c r="K51" i="17"/>
  <c r="M47" i="17"/>
  <c r="P17" i="17"/>
  <c r="K54" i="17"/>
  <c r="L54" i="17"/>
  <c r="M52" i="17"/>
  <c r="L51" i="17"/>
  <c r="L57" i="17"/>
  <c r="O19" i="17"/>
  <c r="K48" i="17"/>
  <c r="O24" i="17"/>
  <c r="P24" i="17" s="1"/>
  <c r="K50" i="17"/>
  <c r="O13" i="17"/>
  <c r="N22" i="17"/>
  <c r="M53" i="17"/>
  <c r="L59" i="17"/>
  <c r="N19" i="17"/>
  <c r="L50" i="17"/>
  <c r="P20" i="17"/>
  <c r="N13" i="17"/>
  <c r="O15" i="17"/>
  <c r="N15" i="17"/>
  <c r="O22" i="17"/>
  <c r="L48" i="17"/>
  <c r="K59" i="17"/>
  <c r="P16" i="17" l="1"/>
  <c r="M51" i="17"/>
  <c r="M57" i="17"/>
  <c r="M54" i="17"/>
  <c r="N35" i="17"/>
  <c r="M48" i="17"/>
  <c r="P19" i="17"/>
  <c r="M59" i="17"/>
  <c r="P22" i="17"/>
  <c r="P15" i="17"/>
  <c r="M50" i="17"/>
  <c r="P13" i="17"/>
  <c r="M35" i="17"/>
  <c r="L70" i="17"/>
  <c r="K70" i="17"/>
  <c r="O35" i="17" l="1"/>
  <c r="M70" i="17"/>
  <c r="R20" i="16"/>
  <c r="N55" i="16" s="1"/>
  <c r="R18" i="16"/>
  <c r="T18" i="16" s="1"/>
  <c r="R24" i="16"/>
  <c r="N59" i="16" s="1"/>
  <c r="R19" i="16"/>
  <c r="T19" i="16" s="1"/>
  <c r="C67" i="16"/>
  <c r="I15" i="16"/>
  <c r="C66" i="16"/>
  <c r="C65" i="16"/>
  <c r="S13" i="16"/>
  <c r="C64" i="16"/>
  <c r="C52" i="16"/>
  <c r="C68" i="16"/>
  <c r="C63" i="16"/>
  <c r="I23" i="16"/>
  <c r="E49" i="16"/>
  <c r="F49" i="16" s="1"/>
  <c r="C69" i="16"/>
  <c r="R15" i="16"/>
  <c r="G15" i="16"/>
  <c r="I16" i="16"/>
  <c r="S34" i="16"/>
  <c r="C62" i="16"/>
  <c r="E61" i="16"/>
  <c r="F61" i="16" s="1"/>
  <c r="R33" i="16"/>
  <c r="S33" i="16"/>
  <c r="I21" i="16"/>
  <c r="E56" i="16"/>
  <c r="F56" i="16" s="1"/>
  <c r="G21" i="16"/>
  <c r="E21" i="16" s="1"/>
  <c r="C56" i="16" s="1"/>
  <c r="R21" i="16"/>
  <c r="S21" i="16"/>
  <c r="R13" i="16"/>
  <c r="C48" i="16"/>
  <c r="E67" i="16"/>
  <c r="F67" i="16" s="1"/>
  <c r="E55" i="16"/>
  <c r="F55" i="16" s="1"/>
  <c r="S24" i="16"/>
  <c r="I19" i="16"/>
  <c r="I27" i="16"/>
  <c r="I22" i="16"/>
  <c r="G22" i="16"/>
  <c r="S32" i="16"/>
  <c r="G32" i="16"/>
  <c r="D67" i="16" s="1"/>
  <c r="E60" i="16"/>
  <c r="F60" i="16" s="1"/>
  <c r="E66" i="16"/>
  <c r="F66" i="16" s="1"/>
  <c r="S23" i="16"/>
  <c r="G23" i="16"/>
  <c r="S30" i="16"/>
  <c r="G30" i="16"/>
  <c r="D65" i="16" s="1"/>
  <c r="I30" i="16"/>
  <c r="I18" i="16"/>
  <c r="S18" i="16"/>
  <c r="I29" i="16"/>
  <c r="S17" i="16"/>
  <c r="S28" i="16"/>
  <c r="G28" i="16"/>
  <c r="D63" i="16" s="1"/>
  <c r="D58" i="16" l="1"/>
  <c r="E23" i="16"/>
  <c r="C58" i="16" s="1"/>
  <c r="D57" i="16"/>
  <c r="E22" i="16"/>
  <c r="C57" i="16" s="1"/>
  <c r="D56" i="16"/>
  <c r="D50" i="16"/>
  <c r="E15" i="16"/>
  <c r="C50" i="16" s="1"/>
  <c r="U13" i="16"/>
  <c r="O48" i="16" s="1"/>
  <c r="N48" i="16"/>
  <c r="T13" i="16"/>
  <c r="T15" i="16"/>
  <c r="N50" i="16"/>
  <c r="U15" i="16"/>
  <c r="O50" i="16" s="1"/>
  <c r="N68" i="16"/>
  <c r="U33" i="16"/>
  <c r="O68" i="16" s="1"/>
  <c r="T33" i="16"/>
  <c r="T21" i="16"/>
  <c r="N56" i="16"/>
  <c r="U21" i="16"/>
  <c r="O56" i="16" s="1"/>
  <c r="D52" i="16"/>
  <c r="G31" i="16"/>
  <c r="D66" i="16" s="1"/>
  <c r="G27" i="16"/>
  <c r="D62" i="16" s="1"/>
  <c r="I32" i="16"/>
  <c r="G34" i="16"/>
  <c r="D69" i="16" s="1"/>
  <c r="G14" i="16"/>
  <c r="E64" i="16"/>
  <c r="F64" i="16" s="1"/>
  <c r="E69" i="16"/>
  <c r="F69" i="16" s="1"/>
  <c r="U19" i="16"/>
  <c r="O54" i="16" s="1"/>
  <c r="U24" i="16"/>
  <c r="O59" i="16" s="1"/>
  <c r="U18" i="16"/>
  <c r="O53" i="16" s="1"/>
  <c r="U20" i="16"/>
  <c r="O55" i="16" s="1"/>
  <c r="S14" i="16"/>
  <c r="T20" i="16"/>
  <c r="G29" i="16"/>
  <c r="D64" i="16" s="1"/>
  <c r="E65" i="16"/>
  <c r="F65" i="16" s="1"/>
  <c r="G25" i="16"/>
  <c r="G24" i="16"/>
  <c r="G33" i="16"/>
  <c r="D68" i="16" s="1"/>
  <c r="G16" i="16"/>
  <c r="E58" i="16"/>
  <c r="F58" i="16" s="1"/>
  <c r="I17" i="16"/>
  <c r="I34" i="16"/>
  <c r="I13" i="16"/>
  <c r="I14" i="16"/>
  <c r="E50" i="16"/>
  <c r="F50" i="16" s="1"/>
  <c r="R14" i="16"/>
  <c r="E54" i="16"/>
  <c r="F54" i="16" s="1"/>
  <c r="G13" i="16"/>
  <c r="D48" i="16" s="1"/>
  <c r="E68" i="16"/>
  <c r="F68" i="16" s="1"/>
  <c r="E52" i="16"/>
  <c r="F52" i="16" s="1"/>
  <c r="E48" i="16"/>
  <c r="F48" i="16" s="1"/>
  <c r="R34" i="16"/>
  <c r="R32" i="16"/>
  <c r="R16" i="16"/>
  <c r="R22" i="16"/>
  <c r="R28" i="16"/>
  <c r="R23" i="16"/>
  <c r="N53" i="16"/>
  <c r="I20" i="16"/>
  <c r="S15" i="16"/>
  <c r="T24" i="16"/>
  <c r="I33" i="16"/>
  <c r="S27" i="16"/>
  <c r="E59" i="16"/>
  <c r="F59" i="16" s="1"/>
  <c r="S25" i="16"/>
  <c r="S26" i="16"/>
  <c r="G20" i="16"/>
  <c r="E62" i="16"/>
  <c r="F62" i="16" s="1"/>
  <c r="E63" i="16"/>
  <c r="F63" i="16" s="1"/>
  <c r="I25" i="16"/>
  <c r="I26" i="16"/>
  <c r="S16" i="16"/>
  <c r="R17" i="16"/>
  <c r="R29" i="16"/>
  <c r="R26" i="16"/>
  <c r="R25" i="16"/>
  <c r="R31" i="16"/>
  <c r="N54" i="16"/>
  <c r="R27" i="16"/>
  <c r="G18" i="16"/>
  <c r="E53" i="16"/>
  <c r="F53" i="16" s="1"/>
  <c r="S19" i="16"/>
  <c r="S20" i="16"/>
  <c r="G26" i="16"/>
  <c r="S22" i="16"/>
  <c r="I24" i="16"/>
  <c r="E51" i="16"/>
  <c r="F51" i="16" s="1"/>
  <c r="I31" i="16"/>
  <c r="G19" i="16"/>
  <c r="E57" i="16"/>
  <c r="F57" i="16" s="1"/>
  <c r="I28" i="16"/>
  <c r="S31" i="16"/>
  <c r="S29" i="16"/>
  <c r="R30" i="16"/>
  <c r="D61" i="16" l="1"/>
  <c r="E26" i="16"/>
  <c r="C61" i="16" s="1"/>
  <c r="D60" i="16"/>
  <c r="E25" i="16"/>
  <c r="C60" i="16" s="1"/>
  <c r="D59" i="16"/>
  <c r="I59" i="16" s="1"/>
  <c r="E24" i="16"/>
  <c r="C59" i="16" s="1"/>
  <c r="D55" i="16"/>
  <c r="J55" i="16" s="1"/>
  <c r="E20" i="16"/>
  <c r="C55" i="16" s="1"/>
  <c r="D54" i="16"/>
  <c r="E19" i="16"/>
  <c r="C54" i="16" s="1"/>
  <c r="D53" i="16"/>
  <c r="E18" i="16"/>
  <c r="C53" i="16" s="1"/>
  <c r="D51" i="16"/>
  <c r="E16" i="16"/>
  <c r="C51" i="16" s="1"/>
  <c r="D49" i="16"/>
  <c r="E14" i="16"/>
  <c r="C49" i="16" s="1"/>
  <c r="J59" i="16"/>
  <c r="G59" i="16"/>
  <c r="H59" i="16"/>
  <c r="J18" i="16"/>
  <c r="N64" i="16"/>
  <c r="U29" i="16"/>
  <c r="O64" i="16" s="1"/>
  <c r="T29" i="16"/>
  <c r="I53" i="16"/>
  <c r="G53" i="16"/>
  <c r="H53" i="16"/>
  <c r="J53" i="16"/>
  <c r="M15" i="16"/>
  <c r="L15" i="16"/>
  <c r="J15" i="16"/>
  <c r="K15" i="16"/>
  <c r="T23" i="16"/>
  <c r="N58" i="16"/>
  <c r="U23" i="16"/>
  <c r="O58" i="16" s="1"/>
  <c r="J68" i="16"/>
  <c r="H68" i="16"/>
  <c r="G68" i="16"/>
  <c r="I68" i="16"/>
  <c r="G50" i="16"/>
  <c r="J50" i="16"/>
  <c r="H50" i="16"/>
  <c r="I50" i="16"/>
  <c r="L20" i="16"/>
  <c r="J20" i="16"/>
  <c r="K20" i="16"/>
  <c r="M20" i="16"/>
  <c r="G55" i="16"/>
  <c r="U30" i="16"/>
  <c r="O65" i="16" s="1"/>
  <c r="T30" i="16"/>
  <c r="N65" i="16"/>
  <c r="T27" i="16"/>
  <c r="N62" i="16"/>
  <c r="U27" i="16"/>
  <c r="O62" i="16" s="1"/>
  <c r="H55" i="16"/>
  <c r="G56" i="16"/>
  <c r="J56" i="16"/>
  <c r="H56" i="16"/>
  <c r="I56" i="16"/>
  <c r="L18" i="16"/>
  <c r="I55" i="16"/>
  <c r="L55" i="16" s="1"/>
  <c r="M19" i="16"/>
  <c r="L33" i="16"/>
  <c r="M33" i="16"/>
  <c r="K33" i="16"/>
  <c r="J33" i="16"/>
  <c r="N49" i="16"/>
  <c r="T14" i="16"/>
  <c r="U14" i="16"/>
  <c r="O49" i="16" s="1"/>
  <c r="J54" i="16"/>
  <c r="H54" i="16"/>
  <c r="G54" i="16"/>
  <c r="I54" i="16"/>
  <c r="U31" i="16"/>
  <c r="O66" i="16" s="1"/>
  <c r="N66" i="16"/>
  <c r="T31" i="16"/>
  <c r="T16" i="16"/>
  <c r="N51" i="16"/>
  <c r="U16" i="16"/>
  <c r="O51" i="16" s="1"/>
  <c r="N60" i="16"/>
  <c r="T25" i="16"/>
  <c r="U25" i="16"/>
  <c r="O60" i="16" s="1"/>
  <c r="N67" i="16"/>
  <c r="U32" i="16"/>
  <c r="O67" i="16" s="1"/>
  <c r="T32" i="16"/>
  <c r="M18" i="16"/>
  <c r="L19" i="16"/>
  <c r="T28" i="16"/>
  <c r="N63" i="16"/>
  <c r="U28" i="16"/>
  <c r="O63" i="16" s="1"/>
  <c r="T22" i="16"/>
  <c r="N57" i="16"/>
  <c r="U22" i="16"/>
  <c r="O57" i="16" s="1"/>
  <c r="T26" i="16"/>
  <c r="N61" i="16"/>
  <c r="U26" i="16"/>
  <c r="O61" i="16" s="1"/>
  <c r="N69" i="16"/>
  <c r="U34" i="16"/>
  <c r="O69" i="16" s="1"/>
  <c r="T34" i="16"/>
  <c r="K18" i="16"/>
  <c r="J19" i="16"/>
  <c r="K19" i="16"/>
  <c r="N52" i="16"/>
  <c r="U17" i="16"/>
  <c r="O52" i="16" s="1"/>
  <c r="T17" i="16"/>
  <c r="L17" i="16" s="1"/>
  <c r="J24" i="16"/>
  <c r="K24" i="16"/>
  <c r="M24" i="16"/>
  <c r="L24" i="16"/>
  <c r="L13" i="16"/>
  <c r="M13" i="16"/>
  <c r="K13" i="16"/>
  <c r="J13" i="16"/>
  <c r="G48" i="16"/>
  <c r="I48" i="16"/>
  <c r="H48" i="16"/>
  <c r="J48" i="16"/>
  <c r="M21" i="16"/>
  <c r="J21" i="16"/>
  <c r="L21" i="16"/>
  <c r="K21" i="16"/>
  <c r="L54" i="16" l="1"/>
  <c r="L56" i="16"/>
  <c r="K59" i="16"/>
  <c r="L68" i="16"/>
  <c r="N18" i="16"/>
  <c r="L59" i="16"/>
  <c r="K54" i="16"/>
  <c r="N19" i="16"/>
  <c r="O15" i="16"/>
  <c r="N21" i="16"/>
  <c r="L53" i="16"/>
  <c r="N24" i="16"/>
  <c r="N20" i="16"/>
  <c r="K30" i="16"/>
  <c r="L30" i="16"/>
  <c r="M30" i="16"/>
  <c r="J30" i="16"/>
  <c r="I69" i="16"/>
  <c r="H69" i="16"/>
  <c r="J69" i="16"/>
  <c r="G69" i="16"/>
  <c r="L32" i="16"/>
  <c r="K32" i="16"/>
  <c r="J32" i="16"/>
  <c r="M32" i="16"/>
  <c r="K23" i="16"/>
  <c r="M23" i="16"/>
  <c r="J23" i="16"/>
  <c r="L23" i="16"/>
  <c r="M17" i="16"/>
  <c r="O17" i="16" s="1"/>
  <c r="K17" i="16"/>
  <c r="J17" i="16"/>
  <c r="J61" i="16"/>
  <c r="H61" i="16"/>
  <c r="G61" i="16"/>
  <c r="I61" i="16"/>
  <c r="G67" i="16"/>
  <c r="H67" i="16"/>
  <c r="J67" i="16"/>
  <c r="I67" i="16"/>
  <c r="N15" i="16"/>
  <c r="L48" i="16"/>
  <c r="K50" i="16"/>
  <c r="K48" i="16"/>
  <c r="G52" i="16"/>
  <c r="I52" i="16"/>
  <c r="H52" i="16"/>
  <c r="J52" i="16"/>
  <c r="J25" i="16"/>
  <c r="M25" i="16"/>
  <c r="K25" i="16"/>
  <c r="L25" i="16"/>
  <c r="L26" i="16"/>
  <c r="M26" i="16"/>
  <c r="J26" i="16"/>
  <c r="K26" i="16"/>
  <c r="I57" i="16"/>
  <c r="G57" i="16"/>
  <c r="H57" i="16"/>
  <c r="J57" i="16"/>
  <c r="I60" i="16"/>
  <c r="G60" i="16"/>
  <c r="J60" i="16"/>
  <c r="H60" i="16"/>
  <c r="J14" i="16"/>
  <c r="M14" i="16"/>
  <c r="L14" i="16"/>
  <c r="K14" i="16"/>
  <c r="K56" i="16"/>
  <c r="K55" i="16"/>
  <c r="M55" i="16" s="1"/>
  <c r="O18" i="16"/>
  <c r="N13" i="16"/>
  <c r="L22" i="16"/>
  <c r="K22" i="16"/>
  <c r="M22" i="16"/>
  <c r="J22" i="16"/>
  <c r="G49" i="16"/>
  <c r="J49" i="16"/>
  <c r="H49" i="16"/>
  <c r="I49" i="16"/>
  <c r="I51" i="16"/>
  <c r="J51" i="16"/>
  <c r="H51" i="16"/>
  <c r="G51" i="16"/>
  <c r="N33" i="16"/>
  <c r="K68" i="16"/>
  <c r="K53" i="16"/>
  <c r="G62" i="16"/>
  <c r="I62" i="16"/>
  <c r="J62" i="16"/>
  <c r="H62" i="16"/>
  <c r="H63" i="16"/>
  <c r="J63" i="16"/>
  <c r="I63" i="16"/>
  <c r="G63" i="16"/>
  <c r="M16" i="16"/>
  <c r="L16" i="16"/>
  <c r="J16" i="16"/>
  <c r="K16" i="16"/>
  <c r="O13" i="16"/>
  <c r="M28" i="16"/>
  <c r="L28" i="16"/>
  <c r="J28" i="16"/>
  <c r="K28" i="16"/>
  <c r="M31" i="16"/>
  <c r="J31" i="16"/>
  <c r="K31" i="16"/>
  <c r="L31" i="16"/>
  <c r="J27" i="16"/>
  <c r="M27" i="16"/>
  <c r="K27" i="16"/>
  <c r="L27" i="16"/>
  <c r="O20" i="16"/>
  <c r="K29" i="16"/>
  <c r="J29" i="16"/>
  <c r="M29" i="16"/>
  <c r="L29" i="16"/>
  <c r="O21" i="16"/>
  <c r="P21" i="16" s="1"/>
  <c r="O24" i="16"/>
  <c r="J34" i="16"/>
  <c r="L34" i="16"/>
  <c r="M34" i="16"/>
  <c r="K34" i="16"/>
  <c r="O19" i="16"/>
  <c r="G66" i="16"/>
  <c r="I66" i="16"/>
  <c r="J66" i="16"/>
  <c r="H66" i="16"/>
  <c r="O33" i="16"/>
  <c r="G65" i="16"/>
  <c r="J65" i="16"/>
  <c r="H65" i="16"/>
  <c r="I65" i="16"/>
  <c r="L50" i="16"/>
  <c r="I58" i="16"/>
  <c r="H58" i="16"/>
  <c r="J58" i="16"/>
  <c r="G58" i="16"/>
  <c r="H64" i="16"/>
  <c r="I64" i="16"/>
  <c r="J64" i="16"/>
  <c r="G64" i="16"/>
  <c r="M59" i="16" l="1"/>
  <c r="P24" i="16"/>
  <c r="M56" i="16"/>
  <c r="M68" i="16"/>
  <c r="P18" i="16"/>
  <c r="M48" i="16"/>
  <c r="N32" i="16"/>
  <c r="M54" i="16"/>
  <c r="K61" i="16"/>
  <c r="O14" i="16"/>
  <c r="N17" i="16"/>
  <c r="K60" i="16"/>
  <c r="L63" i="16"/>
  <c r="N34" i="16"/>
  <c r="O31" i="16"/>
  <c r="K51" i="16"/>
  <c r="L49" i="16"/>
  <c r="L65" i="16"/>
  <c r="O16" i="16"/>
  <c r="O23" i="16"/>
  <c r="P20" i="16"/>
  <c r="P19" i="16"/>
  <c r="P15" i="16"/>
  <c r="M53" i="16"/>
  <c r="N27" i="16"/>
  <c r="P33" i="16"/>
  <c r="P13" i="16"/>
  <c r="K63" i="16"/>
  <c r="K64" i="16"/>
  <c r="O29" i="16"/>
  <c r="K58" i="16"/>
  <c r="O28" i="16"/>
  <c r="L69" i="16"/>
  <c r="O25" i="16"/>
  <c r="L60" i="16"/>
  <c r="N25" i="16"/>
  <c r="L66" i="16"/>
  <c r="K52" i="16"/>
  <c r="K49" i="16"/>
  <c r="K69" i="16"/>
  <c r="L58" i="16"/>
  <c r="N22" i="16"/>
  <c r="N14" i="16"/>
  <c r="O34" i="16"/>
  <c r="N16" i="16"/>
  <c r="N26" i="16"/>
  <c r="M50" i="16"/>
  <c r="O26" i="16"/>
  <c r="K65" i="16"/>
  <c r="N31" i="16"/>
  <c r="O22" i="16"/>
  <c r="O32" i="16"/>
  <c r="L51" i="16"/>
  <c r="M51" i="16" s="1"/>
  <c r="L64" i="16"/>
  <c r="N29" i="16"/>
  <c r="N28" i="16"/>
  <c r="L67" i="16"/>
  <c r="K66" i="16"/>
  <c r="K57" i="16"/>
  <c r="N30" i="16"/>
  <c r="O27" i="16"/>
  <c r="P27" i="16" s="1"/>
  <c r="L62" i="16"/>
  <c r="L57" i="16"/>
  <c r="K67" i="16"/>
  <c r="N23" i="16"/>
  <c r="K62" i="16"/>
  <c r="L52" i="16"/>
  <c r="L61" i="16"/>
  <c r="O30" i="16"/>
  <c r="P28" i="16" l="1"/>
  <c r="M63" i="16"/>
  <c r="M61" i="16"/>
  <c r="M64" i="16"/>
  <c r="P32" i="16"/>
  <c r="P34" i="16"/>
  <c r="P29" i="16"/>
  <c r="P14" i="16"/>
  <c r="M60" i="16"/>
  <c r="P16" i="16"/>
  <c r="P31" i="16"/>
  <c r="M65" i="16"/>
  <c r="P23" i="16"/>
  <c r="M49" i="16"/>
  <c r="M58" i="16"/>
  <c r="M69" i="16"/>
  <c r="P30" i="16"/>
  <c r="P25" i="16"/>
  <c r="M57" i="16"/>
  <c r="M66" i="16"/>
  <c r="M52" i="16"/>
  <c r="P22" i="16"/>
  <c r="M62" i="16"/>
  <c r="P26" i="16"/>
  <c r="M67" i="16"/>
  <c r="P17" i="16"/>
  <c r="E47" i="16"/>
  <c r="F47" i="16" s="1"/>
  <c r="I12" i="16" l="1"/>
  <c r="S12" i="16"/>
  <c r="R12" i="16"/>
  <c r="G12" i="16"/>
  <c r="D47" i="16" l="1"/>
  <c r="E12" i="16"/>
  <c r="C47" i="16" s="1"/>
  <c r="N47" i="16"/>
  <c r="U12" i="16"/>
  <c r="O47" i="16" s="1"/>
  <c r="T12" i="16"/>
  <c r="H47" i="16" l="1"/>
  <c r="G47" i="16"/>
  <c r="I47" i="16"/>
  <c r="J47" i="16"/>
  <c r="M12" i="16"/>
  <c r="K12" i="16"/>
  <c r="L12" i="16"/>
  <c r="J12" i="16"/>
  <c r="K47" i="16" l="1"/>
  <c r="K70" i="16" s="1"/>
  <c r="N12" i="16"/>
  <c r="M35" i="16" s="1"/>
  <c r="L47" i="16"/>
  <c r="L70" i="16" s="1"/>
  <c r="O12" i="16"/>
  <c r="N35" i="16" s="1"/>
  <c r="M47" i="16" l="1"/>
  <c r="M70" i="16" s="1"/>
  <c r="P12" i="16"/>
  <c r="O3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Čepulis</author>
  </authors>
  <commentList>
    <comment ref="C4" authorId="0" shapeId="0" xr:uid="{344FBC05-653F-49F9-89A0-4EAAF35B6D3F}">
      <text>
        <r>
          <rPr>
            <b/>
            <sz val="9"/>
            <color indexed="81"/>
            <rFont val="Tahoma"/>
            <family val="2"/>
          </rPr>
          <t>Evaldas Čepulis:</t>
        </r>
        <r>
          <rPr>
            <sz val="9"/>
            <color indexed="81"/>
            <rFont val="Tahoma"/>
            <family val="2"/>
          </rPr>
          <t xml:space="preserve">
Turint planuojamo prijungti vartotojo bendrus šilumos suvartojimo duomenis, dujų suvartojimo duomenų įvesti nebūtina.</t>
        </r>
      </text>
    </comment>
    <comment ref="BH12" authorId="0" shapeId="0" xr:uid="{61759F66-855D-4E76-B3D1-DE4FBB8BCCC1}">
      <text>
        <r>
          <rPr>
            <b/>
            <sz val="9"/>
            <color indexed="81"/>
            <rFont val="Tahoma"/>
            <family val="2"/>
          </rPr>
          <t>Evaldas Čepulis:</t>
        </r>
        <r>
          <rPr>
            <sz val="9"/>
            <color indexed="81"/>
            <rFont val="Tahoma"/>
            <family val="2"/>
          </rPr>
          <t xml:space="preserve">
Turint planuojamo prijungti vartotojo šilumos suvartojimo duomenis, dujų suvartojimo duomenų įvesti nebūtina.</t>
        </r>
      </text>
    </comment>
  </commentList>
</comments>
</file>

<file path=xl/sharedStrings.xml><?xml version="1.0" encoding="utf-8"?>
<sst xmlns="http://schemas.openxmlformats.org/spreadsheetml/2006/main" count="1483" uniqueCount="406">
  <si>
    <t>mm</t>
  </si>
  <si>
    <t>m</t>
  </si>
  <si>
    <t>Mėnuo</t>
  </si>
  <si>
    <t>MWh</t>
  </si>
  <si>
    <t>Eil.</t>
  </si>
  <si>
    <t>Nr.</t>
  </si>
  <si>
    <t>viso:</t>
  </si>
  <si>
    <t>m3/m</t>
  </si>
  <si>
    <t>Tinklų</t>
  </si>
  <si>
    <t>Karšto vandens tinklai</t>
  </si>
  <si>
    <t>Nuost.</t>
  </si>
  <si>
    <t>Metai</t>
  </si>
  <si>
    <t>Lauko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</si>
  <si>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</si>
  <si>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</si>
  <si>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</si>
  <si>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</si>
  <si>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</si>
  <si>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</si>
  <si>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</si>
  <si>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</si>
  <si>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</si>
  <si>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</si>
  <si>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</si>
  <si>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</si>
  <si>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Vidurkis:</t>
  </si>
  <si>
    <t>ilgis,</t>
  </si>
  <si>
    <t>Vamzd. skersm.</t>
  </si>
  <si>
    <t>Izol. D mm</t>
  </si>
  <si>
    <t xml:space="preserve">Kanalo </t>
  </si>
  <si>
    <t>Bendros varžos m K/W</t>
  </si>
  <si>
    <t>D sut.</t>
  </si>
  <si>
    <t>D iš.</t>
  </si>
  <si>
    <t>tiek.</t>
  </si>
  <si>
    <t>grąžin.</t>
  </si>
  <si>
    <t xml:space="preserve">       vamzdžių</t>
  </si>
  <si>
    <t>grunto</t>
  </si>
  <si>
    <t>vamz.</t>
  </si>
  <si>
    <t xml:space="preserve"> m</t>
  </si>
  <si>
    <t>tiekimo</t>
  </si>
  <si>
    <t>Pastabos:</t>
  </si>
  <si>
    <t>1.  Šioje lenteleje nurodyti vamzdžiai išorės skersmeniu atitinka GOST'ą  8732-78.</t>
  </si>
  <si>
    <t>2. Izoliacijos storiai priimti laikantis norminių šilumos nuostolių, nurodytų [8.2].</t>
  </si>
  <si>
    <t>Tgrunt</t>
  </si>
  <si>
    <t>nuost.</t>
  </si>
  <si>
    <t>liambd</t>
  </si>
  <si>
    <t>alfa</t>
  </si>
  <si>
    <t>kanal</t>
  </si>
  <si>
    <t>oro</t>
  </si>
  <si>
    <t>gylis</t>
  </si>
  <si>
    <t xml:space="preserve"> - šis dydis į formules neįeina.</t>
  </si>
  <si>
    <t xml:space="preserve">10 lentelė. Požeminiame nepereinamame kanale, kai greta  pakloti karšto ir cirkuliacinio vandens vamzdžiai, skaičiuotini šilumos nuostoliai </t>
  </si>
  <si>
    <t xml:space="preserve">      Vamzdžių D mm</t>
  </si>
  <si>
    <t xml:space="preserve">Izol. storis </t>
  </si>
  <si>
    <t xml:space="preserve">Izol. D mm </t>
  </si>
  <si>
    <t>Bendr. varžos m K/W</t>
  </si>
  <si>
    <t xml:space="preserve">Šilumos nuostoliai W/m , kai izoliacijos šil. laidumo </t>
  </si>
  <si>
    <t>karšto v.</t>
  </si>
  <si>
    <t>cirk.v.</t>
  </si>
  <si>
    <t>cirk. v.</t>
  </si>
  <si>
    <t>grun-</t>
  </si>
  <si>
    <t>koef. 0,04 W/mK, esant šilumnešio temperatūroms</t>
  </si>
  <si>
    <t xml:space="preserve">D iš. </t>
  </si>
  <si>
    <t>to</t>
  </si>
  <si>
    <t>20/15</t>
  </si>
  <si>
    <t>25/20</t>
  </si>
  <si>
    <t>32/25</t>
  </si>
  <si>
    <t>40/25</t>
  </si>
  <si>
    <t>40/32</t>
  </si>
  <si>
    <t>50/32</t>
  </si>
  <si>
    <t>65/40</t>
  </si>
  <si>
    <t>65/50</t>
  </si>
  <si>
    <t>80/50</t>
  </si>
  <si>
    <t>100/65</t>
  </si>
  <si>
    <t>100/80</t>
  </si>
  <si>
    <t>125/80</t>
  </si>
  <si>
    <t>150/100</t>
  </si>
  <si>
    <t>200/100</t>
  </si>
  <si>
    <t>250/100</t>
  </si>
  <si>
    <t>2. Izoliacijos storiai priimti laikantis norminių šilumos nuostolių, nurodytų [5.3].</t>
  </si>
  <si>
    <t>3. Šilumos nuostolių skaičiavimo eiga 5.2.4 pavyzdyje.</t>
  </si>
  <si>
    <r>
      <t>D</t>
    </r>
    <r>
      <rPr>
        <vertAlign val="subscript"/>
        <sz val="8"/>
        <rFont val="Arial"/>
        <family val="2"/>
      </rPr>
      <t>ekviv.</t>
    </r>
    <r>
      <rPr>
        <sz val="8"/>
        <rFont val="Times New Roman Baltic"/>
        <charset val="186"/>
      </rPr>
      <t xml:space="preserve"> </t>
    </r>
  </si>
  <si>
    <t>Sutart.</t>
  </si>
  <si>
    <t>Bendras</t>
  </si>
  <si>
    <t>diametr.</t>
  </si>
  <si>
    <t>kanale</t>
  </si>
  <si>
    <t>linija</t>
  </si>
  <si>
    <t>būdu</t>
  </si>
  <si>
    <t xml:space="preserve">m </t>
  </si>
  <si>
    <t>Viso:</t>
  </si>
  <si>
    <t xml:space="preserve"> Tūris</t>
  </si>
  <si>
    <t>1 metrui</t>
  </si>
  <si>
    <t>tūris</t>
  </si>
  <si>
    <t>m3</t>
  </si>
  <si>
    <t>Vamzd. Skersmuo</t>
  </si>
  <si>
    <t>3. Šilumos nuostoliai apskaičiuoti pagal (5.12) formulę.</t>
  </si>
  <si>
    <t>Nepr. kanale</t>
  </si>
  <si>
    <t>Vamzd.skersm.</t>
  </si>
  <si>
    <t>2. Izoliacijos storiai priimti pagal [8.6] standartinius tarpus tarp plieninių ir apvalkalinių vamzdžių.</t>
  </si>
  <si>
    <t>Paklojimo</t>
  </si>
  <si>
    <t>būdas</t>
  </si>
  <si>
    <t>Orinė linija</t>
  </si>
  <si>
    <t>Bekanal.būdu</t>
  </si>
  <si>
    <t>tūris,</t>
  </si>
  <si>
    <t>Term.</t>
  </si>
  <si>
    <t>nuost.,</t>
  </si>
  <si>
    <t>dėl nutek.,</t>
  </si>
  <si>
    <t>per izol.,</t>
  </si>
  <si>
    <t>K. v.</t>
  </si>
  <si>
    <t>Darbo laikas, h</t>
  </si>
  <si>
    <t>Šildymo sezonas (žiema)</t>
  </si>
  <si>
    <t>Nešildymo sezonas (vasara)</t>
  </si>
  <si>
    <t>Tinklai pakloti iki 2000 m.</t>
  </si>
  <si>
    <t>Tinklai pakloti nuo 2000 m.</t>
  </si>
  <si>
    <t>Duomenis pateikusio asmens vardas, pavardė ir telefono Nr.</t>
  </si>
  <si>
    <t>Paviršiaus</t>
  </si>
  <si>
    <t>m2</t>
  </si>
  <si>
    <t>bendras</t>
  </si>
  <si>
    <t>plotas</t>
  </si>
  <si>
    <t>m2/m</t>
  </si>
  <si>
    <t>Padavimo</t>
  </si>
  <si>
    <t>Grįštamas</t>
  </si>
  <si>
    <r>
      <t>m</t>
    </r>
    <r>
      <rPr>
        <vertAlign val="superscript"/>
        <sz val="10"/>
        <rFont val="Times New Roman Baltic"/>
        <family val="1"/>
        <charset val="186"/>
      </rPr>
      <t>3</t>
    </r>
  </si>
  <si>
    <t>Vidutinis</t>
  </si>
  <si>
    <t>diametr.,</t>
  </si>
  <si>
    <r>
      <t>T</t>
    </r>
    <r>
      <rPr>
        <vertAlign val="subscript"/>
        <sz val="10"/>
        <rFont val="Times New Roman Baltic"/>
        <family val="1"/>
        <charset val="186"/>
      </rPr>
      <t>pad.</t>
    </r>
    <r>
      <rPr>
        <sz val="10"/>
        <rFont val="Times New Roman Baltic"/>
        <family val="1"/>
        <charset val="186"/>
      </rPr>
      <t xml:space="preserve"> </t>
    </r>
    <r>
      <rPr>
        <vertAlign val="superscript"/>
        <sz val="10"/>
        <rFont val="Times New Roman Baltic"/>
        <family val="1"/>
        <charset val="186"/>
      </rPr>
      <t xml:space="preserve"> o</t>
    </r>
    <r>
      <rPr>
        <sz val="10"/>
        <rFont val="Times New Roman Baltic"/>
        <family val="1"/>
        <charset val="186"/>
      </rPr>
      <t>C</t>
    </r>
  </si>
  <si>
    <r>
      <t>T</t>
    </r>
    <r>
      <rPr>
        <vertAlign val="subscript"/>
        <sz val="10"/>
        <rFont val="Times New Roman Baltic"/>
        <family val="1"/>
        <charset val="186"/>
      </rPr>
      <t>grįžt.</t>
    </r>
    <r>
      <rPr>
        <sz val="10"/>
        <rFont val="Times New Roman Baltic"/>
        <family val="1"/>
        <charset val="186"/>
      </rPr>
      <t xml:space="preserve"> </t>
    </r>
    <r>
      <rPr>
        <vertAlign val="superscript"/>
        <sz val="10"/>
        <rFont val="Times New Roman Baltic"/>
        <family val="1"/>
        <charset val="186"/>
      </rPr>
      <t>o</t>
    </r>
    <r>
      <rPr>
        <sz val="10"/>
        <rFont val="Times New Roman Baltic"/>
        <family val="1"/>
        <charset val="186"/>
      </rPr>
      <t>C</t>
    </r>
  </si>
  <si>
    <r>
      <t>T</t>
    </r>
    <r>
      <rPr>
        <vertAlign val="subscript"/>
        <sz val="10"/>
        <rFont val="Times New Roman Baltic"/>
        <family val="1"/>
        <charset val="186"/>
      </rPr>
      <t>š.v.</t>
    </r>
    <r>
      <rPr>
        <sz val="10"/>
        <rFont val="Times New Roman Baltic"/>
        <family val="1"/>
        <charset val="186"/>
      </rPr>
      <t xml:space="preserve"> </t>
    </r>
    <r>
      <rPr>
        <vertAlign val="superscript"/>
        <sz val="10"/>
        <rFont val="Times New Roman Baltic"/>
        <family val="1"/>
        <charset val="186"/>
      </rPr>
      <t>o</t>
    </r>
    <r>
      <rPr>
        <sz val="10"/>
        <rFont val="Times New Roman Baltic"/>
        <family val="1"/>
        <charset val="186"/>
      </rPr>
      <t>C</t>
    </r>
  </si>
  <si>
    <r>
      <t>T</t>
    </r>
    <r>
      <rPr>
        <vertAlign val="subscript"/>
        <sz val="10"/>
        <rFont val="Times New Roman Baltic"/>
        <family val="1"/>
        <charset val="186"/>
      </rPr>
      <t>grunto</t>
    </r>
    <r>
      <rPr>
        <sz val="10"/>
        <rFont val="Times New Roman Baltic"/>
        <family val="1"/>
        <charset val="186"/>
      </rPr>
      <t xml:space="preserve"> </t>
    </r>
    <r>
      <rPr>
        <vertAlign val="superscript"/>
        <sz val="10"/>
        <rFont val="Times New Roman Baltic"/>
        <family val="1"/>
        <charset val="186"/>
      </rPr>
      <t>o</t>
    </r>
    <r>
      <rPr>
        <sz val="10"/>
        <rFont val="Times New Roman Baltic"/>
        <family val="1"/>
        <charset val="186"/>
      </rPr>
      <t>C</t>
    </r>
  </si>
  <si>
    <r>
      <t>T</t>
    </r>
    <r>
      <rPr>
        <vertAlign val="subscript"/>
        <sz val="10"/>
        <rFont val="Times New Roman Baltic"/>
        <family val="1"/>
        <charset val="186"/>
      </rPr>
      <t>oro</t>
    </r>
    <r>
      <rPr>
        <sz val="10"/>
        <rFont val="Times New Roman Baltic"/>
        <family val="1"/>
        <charset val="186"/>
      </rPr>
      <t xml:space="preserve"> </t>
    </r>
    <r>
      <rPr>
        <vertAlign val="superscript"/>
        <sz val="10"/>
        <rFont val="Times New Roman Baltic"/>
        <family val="1"/>
        <charset val="186"/>
      </rPr>
      <t>o</t>
    </r>
    <r>
      <rPr>
        <sz val="10"/>
        <rFont val="Times New Roman Baltic"/>
        <family val="1"/>
        <charset val="186"/>
      </rPr>
      <t>C</t>
    </r>
  </si>
  <si>
    <t>Sąlyginis</t>
  </si>
  <si>
    <t>tinklų ilg.,</t>
  </si>
  <si>
    <t>Nepr.</t>
  </si>
  <si>
    <t>Orine</t>
  </si>
  <si>
    <t>Bekanal.</t>
  </si>
  <si>
    <t>Tech.korid.</t>
  </si>
  <si>
    <t>ir kolektor.</t>
  </si>
  <si>
    <t>Techn.korid.</t>
  </si>
  <si>
    <t>Iš viso:</t>
  </si>
  <si>
    <t>Termofikacinio vandens tinklai</t>
  </si>
  <si>
    <t>1.  Šioje lenteleje nurodyti vamzdžiai išorės skersmeniu atitinka GOST'ą  8732-78</t>
  </si>
  <si>
    <t>Techn.k.ir kolekt.</t>
  </si>
  <si>
    <t>Iki 2000</t>
  </si>
  <si>
    <t>Reikšmė</t>
  </si>
  <si>
    <t>Vnt.</t>
  </si>
  <si>
    <t>Grunto tipas</t>
  </si>
  <si>
    <t>Sausas smėlis</t>
  </si>
  <si>
    <t xml:space="preserve">Įprastas gruntas </t>
  </si>
  <si>
    <t>Drėgnas smėlis arba molis</t>
  </si>
  <si>
    <t>Pasirinkto grunto tipo šilumos laidumo koeficientas</t>
  </si>
  <si>
    <t>Grunto šilumos laidumo koeficientas</t>
  </si>
  <si>
    <t>Norminiai vandens nuostoliai bekanaliu būdu paklotiems vamzdynams</t>
  </si>
  <si>
    <t>Kitaip paklotiems vamzdynams norminiai vandens nuostoliai (nepraeinamam kanale, orinėse trasose, techniniuose koridoriuose ir kolektoriuose)</t>
  </si>
  <si>
    <t>Kitaip, nei bekanaliu būdu, iki 2000 metų paklotų vamzdynų izoliacijos šilumos laidumo koeficientas</t>
  </si>
  <si>
    <t>Kitaip, nei bekanaliu būdu, po 2000 metų paklotų vamzdynų izoliacijos šilumos laidumo koeficientas</t>
  </si>
  <si>
    <t>Bekanaliniu būdu iki 2000 metų paklotų vamzdynų izoliacijos šilumos laidumo koeficientas</t>
  </si>
  <si>
    <t>Bekanaliniu būdu po 2000 metų paklotų vamzdynų izoliacijos šilumos laidumo koeficientas</t>
  </si>
  <si>
    <t>Ore paklotų vamzdynų po 2000 metų izoliacijos šilumos laidumo koeficientas</t>
  </si>
  <si>
    <t>Aplinkos oro greitis (skaičiuojant nuostolius ore paklotiems vamzdynams)</t>
  </si>
  <si>
    <t>m/s</t>
  </si>
  <si>
    <t>Grunto tipo numeris (pagal žemiau pateiktą lentelę)</t>
  </si>
  <si>
    <t>Šlapias gruntas</t>
  </si>
  <si>
    <t>Aplinkos oro temperatūra patalpose, kuriose pravesti vamzdynai,  šildymo sezono metu</t>
  </si>
  <si>
    <t>Aplinkos oro temperatūra patalpose nešildymo sezono metu</t>
  </si>
  <si>
    <t xml:space="preserve">Vamzdžių matmenys nusakomi sąlyginiu skersmeniu, pvz., DN100. Tai reiškia, kad vamzdžio vidinis skersmuo </t>
  </si>
  <si>
    <t>Sąlyginis skersmuo DN, mm</t>
  </si>
  <si>
    <t>Vamzdžio sienelės storis, mm</t>
  </si>
  <si>
    <t>Vamzdžio išorinis skersmuo, mm</t>
  </si>
  <si>
    <t>Vamzdžio vidinis skersmuo, mm</t>
  </si>
  <si>
    <t xml:space="preserve">Pastabos: </t>
  </si>
  <si>
    <t xml:space="preserve">-  DN550 tiekia tik ABB gamintojai. </t>
  </si>
  <si>
    <t xml:space="preserve">yra artimas 100 mm. Duotame pavyzdyje vamzdžio išorinis skersmuo yra 114,3 mm, ir jeigu sienelės storis yra 3,6 mm, </t>
  </si>
  <si>
    <t xml:space="preserve"> tai vamzdžio vidinis skersmuo bus lygus 107,1 mm. O jeigu sienelės storis lygus 8 mm, tai tokio vamzdžio vidinis</t>
  </si>
  <si>
    <t>Skaičiuojant šilumos nuostolius nuo izoliuoto vamzdžio, svarbu žinoti vamzdžio išorinį skersmenį bei šiluminės</t>
  </si>
  <si>
    <t>izoliacijos storį. Skaičiavimuose naudojamas vamzdžių išorinis skersmuo, kaip kad nurodyta žemiau pateiktoje lentelėje.</t>
  </si>
  <si>
    <t>programoje šilumnešio praradimas su tam tikra paklaida skaičiuojamas, vietoje vidinio vamzdžio skersmens naudojant</t>
  </si>
  <si>
    <t>vamzdžių sąlyginį skersmenį.</t>
  </si>
  <si>
    <t xml:space="preserve">Vamzdžių vidinis skersmuo svarbus nustatant šilumnešio tūrį vamzdyne tam, kad įvertinti šilumos nuostolius su </t>
  </si>
  <si>
    <t>Sąlyginis vamzdžio skersmuo, mm</t>
  </si>
  <si>
    <t>Izoliuoto vamzdžio skersmuo, mm</t>
  </si>
  <si>
    <t>Tranšėjos gylis, m</t>
  </si>
  <si>
    <t>Vamzdyno klojimo gylis</t>
  </si>
  <si>
    <t>Tuomet, įvertinus grunto terminę varžą, skaičiavimuose naudojama patikslinta 1,68 m gylio reikšmė.</t>
  </si>
  <si>
    <t>Atstumas nuo vamzdžio paviršiaus iki grunto viršaus, m</t>
  </si>
  <si>
    <t>Aplinkos temperatūra, oC</t>
  </si>
  <si>
    <t>Pastaba</t>
  </si>
  <si>
    <t xml:space="preserve">leistinu šilumnešio (termofikacinio vandens) praradimu. Kadangi vamzdžių sienelių storis gali būti nevienodas, o taip  </t>
  </si>
  <si>
    <t>Diz, mm</t>
  </si>
  <si>
    <t>Izoliacijos storis, mm</t>
  </si>
  <si>
    <t>Patalpos temperatūra</t>
  </si>
  <si>
    <t>Šil. Atidav. Koef. Patalpoj</t>
  </si>
  <si>
    <t>W/(m2 K), pastovus, nekeičiamas dydis</t>
  </si>
  <si>
    <t>Izoliacijos liambda iki 2000 m</t>
  </si>
  <si>
    <t>Izoliacijos liambda po 2000 m</t>
  </si>
  <si>
    <t>W/(m K)</t>
  </si>
  <si>
    <t>oC, vidutinė žiemos metu.</t>
  </si>
  <si>
    <t>oC, vidutinė vasaros metu.</t>
  </si>
  <si>
    <t>Grunto temperatūra</t>
  </si>
  <si>
    <t>Oro Šil. Atidav. Koef. Kanale</t>
  </si>
  <si>
    <t>Vamzdyno paklojimo gylis</t>
  </si>
  <si>
    <t>m, perskaičiuotas</t>
  </si>
  <si>
    <t>Grunto liambda</t>
  </si>
  <si>
    <t>Aplinkos Oro Šil. Atidav. Koef.</t>
  </si>
  <si>
    <t>Po 2000</t>
  </si>
  <si>
    <t>Oro temperatūra</t>
  </si>
  <si>
    <t>W/(m2 K), priklauso nuo vėjo greičio</t>
  </si>
  <si>
    <t>Priimtas vidutinis vėjo greitis</t>
  </si>
  <si>
    <t>Tiekiamo vamzdžio.</t>
  </si>
  <si>
    <t>Grąžinamo vamzdžio</t>
  </si>
  <si>
    <t>Standartinis izoliacijos storis, mm</t>
  </si>
  <si>
    <t>Priimtas izoliacijos storis, mm</t>
  </si>
  <si>
    <t>2. Standartinis izoliacijos storiai priimti pagal [8.6] standartinius tarpus tarp plieninių ir apvalkalinių vamzdžių.</t>
  </si>
  <si>
    <t>Izoliacijos sluoksnio skersmuo, mm</t>
  </si>
  <si>
    <t>DN, mm</t>
  </si>
  <si>
    <t>D iš., mm</t>
  </si>
  <si>
    <t>Atstumas tarp vamzdžių ašių, m</t>
  </si>
  <si>
    <t>Iki 2000 m. nuostoliai, MWh</t>
  </si>
  <si>
    <t>Nuo 2000 m. nuostoliai, MWh</t>
  </si>
  <si>
    <t>Nuostoliai iš viso, MWh</t>
  </si>
  <si>
    <t>Tinklai pakloti po 2000 m.</t>
  </si>
  <si>
    <t xml:space="preserve">    vamzdžių</t>
  </si>
  <si>
    <t xml:space="preserve">pat laikui bėgant vidiniame paviršiuje gali susidaryti apnašos, vidinis skerspjūvio plotas gali šiek tiek keistis. Todėl </t>
  </si>
  <si>
    <t xml:space="preserve">vamzdžių klojimo gylį. Visų pirma, nurodomas atstumas nuo izoliuoto vamzdžio viršutinės dalies iki grunto viršaus. </t>
  </si>
  <si>
    <t xml:space="preserve">Žinant šį dydį, randamas vamzdyno klojimo gylis h (atstumas nuo grunto paviršiaus iki vamzdžio ašies) bei </t>
  </si>
  <si>
    <t>tranšėjos gylį.</t>
  </si>
  <si>
    <t>Šioje skaičiuoklėje atstumas nuo izoliuoto vamzdžio viršaus iki žemės paviršiaus yra užduotas lygus</t>
  </si>
  <si>
    <t xml:space="preserve"> 0,75 m. Tačiau šį dydį galima nurodyti ir kitokį, atitinkantį realų vamzdžių paklojimą. </t>
  </si>
  <si>
    <t>Šis atstumas neturėtų būti mažesnis kaip 0,6 m, siekiant apsaugoti izoliuotą vamzdį nuo išorinio poveikio,</t>
  </si>
  <si>
    <t xml:space="preserve"> pvz., nuo sunkiasvorių mašinų poveikio). Būtina vadovautis tiek "Šilumos tiekimo tinklų ir šilumos punktų įrengimo </t>
  </si>
  <si>
    <t>taisyklėmis", tiek vamzdžių gamintojo nurodymais.</t>
  </si>
  <si>
    <t xml:space="preserve">Atstumą nuo izoliuoto vamzdžio viršutinės dalies iki grunto viršaus galima nurodyti skaičiuoklės lange "Bekanalis". </t>
  </si>
  <si>
    <t>Tipinė reikšmė</t>
  </si>
  <si>
    <t xml:space="preserve"> - norminis dydis [1, 20.4 skyrius];</t>
  </si>
  <si>
    <t>0.030</t>
  </si>
  <si>
    <t>Šil. atidav. koef. izoliacijos paviršiui</t>
  </si>
  <si>
    <t>Ore paklotų vamzdynų iki 2000 metų izoliacijos šilumos laidumo koeficientas</t>
  </si>
  <si>
    <t xml:space="preserve">plieniniai vamzdžiai (pagal EN 253). </t>
  </si>
  <si>
    <t>-  DN1100 tiekia LOGSTOR gamintojai.</t>
  </si>
  <si>
    <t>Informacijos šaltiniai:</t>
  </si>
  <si>
    <t>1. Šilumos tiekimo vamzdynų nuostolių nustatymo metodika. Patvirtinta LR ūkio ministro 2001.08.23 įsakymu Nr.262;</t>
  </si>
  <si>
    <t>2. District Heating Handbook. European DH pipe manufacturers Association. 1997.</t>
  </si>
  <si>
    <t xml:space="preserve">3. RSN 156-94. Statybinė klimatologija. </t>
  </si>
  <si>
    <t xml:space="preserve">4. Справочник проектировщика. Проектирование тепловых сетей. Под ред. А.А.Николаева. 264 psl . </t>
  </si>
  <si>
    <t>Apsauginio vamzdžio sienelės storis, mm</t>
  </si>
  <si>
    <t>Regionas</t>
  </si>
  <si>
    <t>Vėjo greitis, m/s</t>
  </si>
  <si>
    <t>Biržai</t>
  </si>
  <si>
    <t>Telšiai</t>
  </si>
  <si>
    <t>Šiauliai</t>
  </si>
  <si>
    <t>Panevėžys</t>
  </si>
  <si>
    <t>Klaipėda</t>
  </si>
  <si>
    <t>Vėžaičiai</t>
  </si>
  <si>
    <t>Laukuva</t>
  </si>
  <si>
    <t>Utena</t>
  </si>
  <si>
    <t>Raseiniai</t>
  </si>
  <si>
    <t>Šilute</t>
  </si>
  <si>
    <t>Ukmergė</t>
  </si>
  <si>
    <t>Kaunas</t>
  </si>
  <si>
    <t>Kybartai</t>
  </si>
  <si>
    <t>Vilnius</t>
  </si>
  <si>
    <t>Varėna</t>
  </si>
  <si>
    <t>Lazdijai</t>
  </si>
  <si>
    <t xml:space="preserve"> - nustatomas pagal [3] arba galima parinkti pagal Lietuvos hidrometeorologijos tarnybos skelbtus duomenis (žr.žemiau);</t>
  </si>
  <si>
    <t>0,04-0,06</t>
  </si>
  <si>
    <t>Medžiaga</t>
  </si>
  <si>
    <t>Nauja PUR izoliacija, pagaminta daugojant CO2 dujas</t>
  </si>
  <si>
    <t>Nauja PUR izoliacija, pagaminta daugojant ciklopentano dujas</t>
  </si>
  <si>
    <t>0,023-0,026</t>
  </si>
  <si>
    <t>Nauja izoliacija, pagaminta iš mineralinės vatos</t>
  </si>
  <si>
    <t>Nenauja izoliacija, pagaminta iš mineralinės vatos</t>
  </si>
  <si>
    <t>Reikšmė, naudojama Metodikoje, nustatant norminius šilumos nuostolius</t>
  </si>
  <si>
    <t>λ, W/(m K)</t>
  </si>
  <si>
    <t>5. STR 2.09.03:1999. Šilumos tiekimo tinklų šiluminė izoliacija</t>
  </si>
  <si>
    <r>
      <t>www.meteo.lt/klim_lt_klimatas.php?tipas=</t>
    </r>
    <r>
      <rPr>
        <b/>
        <sz val="11"/>
        <color indexed="17"/>
        <rFont val="Arial"/>
        <family val="2"/>
        <charset val="186"/>
      </rPr>
      <t>vejas</t>
    </r>
  </si>
  <si>
    <t>‎</t>
  </si>
  <si>
    <t>Nauja PUR izoliacija su apsauginiu difuziniu sluoksniu, pagaminta naudojant ciklopentano dujas</t>
  </si>
  <si>
    <t>Minimali šilumos laidumo koeficiento reikšmė, skaičiuojant šilumos nuostolius [5]</t>
  </si>
  <si>
    <t>Šiluminės izoliacijos standartinės šilumos laidumo koeficiento reikšmės</t>
  </si>
  <si>
    <t>VIDUTINĖS TEMPERATŪROS IR TINKLŲ DARBO LAIKAS</t>
  </si>
  <si>
    <t>ŠILDYMO SEZONAS (ŽIEMA)</t>
  </si>
  <si>
    <t>NEŠILDYMO SEZONAS (VASARA)</t>
  </si>
  <si>
    <r>
      <t>Pastaba.</t>
    </r>
    <r>
      <rPr>
        <sz val="10"/>
        <rFont val="Times New Roman Baltic"/>
        <family val="1"/>
        <charset val="186"/>
      </rPr>
      <t xml:space="preserve"> Šildymo sezono lentelėje karšto vandens tinklų darbo laikas spalio ir balandžio mėn. neturi viršyti termofikacinio vandens tinklų darbo laiko.</t>
    </r>
  </si>
  <si>
    <t>ŠILUMOS TIEKIMO TINKLO DARBO SĄLYGOS</t>
  </si>
  <si>
    <t>Lietuvos regionų daugiametis vėjo greitis 
10 m aukštyje, m/s</t>
  </si>
  <si>
    <r>
      <t>W/(m</t>
    </r>
    <r>
      <rPr>
        <sz val="10"/>
        <rFont val="Arial"/>
        <family val="2"/>
        <charset val="186"/>
      </rPr>
      <t>·</t>
    </r>
    <r>
      <rPr>
        <sz val="10"/>
        <rFont val="Times New Roman Baltic"/>
        <family val="1"/>
        <charset val="186"/>
      </rPr>
      <t>K);</t>
    </r>
  </si>
  <si>
    <r>
      <t>m</t>
    </r>
    <r>
      <rPr>
        <vertAlign val="superscript"/>
        <sz val="10"/>
        <rFont val="Times New Roman Baltic"/>
        <charset val="186"/>
      </rPr>
      <t>3</t>
    </r>
    <r>
      <rPr>
        <sz val="10"/>
        <rFont val="Times New Roman Baltic"/>
        <family val="1"/>
        <charset val="186"/>
      </rPr>
      <t>/(m</t>
    </r>
    <r>
      <rPr>
        <vertAlign val="superscript"/>
        <sz val="10"/>
        <rFont val="Times New Roman Baltic"/>
        <charset val="186"/>
      </rPr>
      <t>3</t>
    </r>
    <r>
      <rPr>
        <sz val="10"/>
        <rFont val="Times New Roman Baltic"/>
        <family val="1"/>
        <charset val="186"/>
      </rPr>
      <t xml:space="preserve"> h)</t>
    </r>
  </si>
  <si>
    <r>
      <t>0</t>
    </r>
    <r>
      <rPr>
        <sz val="10"/>
        <rFont val="Times New Roman Baltic"/>
        <family val="1"/>
        <charset val="186"/>
      </rPr>
      <t>C</t>
    </r>
  </si>
  <si>
    <r>
      <t xml:space="preserve"> - naudojama žinoma tikroji reikšmė. Nesant tikslesnių duomenų, vidutinė metinė vamzdžių aplinkos temperatūra gali būti naudojama: neapšildomuose rūsiuose +5 </t>
    </r>
    <r>
      <rPr>
        <vertAlign val="superscript"/>
        <sz val="10"/>
        <rFont val="Times New Roman Baltic"/>
        <family val="1"/>
        <charset val="186"/>
      </rPr>
      <t>0</t>
    </r>
    <r>
      <rPr>
        <sz val="10"/>
        <rFont val="Times New Roman Baltic"/>
        <family val="1"/>
        <charset val="186"/>
      </rPr>
      <t xml:space="preserve">C; inžinerinių tinklų kolektoriuose + 30 </t>
    </r>
    <r>
      <rPr>
        <vertAlign val="superscript"/>
        <sz val="10"/>
        <rFont val="Times New Roman Baltic"/>
        <family val="1"/>
        <charset val="186"/>
      </rPr>
      <t>0</t>
    </r>
    <r>
      <rPr>
        <sz val="10"/>
        <rFont val="Times New Roman Baltic"/>
        <family val="1"/>
        <charset val="186"/>
      </rPr>
      <t xml:space="preserve">C [5]. </t>
    </r>
  </si>
  <si>
    <t>Eil.Nr.</t>
  </si>
  <si>
    <t>Vamzdyno klojimo gylis h (atstumas nuo grunto paviršiaus iki vamzdžio ašies), m</t>
  </si>
  <si>
    <r>
      <t>Pastaba.</t>
    </r>
    <r>
      <rPr>
        <sz val="10"/>
        <rFont val="Times New Roman Baltic"/>
        <family val="1"/>
        <charset val="186"/>
      </rPr>
      <t xml:space="preserve"> Duomenys pildomi kiekvienai centralizuoto šilumos tiekimo sistemai atskirai</t>
    </r>
  </si>
  <si>
    <t xml:space="preserve">Šilumos nuostoliai skaičiuojami nuo iš anksto izoliuotų vamzdžių, kuriems gaminti naudojami tokių matmenų </t>
  </si>
  <si>
    <t>-  DN175 iš anksto izoliuoti vamzdžiai negaminami. Tokių matmenų vamzdžiai CŠT sistemose buvo naudojami anksčiau.</t>
  </si>
  <si>
    <t>-  vamzdžių sienelės gali būti ir kitokios (paprastai storesnės), nei pateiktoje lentelėje. Tai priklauso nuo užsakovo pageidavimo.</t>
  </si>
  <si>
    <r>
      <t xml:space="preserve">Šioje skaičiuoklėje priimta, jog visuose </t>
    </r>
    <r>
      <rPr>
        <u/>
        <sz val="10"/>
        <rFont val="Times New Roman Baltic"/>
        <charset val="186"/>
      </rPr>
      <t>nepraeinamuose kanaluose</t>
    </r>
    <r>
      <rPr>
        <sz val="10"/>
        <rFont val="Times New Roman Baltic"/>
        <charset val="186"/>
      </rPr>
      <t xml:space="preserve"> vamzdžiai įgilinti 1,5 gylyje.</t>
    </r>
  </si>
  <si>
    <r>
      <t xml:space="preserve">Skaičiuojant šilumos nuostolius iš </t>
    </r>
    <r>
      <rPr>
        <u/>
        <sz val="10"/>
        <rFont val="Times New Roman Baltic"/>
        <charset val="186"/>
      </rPr>
      <t>bekanaliu būdu</t>
    </r>
    <r>
      <rPr>
        <sz val="10"/>
        <rFont val="Times New Roman Baltic"/>
        <charset val="186"/>
      </rPr>
      <t xml:space="preserve"> paklotų vamzdynų, šioje skaičiuoklėje galima nurodyti </t>
    </r>
  </si>
  <si>
    <r>
      <rPr>
        <b/>
        <sz val="10"/>
        <rFont val="Times New Roman Baltic"/>
        <charset val="186"/>
      </rPr>
      <t xml:space="preserve">Pastaba: </t>
    </r>
    <r>
      <rPr>
        <sz val="10"/>
        <rFont val="Times New Roman Baltic"/>
        <family val="1"/>
        <charset val="186"/>
      </rPr>
      <t xml:space="preserve">skaičiuoklėje numatyta, jog jeigu vamzdžio klojimo gylis h yra lygus ar daugiau nei 0,7 m, kaip skaičiuojamoji temperatūra naudojama grunto temperatūra. </t>
    </r>
  </si>
  <si>
    <t>Jeigu vamzdžio klojimo gylis yra mažiau nei 0,7 m, kaip aplinkos temperatūra skaičiavimuose naudojama aplinkos oro temperatūra [4].</t>
  </si>
  <si>
    <t xml:space="preserve">skersmuo būtų lygus 98,3 mm. </t>
  </si>
  <si>
    <t xml:space="preserve">diametr., </t>
  </si>
  <si>
    <t>kanale,</t>
  </si>
  <si>
    <t>linija,</t>
  </si>
  <si>
    <t>būdu,</t>
  </si>
  <si>
    <t>ir kolektor.,</t>
  </si>
  <si>
    <t>TERMOFIKACINIO VANDENS TINKLŲ ILGIAI PAGAL DIAMETRĄ IR PAKLOJIMO BŪDĄ</t>
  </si>
  <si>
    <r>
      <rPr>
        <b/>
        <sz val="10"/>
        <rFont val="Times New Roman Baltic"/>
        <charset val="186"/>
      </rPr>
      <t>Pastaba.</t>
    </r>
    <r>
      <rPr>
        <sz val="10"/>
        <rFont val="Times New Roman Baltic"/>
        <family val="1"/>
        <charset val="186"/>
      </rPr>
      <t xml:space="preserve"> Duomenys pildomi tik nurodytu sezonu veikiančių tinklų</t>
    </r>
  </si>
  <si>
    <t>KARŠTO VANDENS TINKLŲ ILGIAI PAGAL DIAMETRĄ IR PAKLOJIMO BŪDĄ</t>
  </si>
  <si>
    <t>NORMINIAI METINIAI ŠILUMOS NUOSTOLIAI TINKLUOSE</t>
  </si>
  <si>
    <t>TERMOFIKACINIAI TINKLAI</t>
  </si>
  <si>
    <t>KARŠTO VANDENS TINKLAI</t>
  </si>
  <si>
    <r>
      <t>d</t>
    </r>
    <r>
      <rPr>
        <vertAlign val="subscript"/>
        <sz val="10"/>
        <rFont val="Arial"/>
        <family val="2"/>
      </rPr>
      <t>ek</t>
    </r>
    <r>
      <rPr>
        <sz val="10"/>
        <rFont val="Times New Roman Baltic"/>
        <charset val="186"/>
      </rPr>
      <t xml:space="preserve"> </t>
    </r>
  </si>
  <si>
    <t>3. Šilumos nuostoliai 700-1200 mm  skersmens vamzdžiams, kai jie pakloti greta esančiuose kanaluose, neskaičiuojami, nes jie yra labai artimi nuostoliams, kai vamzdžiai yra viename kanale.</t>
  </si>
  <si>
    <t>SKAIČIUOTINI ŠILUMOS NUOSTOLIAI</t>
  </si>
  <si>
    <t>POŽEMINIAME NEPRAEINAMAME KANALE, KAI GRATA PAKLOTI DU VIENODI VAMZDŽIAI SU SKIRTINGŲ TEMPERATŪRŲ ŠILUMNEŠIU</t>
  </si>
  <si>
    <t>ATVIRAME ORE PAKLOTŲ VAMZDYNŲ SKAIČIUOTINI NUOSTOLIAI</t>
  </si>
  <si>
    <t>Tinklai pakloti</t>
  </si>
  <si>
    <t>iki 2000 m.</t>
  </si>
  <si>
    <t>nuo 2000 m.</t>
  </si>
  <si>
    <t>Iki 2000 m.</t>
  </si>
  <si>
    <t>Nuo 2000 m.</t>
  </si>
  <si>
    <t>Tinklai pakloti iki 
2000 m.</t>
  </si>
  <si>
    <t>Tinklai pakloti nuo 
2000 m.</t>
  </si>
  <si>
    <t>Nuo 
2000 m. nuostoliai, MWh</t>
  </si>
  <si>
    <t>1. Šioje lenteleje nurodyti vamzdžiai atitinka [8.6].</t>
  </si>
  <si>
    <t>3. Šilumos nuostoliai apskaičiuoti pagal (5.1) formulę, o šiluminės varžos- pagal (5.11) formulę.</t>
  </si>
  <si>
    <t xml:space="preserve">ŽEMĖJE (BEKANALIU BŪDU) PAKLOTŲ VAMZDŽIŲ, KAI GRETA DU VIENODI VAMZDŽIAI SU SKIRTINGŲ TEMPERATŪRŲ ŠILUMNEŠIU, </t>
  </si>
  <si>
    <t>PATALPOSE PRAVESTŲ VAMZDYNŲ SKAIČIUOTINI ŠILUMOS NUOSTOLIAI</t>
  </si>
  <si>
    <t>1. Šioje lenteleje nurodyti vamzdžiai išorės skersmeniu atitinka GOST'ą  8732-78</t>
  </si>
  <si>
    <t>(TECHNINIAI KORIDORIAI IR KOLEKTORIAI</t>
  </si>
  <si>
    <t>Įmonės ir centralizuoto šilumos tiekimo tinklo pavadinimas</t>
  </si>
  <si>
    <t>Pastaba: duomenys skaičiuoklėje įrašomi tik į pilkai pažymėtus langelius.</t>
  </si>
  <si>
    <t>Laikotarpis</t>
  </si>
  <si>
    <t>Bendras šilumos suvartojimas</t>
  </si>
  <si>
    <t>Vidutinė lauko temperatūra</t>
  </si>
  <si>
    <t>Dienų skaičius mėnesyje</t>
  </si>
  <si>
    <t>Mėn.</t>
  </si>
  <si>
    <t>ct/kWh</t>
  </si>
  <si>
    <t>°C</t>
  </si>
  <si>
    <t>d.</t>
  </si>
  <si>
    <t>%</t>
  </si>
  <si>
    <t>Eur</t>
  </si>
  <si>
    <t>Dujinio katilo efektyvumas</t>
  </si>
  <si>
    <t>Žemutinis dujų kaloringumas</t>
  </si>
  <si>
    <t>kWh/m3</t>
  </si>
  <si>
    <t>Rezultatai</t>
  </si>
  <si>
    <t>Dujų suvartojimas</t>
  </si>
  <si>
    <t>Planuojamo ruožo ilgis</t>
  </si>
  <si>
    <t>Nepraeinamas kanalas</t>
  </si>
  <si>
    <t>Bekanalinė trasa</t>
  </si>
  <si>
    <t>Orinė trasa</t>
  </si>
  <si>
    <t>Techninis koridorius</t>
  </si>
  <si>
    <t>Planuojamo tinklo tipas</t>
  </si>
  <si>
    <t>Taip</t>
  </si>
  <si>
    <t>Ne</t>
  </si>
  <si>
    <t>Ar vasara šiluma tiekiama karšto vandens šildymui?</t>
  </si>
  <si>
    <t>Šilumos nuostoliai nešildymo sezono metu</t>
  </si>
  <si>
    <t xml:space="preserve">Šilumos nuostoliai šildymo sezono metu </t>
  </si>
  <si>
    <t>Šilumos nuostoliai per metus</t>
  </si>
  <si>
    <r>
      <t>T</t>
    </r>
    <r>
      <rPr>
        <b/>
        <vertAlign val="subscript"/>
        <sz val="12"/>
        <rFont val="Calibri"/>
        <family val="2"/>
        <scheme val="minor"/>
      </rPr>
      <t>pad.</t>
    </r>
    <r>
      <rPr>
        <b/>
        <sz val="12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 xml:space="preserve"> o</t>
    </r>
    <r>
      <rPr>
        <b/>
        <sz val="12"/>
        <rFont val="Calibri"/>
        <family val="2"/>
        <scheme val="minor"/>
      </rPr>
      <t>C</t>
    </r>
  </si>
  <si>
    <r>
      <t>T</t>
    </r>
    <r>
      <rPr>
        <b/>
        <vertAlign val="subscript"/>
        <sz val="12"/>
        <rFont val="Calibri"/>
        <family val="2"/>
        <scheme val="minor"/>
      </rPr>
      <t>grįžt.</t>
    </r>
    <r>
      <rPr>
        <b/>
        <sz val="12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o</t>
    </r>
    <r>
      <rPr>
        <b/>
        <sz val="12"/>
        <rFont val="Calibri"/>
        <family val="2"/>
        <scheme val="minor"/>
      </rPr>
      <t>C</t>
    </r>
  </si>
  <si>
    <t>Vidurkis</t>
  </si>
  <si>
    <t>Suma</t>
  </si>
  <si>
    <t>Realizacijos duomenų įvedimo lentelė</t>
  </si>
  <si>
    <t>Planuojama investicija trasos įrengimui</t>
  </si>
  <si>
    <t>Vidutinė metinė CŠT šilumos gamybos savikaina</t>
  </si>
  <si>
    <t>Papildomos pajamos per metus</t>
  </si>
  <si>
    <t>Investicijos atsipirkimo laikas</t>
  </si>
  <si>
    <t>Vartotojas per metus už šilumą sumokės</t>
  </si>
  <si>
    <t>Tinklo termofikacinio vandens temperatūros</t>
  </si>
  <si>
    <t>Planuojamos trasos ruožo ir CŠT sistemos duomenų įvedimas</t>
  </si>
  <si>
    <t>Vamzdžio izoliacijos terminė varža</t>
  </si>
  <si>
    <t>W/m K</t>
  </si>
  <si>
    <t>A1</t>
  </si>
  <si>
    <t>A2</t>
  </si>
  <si>
    <t>A3</t>
  </si>
  <si>
    <t>Alm(2-3)</t>
  </si>
  <si>
    <t>R izoliacijos</t>
  </si>
  <si>
    <t>K/W</t>
  </si>
  <si>
    <t>Gruno temperatūra</t>
  </si>
  <si>
    <r>
      <t>T</t>
    </r>
    <r>
      <rPr>
        <b/>
        <vertAlign val="subscript"/>
        <sz val="12"/>
        <rFont val="Calibri"/>
        <family val="2"/>
        <scheme val="minor"/>
      </rPr>
      <t>grunto.</t>
    </r>
    <r>
      <rPr>
        <b/>
        <sz val="12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 xml:space="preserve"> o</t>
    </r>
    <r>
      <rPr>
        <b/>
        <sz val="12"/>
        <rFont val="Calibri"/>
        <family val="2"/>
        <scheme val="minor"/>
      </rPr>
      <t>C</t>
    </r>
  </si>
  <si>
    <t>N pad</t>
  </si>
  <si>
    <t>N grizt</t>
  </si>
  <si>
    <t>kWh</t>
  </si>
  <si>
    <t>Izoliuoto vamzdžio skersmuo</t>
  </si>
  <si>
    <t>Vamzdžio vidinis skersmuo (DN)</t>
  </si>
  <si>
    <t>Vamzdžio išorinis skersmuo (D iš)</t>
  </si>
  <si>
    <t>k smelio</t>
  </si>
  <si>
    <t>DN</t>
  </si>
  <si>
    <t>Izoliacija</t>
  </si>
  <si>
    <t>Izoliacijos sluoksnio skersmuo</t>
  </si>
  <si>
    <t>D iš, mm</t>
  </si>
  <si>
    <t>Išorinis sienelės storis</t>
  </si>
  <si>
    <t>D izoliuoto išorinis</t>
  </si>
  <si>
    <t>N</t>
  </si>
  <si>
    <t>Išorinio vamzdžio sienelės storis</t>
  </si>
  <si>
    <t>k grunto</t>
  </si>
  <si>
    <t>gylis iki vamzdzio</t>
  </si>
  <si>
    <t>W/m2 K</t>
  </si>
  <si>
    <t>oro h</t>
  </si>
  <si>
    <t>Šilumos nuostoliai vertinant gamybos savikaina</t>
  </si>
  <si>
    <t>Eur/m</t>
  </si>
  <si>
    <t>Atstumas nuo vamzdžio viršaus iki grunto viršaus</t>
  </si>
  <si>
    <t>CŠT šilumos kaina</t>
  </si>
  <si>
    <t>Vidutinė metinė CŠT šilumos kaina</t>
  </si>
  <si>
    <t xml:space="preserve"> </t>
  </si>
  <si>
    <r>
      <t xml:space="preserve">Duomenų įvedimas </t>
    </r>
    <r>
      <rPr>
        <b/>
        <sz val="16"/>
        <color theme="4"/>
        <rFont val="Calibri"/>
        <family val="2"/>
        <scheme val="minor"/>
      </rPr>
      <t>(Įvedami/keičiami mėlyna spalva pažymeti skaitmenys)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</si>
</sst>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0000"/>
  </numFmts>
  <fonts count="69" x14ac:knownFonts="1">
    <font>
      <sz val="10"/>
      <name val="Times New Roman Baltic"/>
      <charset val="186"/>
    </font>
    <font>
      <sz val="11"/>
      <color theme="1"/>
      <name val="Calibri"/>
      <family val="2"/>
      <scheme val="minor"/>
    </font>
    <font>
      <b/>
      <sz val="10"/>
      <name val="Times New Roman Baltic"/>
      <charset val="186"/>
    </font>
    <font>
      <sz val="11"/>
      <name val="Times New Roman Baltic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Times New Roman"/>
      <family val="1"/>
    </font>
    <font>
      <vertAlign val="subscript"/>
      <sz val="8"/>
      <name val="Arial"/>
      <family val="2"/>
    </font>
    <font>
      <sz val="8"/>
      <name val="Arial"/>
      <family val="2"/>
      <charset val="186"/>
    </font>
    <font>
      <u/>
      <sz val="10"/>
      <color indexed="12"/>
      <name val="Times New Roman Baltic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0"/>
      <name val="Times New Roman Baltic"/>
      <family val="1"/>
      <charset val="186"/>
    </font>
    <font>
      <vertAlign val="subscript"/>
      <sz val="10"/>
      <name val="Times New Roman Baltic"/>
      <family val="1"/>
      <charset val="186"/>
    </font>
    <font>
      <i/>
      <vertAlign val="superscript"/>
      <sz val="11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2"/>
      <name val="Times New Roman Baltic"/>
      <charset val="186"/>
    </font>
    <font>
      <vertAlign val="superscript"/>
      <sz val="11"/>
      <name val="Times New Roman Baltic"/>
      <charset val="186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charset val="186"/>
    </font>
    <font>
      <b/>
      <sz val="9"/>
      <name val="Times New Roman Baltic"/>
      <charset val="186"/>
    </font>
    <font>
      <b/>
      <sz val="12"/>
      <name val="Times New Roman Baltic"/>
      <family val="1"/>
      <charset val="186"/>
    </font>
    <font>
      <sz val="10"/>
      <color indexed="63"/>
      <name val="Arial"/>
      <family val="2"/>
      <charset val="186"/>
    </font>
    <font>
      <sz val="11"/>
      <color indexed="6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1"/>
      <color indexed="17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Times New Roman Baltic"/>
      <charset val="186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u/>
      <sz val="10"/>
      <name val="Times New Roman Baltic"/>
      <charset val="186"/>
    </font>
    <font>
      <u/>
      <sz val="10"/>
      <name val="Times New Roman Baltic"/>
      <charset val="186"/>
    </font>
    <font>
      <vertAlign val="subscript"/>
      <sz val="10"/>
      <name val="Arial"/>
      <family val="2"/>
    </font>
    <font>
      <b/>
      <sz val="11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b/>
      <i/>
      <sz val="12"/>
      <color theme="0" tint="-4.9989318521683403E-2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0">
    <xf numFmtId="0" fontId="0" fillId="0" borderId="0" xfId="0"/>
    <xf numFmtId="0" fontId="5" fillId="0" borderId="0" xfId="0" applyFont="1"/>
    <xf numFmtId="165" fontId="5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165" fontId="5" fillId="0" borderId="3" xfId="0" applyNumberFormat="1" applyFont="1" applyBorder="1"/>
    <xf numFmtId="165" fontId="5" fillId="0" borderId="1" xfId="0" applyNumberFormat="1" applyFont="1" applyBorder="1"/>
    <xf numFmtId="165" fontId="5" fillId="0" borderId="4" xfId="0" applyNumberFormat="1" applyFont="1" applyBorder="1"/>
    <xf numFmtId="165" fontId="5" fillId="0" borderId="2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6" xfId="0" applyFont="1" applyBorder="1"/>
    <xf numFmtId="0" fontId="6" fillId="0" borderId="3" xfId="0" applyFont="1" applyBorder="1"/>
    <xf numFmtId="0" fontId="6" fillId="0" borderId="7" xfId="0" applyFont="1" applyBorder="1"/>
    <xf numFmtId="165" fontId="5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164" fontId="5" fillId="0" borderId="10" xfId="0" applyNumberFormat="1" applyFont="1" applyBorder="1"/>
    <xf numFmtId="166" fontId="5" fillId="0" borderId="10" xfId="0" applyNumberFormat="1" applyFont="1" applyBorder="1"/>
    <xf numFmtId="166" fontId="5" fillId="0" borderId="11" xfId="0" applyNumberFormat="1" applyFont="1" applyBorder="1"/>
    <xf numFmtId="0" fontId="6" fillId="0" borderId="0" xfId="0" applyFont="1"/>
    <xf numFmtId="165" fontId="4" fillId="0" borderId="10" xfId="0" applyNumberFormat="1" applyFont="1" applyBorder="1"/>
    <xf numFmtId="0" fontId="4" fillId="0" borderId="0" xfId="0" applyFont="1"/>
    <xf numFmtId="2" fontId="5" fillId="0" borderId="10" xfId="0" applyNumberFormat="1" applyFont="1" applyBorder="1"/>
    <xf numFmtId="0" fontId="5" fillId="0" borderId="7" xfId="0" applyFont="1" applyBorder="1"/>
    <xf numFmtId="0" fontId="5" fillId="0" borderId="11" xfId="0" applyFont="1" applyBorder="1"/>
    <xf numFmtId="0" fontId="8" fillId="0" borderId="0" xfId="0" applyFont="1"/>
    <xf numFmtId="0" fontId="6" fillId="0" borderId="4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8" fillId="0" borderId="11" xfId="0" applyFont="1" applyBorder="1"/>
    <xf numFmtId="165" fontId="5" fillId="0" borderId="11" xfId="0" applyNumberFormat="1" applyFont="1" applyBorder="1"/>
    <xf numFmtId="0" fontId="5" fillId="0" borderId="1" xfId="0" applyFont="1" applyBorder="1"/>
    <xf numFmtId="166" fontId="5" fillId="0" borderId="11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0" fontId="8" fillId="0" borderId="10" xfId="0" applyFont="1" applyBorder="1"/>
    <xf numFmtId="0" fontId="5" fillId="0" borderId="10" xfId="0" applyFont="1" applyBorder="1" applyAlignment="1">
      <alignment horizontal="right"/>
    </xf>
    <xf numFmtId="0" fontId="8" fillId="0" borderId="7" xfId="0" applyFont="1" applyBorder="1"/>
    <xf numFmtId="164" fontId="4" fillId="0" borderId="10" xfId="0" applyNumberFormat="1" applyFont="1" applyBorder="1"/>
    <xf numFmtId="0" fontId="4" fillId="0" borderId="0" xfId="0" applyFont="1" applyBorder="1"/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left"/>
    </xf>
    <xf numFmtId="0" fontId="10" fillId="0" borderId="7" xfId="0" applyFont="1" applyBorder="1" applyAlignment="1">
      <alignment horizontal="centerContinuous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/>
    <xf numFmtId="0" fontId="4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4" fillId="0" borderId="3" xfId="0" applyFont="1" applyBorder="1" applyAlignment="1">
      <alignment horizontal="centerContinuous"/>
    </xf>
    <xf numFmtId="0" fontId="4" fillId="0" borderId="7" xfId="0" applyFont="1" applyBorder="1" applyAlignment="1">
      <alignment horizontal="left"/>
    </xf>
    <xf numFmtId="166" fontId="4" fillId="0" borderId="10" xfId="0" applyNumberFormat="1" applyFont="1" applyBorder="1"/>
    <xf numFmtId="164" fontId="4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7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/>
    <xf numFmtId="0" fontId="11" fillId="0" borderId="1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11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2" fontId="4" fillId="0" borderId="10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Protection="1"/>
    <xf numFmtId="0" fontId="11" fillId="0" borderId="10" xfId="0" applyFont="1" applyBorder="1" applyProtection="1"/>
    <xf numFmtId="0" fontId="23" fillId="0" borderId="0" xfId="0" applyFont="1" applyFill="1" applyBorder="1" applyAlignment="1">
      <alignment vertical="top" wrapText="1"/>
    </xf>
    <xf numFmtId="2" fontId="11" fillId="0" borderId="10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2" fontId="4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11" fillId="0" borderId="0" xfId="0" applyFont="1" applyFill="1" applyBorder="1" applyProtection="1"/>
    <xf numFmtId="2" fontId="11" fillId="0" borderId="0" xfId="0" applyNumberFormat="1" applyFont="1" applyBorder="1" applyAlignment="1" applyProtection="1">
      <alignment horizontal="center"/>
    </xf>
    <xf numFmtId="0" fontId="8" fillId="0" borderId="10" xfId="0" applyFont="1" applyFill="1" applyBorder="1" applyAlignment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Continuous"/>
      <protection locked="0"/>
    </xf>
    <xf numFmtId="166" fontId="11" fillId="2" borderId="10" xfId="0" applyNumberFormat="1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1" fillId="0" borderId="0" xfId="0" applyFont="1" applyFill="1" applyProtection="1"/>
    <xf numFmtId="0" fontId="17" fillId="0" borderId="0" xfId="0" applyFont="1" applyFill="1" applyProtection="1"/>
    <xf numFmtId="0" fontId="11" fillId="2" borderId="10" xfId="0" applyFont="1" applyFill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0" xfId="0" applyFont="1" applyBorder="1"/>
    <xf numFmtId="166" fontId="0" fillId="0" borderId="11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0" fontId="21" fillId="0" borderId="0" xfId="0" applyFont="1"/>
    <xf numFmtId="0" fontId="0" fillId="0" borderId="0" xfId="0" applyFont="1"/>
    <xf numFmtId="0" fontId="2" fillId="0" borderId="0" xfId="0" applyFont="1"/>
    <xf numFmtId="0" fontId="0" fillId="0" borderId="10" xfId="0" applyFont="1" applyFill="1" applyBorder="1" applyAlignment="1">
      <alignment horizontal="center"/>
    </xf>
    <xf numFmtId="166" fontId="0" fillId="0" borderId="11" xfId="0" applyNumberFormat="1" applyFont="1" applyBorder="1"/>
    <xf numFmtId="2" fontId="0" fillId="0" borderId="10" xfId="0" applyNumberFormat="1" applyFont="1" applyBorder="1"/>
    <xf numFmtId="0" fontId="0" fillId="2" borderId="10" xfId="0" applyFont="1" applyFill="1" applyBorder="1" applyAlignment="1">
      <alignment horizontal="center"/>
    </xf>
    <xf numFmtId="0" fontId="21" fillId="0" borderId="0" xfId="0" applyFont="1" applyFill="1"/>
    <xf numFmtId="0" fontId="0" fillId="0" borderId="0" xfId="0" applyFill="1"/>
    <xf numFmtId="0" fontId="0" fillId="0" borderId="0" xfId="0" applyFill="1" applyProtection="1"/>
    <xf numFmtId="0" fontId="11" fillId="0" borderId="0" xfId="0" applyFont="1" applyFill="1"/>
    <xf numFmtId="0" fontId="3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11" fillId="0" borderId="3" xfId="0" applyFont="1" applyFill="1" applyBorder="1" applyAlignment="1">
      <alignment horizontal="left"/>
    </xf>
    <xf numFmtId="0" fontId="3" fillId="0" borderId="0" xfId="0" applyFont="1" applyFill="1"/>
    <xf numFmtId="0" fontId="11" fillId="0" borderId="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166" fontId="11" fillId="0" borderId="11" xfId="0" applyNumberFormat="1" applyFont="1" applyFill="1" applyBorder="1" applyAlignment="1">
      <alignment horizontal="center"/>
    </xf>
    <xf numFmtId="166" fontId="11" fillId="0" borderId="12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166" fontId="11" fillId="0" borderId="10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right"/>
    </xf>
    <xf numFmtId="166" fontId="14" fillId="0" borderId="3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6" fontId="14" fillId="0" borderId="12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/>
    <xf numFmtId="166" fontId="11" fillId="0" borderId="4" xfId="0" applyNumberFormat="1" applyFont="1" applyFill="1" applyBorder="1" applyAlignment="1"/>
    <xf numFmtId="2" fontId="11" fillId="0" borderId="4" xfId="0" applyNumberFormat="1" applyFont="1" applyFill="1" applyBorder="1" applyAlignment="1"/>
    <xf numFmtId="166" fontId="11" fillId="0" borderId="2" xfId="0" applyNumberFormat="1" applyFont="1" applyFill="1" applyBorder="1" applyAlignment="1"/>
    <xf numFmtId="0" fontId="11" fillId="0" borderId="1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right"/>
    </xf>
    <xf numFmtId="166" fontId="14" fillId="0" borderId="10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10" xfId="0" applyNumberFormat="1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2" fillId="0" borderId="10" xfId="0" applyFont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 vertical="top" wrapText="1"/>
    </xf>
    <xf numFmtId="166" fontId="11" fillId="0" borderId="11" xfId="0" applyNumberFormat="1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6" fontId="11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6" fontId="11" fillId="0" borderId="15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 applyProtection="1"/>
    <xf numFmtId="0" fontId="3" fillId="0" borderId="0" xfId="0" applyFont="1" applyFill="1" applyProtection="1"/>
    <xf numFmtId="0" fontId="19" fillId="0" borderId="0" xfId="0" applyFont="1" applyFill="1" applyProtection="1"/>
    <xf numFmtId="0" fontId="26" fillId="0" borderId="0" xfId="0" applyFont="1" applyFill="1" applyAlignment="1" applyProtection="1"/>
    <xf numFmtId="0" fontId="13" fillId="0" borderId="0" xfId="0" applyFont="1" applyFill="1" applyAlignment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Continuous"/>
    </xf>
    <xf numFmtId="0" fontId="11" fillId="0" borderId="4" xfId="0" applyFont="1" applyFill="1" applyBorder="1" applyAlignment="1" applyProtection="1">
      <alignment horizontal="centerContinuous"/>
    </xf>
    <xf numFmtId="0" fontId="11" fillId="0" borderId="2" xfId="0" applyFont="1" applyFill="1" applyBorder="1" applyAlignment="1" applyProtection="1">
      <alignment horizontal="centerContinuous"/>
    </xf>
    <xf numFmtId="0" fontId="3" fillId="0" borderId="12" xfId="0" applyFont="1" applyFill="1" applyBorder="1" applyAlignment="1" applyProtection="1"/>
    <xf numFmtId="0" fontId="11" fillId="0" borderId="3" xfId="0" applyFont="1" applyFill="1" applyBorder="1" applyProtection="1"/>
    <xf numFmtId="0" fontId="11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1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14" fillId="0" borderId="0" xfId="0" applyFont="1" applyFill="1" applyProtection="1"/>
    <xf numFmtId="0" fontId="11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2" fontId="11" fillId="0" borderId="1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vertical="center"/>
    </xf>
    <xf numFmtId="0" fontId="3" fillId="0" borderId="0" xfId="0" quotePrefix="1" applyFont="1" applyFill="1" applyBorder="1" applyAlignment="1" applyProtection="1">
      <alignment horizontal="left" vertical="center" wrapText="1"/>
    </xf>
    <xf numFmtId="0" fontId="3" fillId="0" borderId="0" xfId="0" quotePrefix="1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1" fillId="0" borderId="1" xfId="0" quotePrefix="1" applyFont="1" applyFill="1" applyBorder="1" applyAlignment="1" applyProtection="1">
      <alignment vertical="center"/>
    </xf>
    <xf numFmtId="0" fontId="11" fillId="0" borderId="2" xfId="0" applyFont="1" applyFill="1" applyBorder="1" applyProtection="1"/>
    <xf numFmtId="0" fontId="11" fillId="0" borderId="5" xfId="0" quotePrefix="1" applyFont="1" applyFill="1" applyBorder="1" applyAlignment="1" applyProtection="1">
      <alignment vertical="center"/>
    </xf>
    <xf numFmtId="0" fontId="11" fillId="0" borderId="12" xfId="0" applyFont="1" applyFill="1" applyBorder="1" applyProtection="1"/>
    <xf numFmtId="0" fontId="11" fillId="0" borderId="4" xfId="0" applyFont="1" applyFill="1" applyBorder="1" applyProtection="1"/>
    <xf numFmtId="0" fontId="2" fillId="0" borderId="10" xfId="0" applyFont="1" applyFill="1" applyBorder="1" applyAlignment="1" applyProtection="1">
      <alignment horizontal="center" vertical="center"/>
    </xf>
    <xf numFmtId="0" fontId="3" fillId="0" borderId="16" xfId="0" applyFont="1" applyFill="1" applyBorder="1" applyProtection="1"/>
    <xf numFmtId="0" fontId="3" fillId="0" borderId="17" xfId="0" applyFont="1" applyFill="1" applyBorder="1" applyProtection="1"/>
    <xf numFmtId="0" fontId="3" fillId="0" borderId="0" xfId="0" applyFont="1" applyFill="1" applyBorder="1" applyProtection="1"/>
    <xf numFmtId="0" fontId="0" fillId="0" borderId="18" xfId="0" applyFont="1" applyFill="1" applyBorder="1" applyProtection="1"/>
    <xf numFmtId="0" fontId="0" fillId="0" borderId="10" xfId="0" applyFont="1" applyFill="1" applyBorder="1" applyProtection="1"/>
    <xf numFmtId="0" fontId="3" fillId="0" borderId="19" xfId="0" applyFont="1" applyFill="1" applyBorder="1" applyProtection="1"/>
    <xf numFmtId="0" fontId="0" fillId="0" borderId="10" xfId="0" applyFont="1" applyFill="1" applyBorder="1" applyAlignment="1" applyProtection="1">
      <alignment horizontal="center"/>
    </xf>
    <xf numFmtId="0" fontId="29" fillId="0" borderId="20" xfId="0" applyFont="1" applyFill="1" applyBorder="1"/>
    <xf numFmtId="0" fontId="9" fillId="0" borderId="21" xfId="1" applyFill="1" applyBorder="1" applyAlignment="1" applyProtection="1"/>
    <xf numFmtId="0" fontId="3" fillId="0" borderId="22" xfId="0" applyFont="1" applyFill="1" applyBorder="1" applyProtection="1"/>
    <xf numFmtId="0" fontId="3" fillId="0" borderId="23" xfId="0" applyFont="1" applyFill="1" applyBorder="1" applyProtection="1"/>
    <xf numFmtId="0" fontId="3" fillId="0" borderId="0" xfId="0" applyFont="1" applyFill="1" applyAlignment="1" applyProtection="1">
      <alignment wrapText="1"/>
    </xf>
    <xf numFmtId="0" fontId="28" fillId="0" borderId="0" xfId="0" applyFont="1" applyFill="1"/>
    <xf numFmtId="0" fontId="27" fillId="0" borderId="0" xfId="0" applyFont="1" applyFill="1"/>
    <xf numFmtId="0" fontId="9" fillId="0" borderId="0" xfId="1" applyFill="1" applyAlignment="1" applyProtection="1">
      <alignment horizontal="left" indent="1"/>
    </xf>
    <xf numFmtId="0" fontId="2" fillId="0" borderId="0" xfId="0" applyFont="1" applyFill="1" applyProtection="1"/>
    <xf numFmtId="0" fontId="0" fillId="0" borderId="0" xfId="0" quotePrefix="1" applyFont="1" applyFill="1" applyProtection="1"/>
    <xf numFmtId="0" fontId="35" fillId="0" borderId="0" xfId="0" applyFont="1" applyFill="1" applyProtection="1"/>
    <xf numFmtId="0" fontId="23" fillId="0" borderId="0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2" fontId="2" fillId="0" borderId="10" xfId="0" applyNumberFormat="1" applyFont="1" applyFill="1" applyBorder="1" applyAlignment="1" applyProtection="1">
      <alignment horizontal="center"/>
      <protection hidden="1"/>
    </xf>
    <xf numFmtId="1" fontId="2" fillId="0" borderId="10" xfId="0" applyNumberFormat="1" applyFont="1" applyFill="1" applyBorder="1" applyAlignment="1" applyProtection="1">
      <alignment horizontal="center"/>
      <protection hidden="1"/>
    </xf>
    <xf numFmtId="2" fontId="2" fillId="0" borderId="2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/>
    <xf numFmtId="0" fontId="25" fillId="0" borderId="0" xfId="0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11" fillId="0" borderId="3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24" fillId="0" borderId="0" xfId="0" applyFont="1" applyFill="1" applyProtection="1"/>
    <xf numFmtId="0" fontId="11" fillId="0" borderId="7" xfId="0" applyFont="1" applyFill="1" applyBorder="1" applyAlignment="1" applyProtection="1">
      <alignment horizontal="centerContinuous"/>
    </xf>
    <xf numFmtId="0" fontId="11" fillId="0" borderId="14" xfId="0" applyFont="1" applyFill="1" applyBorder="1" applyAlignment="1" applyProtection="1">
      <alignment horizontal="centerContinuous"/>
    </xf>
    <xf numFmtId="0" fontId="11" fillId="0" borderId="14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Continuous"/>
    </xf>
    <xf numFmtId="0" fontId="11" fillId="0" borderId="13" xfId="0" applyFont="1" applyFill="1" applyBorder="1" applyAlignment="1" applyProtection="1">
      <alignment horizontal="center"/>
    </xf>
    <xf numFmtId="166" fontId="11" fillId="0" borderId="2" xfId="0" applyNumberFormat="1" applyFont="1" applyFill="1" applyBorder="1" applyAlignment="1" applyProtection="1">
      <alignment horizontal="center"/>
      <protection hidden="1"/>
    </xf>
    <xf numFmtId="166" fontId="11" fillId="0" borderId="10" xfId="0" applyNumberFormat="1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right"/>
    </xf>
    <xf numFmtId="166" fontId="14" fillId="0" borderId="2" xfId="0" applyNumberFormat="1" applyFont="1" applyFill="1" applyBorder="1" applyProtection="1">
      <protection hidden="1"/>
    </xf>
    <xf numFmtId="166" fontId="14" fillId="0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/>
    <xf numFmtId="0" fontId="11" fillId="0" borderId="6" xfId="0" applyFont="1" applyFill="1" applyBorder="1" applyProtection="1"/>
    <xf numFmtId="0" fontId="11" fillId="0" borderId="6" xfId="0" applyFont="1" applyFill="1" applyBorder="1" applyProtection="1">
      <protection locked="0"/>
    </xf>
    <xf numFmtId="0" fontId="11" fillId="0" borderId="24" xfId="0" applyFont="1" applyFill="1" applyBorder="1" applyProtection="1"/>
    <xf numFmtId="166" fontId="11" fillId="2" borderId="1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4" fillId="0" borderId="0" xfId="0" applyFont="1" applyFill="1" applyBorder="1" applyProtection="1"/>
    <xf numFmtId="0" fontId="5" fillId="0" borderId="0" xfId="0" applyFont="1" applyFill="1"/>
    <xf numFmtId="164" fontId="5" fillId="0" borderId="0" xfId="0" applyNumberFormat="1" applyFont="1" applyFill="1"/>
    <xf numFmtId="165" fontId="0" fillId="0" borderId="3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10" xfId="0" applyFont="1" applyFill="1" applyBorder="1"/>
    <xf numFmtId="164" fontId="0" fillId="0" borderId="10" xfId="0" applyNumberFormat="1" applyFont="1" applyFill="1" applyBorder="1"/>
    <xf numFmtId="166" fontId="0" fillId="0" borderId="11" xfId="0" applyNumberFormat="1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4" fillId="0" borderId="0" xfId="0" applyFont="1" applyFill="1"/>
    <xf numFmtId="0" fontId="0" fillId="0" borderId="0" xfId="0" applyFont="1" applyFill="1"/>
    <xf numFmtId="0" fontId="2" fillId="0" borderId="0" xfId="0" applyFont="1" applyFill="1"/>
    <xf numFmtId="166" fontId="2" fillId="0" borderId="11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21" fillId="0" borderId="1" xfId="0" applyFont="1" applyFill="1" applyBorder="1"/>
    <xf numFmtId="0" fontId="21" fillId="0" borderId="2" xfId="0" applyFont="1" applyFill="1" applyBorder="1"/>
    <xf numFmtId="165" fontId="0" fillId="0" borderId="3" xfId="0" applyNumberFormat="1" applyFont="1" applyFill="1" applyBorder="1"/>
    <xf numFmtId="0" fontId="21" fillId="0" borderId="3" xfId="0" applyFont="1" applyFill="1" applyBorder="1"/>
    <xf numFmtId="0" fontId="21" fillId="0" borderId="7" xfId="0" applyFont="1" applyFill="1" applyBorder="1"/>
    <xf numFmtId="165" fontId="0" fillId="0" borderId="7" xfId="0" applyNumberFormat="1" applyFont="1" applyFill="1" applyBorder="1"/>
    <xf numFmtId="165" fontId="0" fillId="0" borderId="1" xfId="0" applyNumberFormat="1" applyFont="1" applyFill="1" applyBorder="1"/>
    <xf numFmtId="165" fontId="0" fillId="0" borderId="2" xfId="0" applyNumberFormat="1" applyFont="1" applyFill="1" applyBorder="1"/>
    <xf numFmtId="0" fontId="11" fillId="0" borderId="11" xfId="0" applyFont="1" applyFill="1" applyBorder="1"/>
    <xf numFmtId="165" fontId="11" fillId="0" borderId="11" xfId="0" applyNumberFormat="1" applyFont="1" applyFill="1" applyBorder="1"/>
    <xf numFmtId="165" fontId="11" fillId="0" borderId="10" xfId="0" applyNumberFormat="1" applyFont="1" applyFill="1" applyBorder="1"/>
    <xf numFmtId="165" fontId="11" fillId="0" borderId="1" xfId="0" applyNumberFormat="1" applyFont="1" applyFill="1" applyBorder="1"/>
    <xf numFmtId="166" fontId="0" fillId="0" borderId="11" xfId="0" applyNumberFormat="1" applyFont="1" applyFill="1" applyBorder="1"/>
    <xf numFmtId="2" fontId="0" fillId="0" borderId="10" xfId="0" applyNumberFormat="1" applyFont="1" applyFill="1" applyBorder="1"/>
    <xf numFmtId="166" fontId="0" fillId="0" borderId="10" xfId="0" applyNumberFormat="1" applyFont="1" applyFill="1" applyBorder="1"/>
    <xf numFmtId="2" fontId="2" fillId="0" borderId="11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0" fontId="38" fillId="2" borderId="25" xfId="0" applyFont="1" applyFill="1" applyBorder="1"/>
    <xf numFmtId="0" fontId="3" fillId="2" borderId="26" xfId="0" applyFont="1" applyFill="1" applyBorder="1" applyProtection="1"/>
    <xf numFmtId="0" fontId="3" fillId="2" borderId="27" xfId="0" applyFont="1" applyFill="1" applyBorder="1" applyProtection="1"/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3" borderId="0" xfId="2" applyFill="1"/>
    <xf numFmtId="0" fontId="58" fillId="3" borderId="0" xfId="2" applyFont="1" applyFill="1" applyBorder="1" applyAlignment="1">
      <alignment vertical="center"/>
    </xf>
    <xf numFmtId="0" fontId="55" fillId="3" borderId="0" xfId="2" applyFont="1" applyFill="1"/>
    <xf numFmtId="0" fontId="43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55" fillId="3" borderId="0" xfId="2" applyFont="1" applyFill="1" applyAlignment="1">
      <alignment vertical="center"/>
    </xf>
    <xf numFmtId="0" fontId="55" fillId="3" borderId="0" xfId="2" applyFont="1" applyFill="1" applyBorder="1" applyAlignment="1">
      <alignment vertical="center"/>
    </xf>
    <xf numFmtId="0" fontId="42" fillId="3" borderId="0" xfId="2" applyFont="1" applyFill="1" applyBorder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55" fillId="3" borderId="0" xfId="2" applyFont="1" applyFill="1" applyAlignment="1">
      <alignment horizontal="center" vertical="center"/>
    </xf>
    <xf numFmtId="0" fontId="55" fillId="3" borderId="0" xfId="2" applyFont="1" applyFill="1" applyBorder="1"/>
    <xf numFmtId="0" fontId="56" fillId="3" borderId="0" xfId="2" applyFont="1" applyFill="1" applyAlignment="1">
      <alignment vertical="center"/>
    </xf>
    <xf numFmtId="166" fontId="55" fillId="3" borderId="0" xfId="2" applyNumberFormat="1" applyFont="1" applyFill="1"/>
    <xf numFmtId="0" fontId="56" fillId="3" borderId="0" xfId="2" applyFont="1" applyFill="1" applyBorder="1"/>
    <xf numFmtId="0" fontId="57" fillId="3" borderId="0" xfId="2" applyFont="1" applyFill="1" applyBorder="1"/>
    <xf numFmtId="0" fontId="44" fillId="3" borderId="0" xfId="2" applyFont="1" applyFill="1" applyBorder="1" applyAlignment="1">
      <alignment vertical="center" wrapText="1"/>
    </xf>
    <xf numFmtId="2" fontId="42" fillId="3" borderId="0" xfId="2" applyNumberFormat="1" applyFont="1" applyFill="1" applyBorder="1" applyAlignment="1">
      <alignment horizontal="center" vertical="center" wrapText="1"/>
    </xf>
    <xf numFmtId="0" fontId="42" fillId="3" borderId="0" xfId="2" applyFont="1" applyFill="1" applyBorder="1" applyAlignment="1">
      <alignment horizontal="center" vertical="center" wrapText="1"/>
    </xf>
    <xf numFmtId="0" fontId="59" fillId="3" borderId="0" xfId="2" applyFont="1" applyFill="1" applyBorder="1" applyAlignment="1">
      <alignment horizontal="center" vertical="center"/>
    </xf>
    <xf numFmtId="1" fontId="42" fillId="3" borderId="0" xfId="2" applyNumberFormat="1" applyFont="1" applyFill="1" applyBorder="1" applyAlignment="1">
      <alignment horizontal="center" vertical="center"/>
    </xf>
    <xf numFmtId="0" fontId="44" fillId="3" borderId="0" xfId="2" applyFont="1" applyFill="1" applyBorder="1" applyAlignment="1">
      <alignment vertical="center"/>
    </xf>
    <xf numFmtId="2" fontId="42" fillId="3" borderId="0" xfId="2" applyNumberFormat="1" applyFont="1" applyFill="1" applyBorder="1" applyAlignment="1">
      <alignment horizontal="center" vertical="center"/>
    </xf>
    <xf numFmtId="0" fontId="44" fillId="3" borderId="0" xfId="2" applyFont="1" applyFill="1" applyBorder="1" applyAlignment="1">
      <alignment horizontal="center" vertical="center"/>
    </xf>
    <xf numFmtId="2" fontId="44" fillId="3" borderId="0" xfId="2" applyNumberFormat="1" applyFont="1" applyFill="1" applyBorder="1" applyAlignment="1">
      <alignment horizontal="center" vertical="center"/>
    </xf>
    <xf numFmtId="0" fontId="60" fillId="3" borderId="0" xfId="2" applyFont="1" applyFill="1" applyBorder="1" applyAlignment="1">
      <alignment horizontal="center" vertical="center"/>
    </xf>
    <xf numFmtId="0" fontId="44" fillId="3" borderId="0" xfId="2" applyFont="1" applyFill="1" applyBorder="1" applyAlignment="1">
      <alignment horizontal="center" vertical="center" wrapText="1"/>
    </xf>
    <xf numFmtId="1" fontId="44" fillId="3" borderId="0" xfId="2" applyNumberFormat="1" applyFont="1" applyFill="1" applyBorder="1" applyAlignment="1">
      <alignment horizontal="center" vertical="center"/>
    </xf>
    <xf numFmtId="0" fontId="42" fillId="3" borderId="0" xfId="2" applyFont="1" applyFill="1" applyAlignment="1">
      <alignment horizontal="center" vertical="center"/>
    </xf>
    <xf numFmtId="2" fontId="42" fillId="3" borderId="0" xfId="2" applyNumberFormat="1" applyFont="1" applyFill="1" applyAlignment="1">
      <alignment horizontal="center" vertical="center"/>
    </xf>
    <xf numFmtId="0" fontId="42" fillId="3" borderId="0" xfId="2" applyFont="1" applyFill="1" applyAlignment="1">
      <alignment horizontal="center" vertical="center" wrapText="1"/>
    </xf>
    <xf numFmtId="0" fontId="44" fillId="3" borderId="0" xfId="2" applyFont="1" applyFill="1" applyAlignment="1">
      <alignment horizontal="center" vertical="center"/>
    </xf>
    <xf numFmtId="2" fontId="44" fillId="3" borderId="0" xfId="2" applyNumberFormat="1" applyFont="1" applyFill="1" applyAlignment="1">
      <alignment horizontal="center" vertical="center"/>
    </xf>
    <xf numFmtId="0" fontId="0" fillId="4" borderId="10" xfId="0" applyFont="1" applyFill="1" applyBorder="1" applyAlignment="1">
      <alignment horizontal="center"/>
    </xf>
    <xf numFmtId="1" fontId="0" fillId="4" borderId="10" xfId="0" applyNumberFormat="1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 vertical="top" wrapText="1"/>
    </xf>
    <xf numFmtId="0" fontId="0" fillId="4" borderId="10" xfId="0" applyFont="1" applyFill="1" applyBorder="1"/>
    <xf numFmtId="166" fontId="0" fillId="4" borderId="11" xfId="0" applyNumberFormat="1" applyFont="1" applyFill="1" applyBorder="1"/>
    <xf numFmtId="2" fontId="0" fillId="4" borderId="10" xfId="0" applyNumberFormat="1" applyFont="1" applyFill="1" applyBorder="1"/>
    <xf numFmtId="0" fontId="0" fillId="4" borderId="0" xfId="0" applyFont="1" applyFill="1"/>
    <xf numFmtId="2" fontId="22" fillId="4" borderId="10" xfId="0" applyNumberFormat="1" applyFont="1" applyFill="1" applyBorder="1" applyAlignment="1">
      <alignment horizontal="center" vertical="top" wrapText="1"/>
    </xf>
    <xf numFmtId="2" fontId="11" fillId="4" borderId="10" xfId="0" applyNumberFormat="1" applyFont="1" applyFill="1" applyBorder="1" applyAlignment="1" applyProtection="1">
      <alignment horizontal="center"/>
    </xf>
    <xf numFmtId="0" fontId="11" fillId="4" borderId="10" xfId="0" applyFont="1" applyFill="1" applyBorder="1" applyProtection="1"/>
    <xf numFmtId="0" fontId="22" fillId="4" borderId="10" xfId="0" applyFont="1" applyFill="1" applyBorder="1" applyAlignment="1">
      <alignment horizontal="center" vertical="top" wrapText="1"/>
    </xf>
    <xf numFmtId="2" fontId="0" fillId="4" borderId="3" xfId="0" applyNumberFormat="1" applyFont="1" applyFill="1" applyBorder="1"/>
    <xf numFmtId="0" fontId="61" fillId="3" borderId="0" xfId="2" applyFont="1" applyFill="1" applyBorder="1" applyAlignment="1">
      <alignment vertical="center"/>
    </xf>
    <xf numFmtId="0" fontId="62" fillId="3" borderId="0" xfId="2" applyFont="1" applyFill="1" applyBorder="1" applyAlignment="1">
      <alignment vertical="center"/>
    </xf>
    <xf numFmtId="0" fontId="63" fillId="3" borderId="0" xfId="2" applyFont="1" applyFill="1" applyBorder="1"/>
    <xf numFmtId="0" fontId="63" fillId="3" borderId="0" xfId="2" applyFont="1" applyFill="1" applyBorder="1" applyAlignment="1">
      <alignment vertical="center"/>
    </xf>
    <xf numFmtId="0" fontId="64" fillId="3" borderId="0" xfId="2" applyFont="1" applyFill="1" applyBorder="1" applyAlignment="1">
      <alignment horizontal="center" vertical="center"/>
    </xf>
    <xf numFmtId="164" fontId="64" fillId="3" borderId="0" xfId="2" applyNumberFormat="1" applyFont="1" applyFill="1" applyBorder="1" applyAlignment="1">
      <alignment horizontal="center" vertical="center"/>
    </xf>
    <xf numFmtId="167" fontId="63" fillId="3" borderId="0" xfId="2" applyNumberFormat="1" applyFont="1" applyFill="1" applyBorder="1" applyAlignment="1">
      <alignment vertical="center"/>
    </xf>
    <xf numFmtId="0" fontId="62" fillId="3" borderId="0" xfId="2" applyFont="1" applyFill="1" applyBorder="1" applyAlignment="1">
      <alignment horizontal="center" vertical="center"/>
    </xf>
    <xf numFmtId="0" fontId="64" fillId="3" borderId="0" xfId="2" applyFont="1" applyFill="1" applyBorder="1" applyAlignment="1">
      <alignment horizontal="center" vertical="center" wrapText="1"/>
    </xf>
    <xf numFmtId="0" fontId="65" fillId="3" borderId="0" xfId="2" applyFont="1" applyFill="1" applyBorder="1" applyAlignment="1">
      <alignment horizontal="center" vertical="center"/>
    </xf>
    <xf numFmtId="0" fontId="66" fillId="3" borderId="0" xfId="2" applyFont="1" applyFill="1" applyBorder="1" applyAlignment="1">
      <alignment horizontal="center" vertical="center"/>
    </xf>
    <xf numFmtId="0" fontId="64" fillId="3" borderId="0" xfId="0" applyFont="1" applyFill="1" applyBorder="1" applyAlignment="1" applyProtection="1">
      <alignment horizontal="center" vertical="center"/>
    </xf>
    <xf numFmtId="166" fontId="64" fillId="3" borderId="0" xfId="2" applyNumberFormat="1" applyFont="1" applyFill="1" applyBorder="1" applyAlignment="1">
      <alignment horizontal="center" vertical="center"/>
    </xf>
    <xf numFmtId="2" fontId="63" fillId="3" borderId="0" xfId="2" applyNumberFormat="1" applyFont="1" applyFill="1" applyBorder="1" applyAlignment="1">
      <alignment vertical="center"/>
    </xf>
    <xf numFmtId="166" fontId="64" fillId="3" borderId="0" xfId="2" applyNumberFormat="1" applyFont="1" applyFill="1" applyBorder="1" applyAlignment="1">
      <alignment horizontal="center" vertical="center" wrapText="1"/>
    </xf>
    <xf numFmtId="0" fontId="64" fillId="3" borderId="0" xfId="2" applyFont="1" applyFill="1" applyBorder="1" applyAlignment="1">
      <alignment horizontal="right" vertical="center"/>
    </xf>
    <xf numFmtId="0" fontId="65" fillId="3" borderId="0" xfId="2" applyFont="1" applyFill="1" applyBorder="1" applyAlignment="1">
      <alignment vertical="center"/>
    </xf>
    <xf numFmtId="0" fontId="67" fillId="3" borderId="0" xfId="2" applyFont="1" applyFill="1" applyBorder="1" applyAlignment="1">
      <alignment horizontal="right" vertical="center"/>
    </xf>
    <xf numFmtId="0" fontId="63" fillId="3" borderId="0" xfId="2" applyFont="1" applyFill="1" applyBorder="1" applyAlignment="1">
      <alignment horizontal="center" vertical="center"/>
    </xf>
    <xf numFmtId="164" fontId="63" fillId="3" borderId="0" xfId="2" applyNumberFormat="1" applyFont="1" applyFill="1" applyBorder="1" applyAlignment="1">
      <alignment horizontal="center" vertical="center"/>
    </xf>
    <xf numFmtId="0" fontId="68" fillId="3" borderId="0" xfId="2" applyFont="1" applyFill="1" applyBorder="1" applyAlignment="1">
      <alignment horizontal="center" vertical="center"/>
    </xf>
    <xf numFmtId="2" fontId="64" fillId="3" borderId="0" xfId="2" applyNumberFormat="1" applyFont="1" applyFill="1" applyBorder="1" applyAlignment="1">
      <alignment horizontal="center" vertical="center"/>
    </xf>
    <xf numFmtId="0" fontId="63" fillId="3" borderId="0" xfId="2" applyFont="1" applyFill="1" applyBorder="1" applyAlignment="1">
      <alignment horizontal="right"/>
    </xf>
    <xf numFmtId="0" fontId="63" fillId="3" borderId="0" xfId="2" applyFont="1" applyFill="1" applyBorder="1" applyAlignment="1">
      <alignment horizontal="left"/>
    </xf>
    <xf numFmtId="0" fontId="68" fillId="3" borderId="0" xfId="2" applyFont="1" applyFill="1" applyBorder="1"/>
    <xf numFmtId="0" fontId="68" fillId="3" borderId="0" xfId="2" applyFont="1" applyFill="1" applyBorder="1" applyAlignment="1">
      <alignment vertical="center"/>
    </xf>
    <xf numFmtId="0" fontId="64" fillId="3" borderId="0" xfId="2" applyFont="1" applyFill="1" applyBorder="1" applyAlignment="1">
      <alignment vertical="center"/>
    </xf>
    <xf numFmtId="0" fontId="67" fillId="3" borderId="0" xfId="2" applyFont="1" applyFill="1" applyBorder="1" applyAlignment="1">
      <alignment vertical="center"/>
    </xf>
    <xf numFmtId="2" fontId="68" fillId="3" borderId="0" xfId="2" applyNumberFormat="1" applyFont="1" applyFill="1" applyBorder="1" applyAlignment="1">
      <alignment vertical="center"/>
    </xf>
    <xf numFmtId="0" fontId="39" fillId="5" borderId="32" xfId="2" applyFont="1" applyFill="1" applyBorder="1" applyAlignment="1">
      <alignment horizontal="right" vertical="center"/>
    </xf>
    <xf numFmtId="2" fontId="45" fillId="5" borderId="33" xfId="2" applyNumberFormat="1" applyFont="1" applyFill="1" applyBorder="1" applyAlignment="1">
      <alignment horizontal="right" vertical="center"/>
    </xf>
    <xf numFmtId="0" fontId="40" fillId="5" borderId="34" xfId="2" applyFont="1" applyFill="1" applyBorder="1" applyAlignment="1">
      <alignment vertical="center"/>
    </xf>
    <xf numFmtId="0" fontId="39" fillId="5" borderId="30" xfId="2" applyFont="1" applyFill="1" applyBorder="1" applyAlignment="1">
      <alignment horizontal="right" vertical="center"/>
    </xf>
    <xf numFmtId="2" fontId="45" fillId="5" borderId="4" xfId="2" applyNumberFormat="1" applyFont="1" applyFill="1" applyBorder="1" applyAlignment="1">
      <alignment horizontal="right" vertical="center"/>
    </xf>
    <xf numFmtId="0" fontId="40" fillId="5" borderId="37" xfId="2" applyFont="1" applyFill="1" applyBorder="1" applyAlignment="1">
      <alignment vertical="center"/>
    </xf>
    <xf numFmtId="0" fontId="39" fillId="5" borderId="53" xfId="2" applyFont="1" applyFill="1" applyBorder="1" applyAlignment="1">
      <alignment horizontal="right" vertical="center"/>
    </xf>
    <xf numFmtId="1" fontId="45" fillId="5" borderId="6" xfId="2" applyNumberFormat="1" applyFont="1" applyFill="1" applyBorder="1" applyAlignment="1">
      <alignment horizontal="right" vertical="center"/>
    </xf>
    <xf numFmtId="0" fontId="40" fillId="5" borderId="54" xfId="2" applyFont="1" applyFill="1" applyBorder="1" applyAlignment="1">
      <alignment vertical="center"/>
    </xf>
    <xf numFmtId="1" fontId="45" fillId="5" borderId="4" xfId="2" applyNumberFormat="1" applyFont="1" applyFill="1" applyBorder="1" applyAlignment="1">
      <alignment horizontal="right" vertical="center"/>
    </xf>
    <xf numFmtId="0" fontId="39" fillId="5" borderId="35" xfId="2" applyFont="1" applyFill="1" applyBorder="1" applyAlignment="1">
      <alignment horizontal="right" vertical="center"/>
    </xf>
    <xf numFmtId="166" fontId="45" fillId="5" borderId="21" xfId="2" applyNumberFormat="1" applyFont="1" applyFill="1" applyBorder="1" applyAlignment="1">
      <alignment horizontal="right" vertical="center"/>
    </xf>
    <xf numFmtId="0" fontId="40" fillId="5" borderId="29" xfId="2" applyFont="1" applyFill="1" applyBorder="1" applyAlignment="1">
      <alignment vertical="center"/>
    </xf>
    <xf numFmtId="0" fontId="39" fillId="6" borderId="51" xfId="2" applyFont="1" applyFill="1" applyBorder="1" applyAlignment="1">
      <alignment horizontal="right" vertical="center"/>
    </xf>
    <xf numFmtId="0" fontId="50" fillId="6" borderId="9" xfId="2" applyFont="1" applyFill="1" applyBorder="1" applyAlignment="1">
      <alignment horizontal="right" vertical="center" wrapText="1"/>
    </xf>
    <xf numFmtId="0" fontId="1" fillId="6" borderId="52" xfId="2" applyFill="1" applyBorder="1" applyAlignment="1">
      <alignment horizontal="left" vertical="center"/>
    </xf>
    <xf numFmtId="0" fontId="39" fillId="6" borderId="30" xfId="2" applyFont="1" applyFill="1" applyBorder="1" applyAlignment="1">
      <alignment horizontal="right" vertical="center"/>
    </xf>
    <xf numFmtId="0" fontId="50" fillId="6" borderId="4" xfId="2" applyFont="1" applyFill="1" applyBorder="1" applyAlignment="1">
      <alignment horizontal="right" vertical="center"/>
    </xf>
    <xf numFmtId="0" fontId="40" fillId="6" borderId="37" xfId="2" applyFont="1" applyFill="1" applyBorder="1" applyAlignment="1">
      <alignment vertical="center"/>
    </xf>
    <xf numFmtId="0" fontId="39" fillId="6" borderId="35" xfId="2" applyFont="1" applyFill="1" applyBorder="1" applyAlignment="1">
      <alignment horizontal="right" vertical="center"/>
    </xf>
    <xf numFmtId="1" fontId="50" fillId="6" borderId="21" xfId="2" applyNumberFormat="1" applyFont="1" applyFill="1" applyBorder="1" applyAlignment="1">
      <alignment horizontal="right" vertical="center"/>
    </xf>
    <xf numFmtId="0" fontId="40" fillId="6" borderId="29" xfId="2" applyFont="1" applyFill="1" applyBorder="1" applyAlignment="1">
      <alignment vertical="center"/>
    </xf>
    <xf numFmtId="0" fontId="50" fillId="6" borderId="21" xfId="2" applyFont="1" applyFill="1" applyBorder="1" applyAlignment="1">
      <alignment horizontal="right" vertical="center"/>
    </xf>
    <xf numFmtId="0" fontId="39" fillId="6" borderId="55" xfId="2" applyFont="1" applyFill="1" applyBorder="1" applyAlignment="1">
      <alignment horizontal="center" vertical="center"/>
    </xf>
    <xf numFmtId="0" fontId="39" fillId="6" borderId="7" xfId="2" applyFont="1" applyFill="1" applyBorder="1" applyAlignment="1">
      <alignment horizontal="center" vertical="center" wrapText="1"/>
    </xf>
    <xf numFmtId="0" fontId="39" fillId="6" borderId="15" xfId="2" applyFont="1" applyFill="1" applyBorder="1" applyAlignment="1">
      <alignment horizontal="center" vertical="center" wrapText="1"/>
    </xf>
    <xf numFmtId="0" fontId="40" fillId="6" borderId="47" xfId="2" applyFont="1" applyFill="1" applyBorder="1" applyAlignment="1">
      <alignment horizontal="center" vertical="center"/>
    </xf>
    <xf numFmtId="0" fontId="40" fillId="6" borderId="48" xfId="2" applyFont="1" applyFill="1" applyBorder="1" applyAlignment="1">
      <alignment horizontal="center" vertical="center"/>
    </xf>
    <xf numFmtId="0" fontId="41" fillId="6" borderId="48" xfId="2" applyFont="1" applyFill="1" applyBorder="1" applyAlignment="1">
      <alignment horizontal="center" vertical="center"/>
    </xf>
    <xf numFmtId="0" fontId="42" fillId="6" borderId="48" xfId="0" applyFont="1" applyFill="1" applyBorder="1" applyAlignment="1" applyProtection="1">
      <alignment horizontal="center" vertical="center"/>
    </xf>
    <xf numFmtId="0" fontId="42" fillId="6" borderId="49" xfId="0" applyFont="1" applyFill="1" applyBorder="1" applyAlignment="1" applyProtection="1">
      <alignment horizontal="center" vertical="center"/>
    </xf>
    <xf numFmtId="0" fontId="39" fillId="6" borderId="43" xfId="2" applyFont="1" applyFill="1" applyBorder="1" applyAlignment="1">
      <alignment horizontal="center" vertical="center"/>
    </xf>
    <xf numFmtId="166" fontId="51" fillId="6" borderId="11" xfId="2" applyNumberFormat="1" applyFont="1" applyFill="1" applyBorder="1" applyAlignment="1">
      <alignment horizontal="center" vertical="center"/>
    </xf>
    <xf numFmtId="164" fontId="51" fillId="6" borderId="11" xfId="2" applyNumberFormat="1" applyFont="1" applyFill="1" applyBorder="1" applyAlignment="1">
      <alignment horizontal="center" vertical="center"/>
    </xf>
    <xf numFmtId="2" fontId="51" fillId="6" borderId="11" xfId="2" applyNumberFormat="1" applyFont="1" applyFill="1" applyBorder="1" applyAlignment="1">
      <alignment horizontal="center" vertical="center"/>
    </xf>
    <xf numFmtId="0" fontId="51" fillId="6" borderId="11" xfId="2" applyFont="1" applyFill="1" applyBorder="1" applyAlignment="1">
      <alignment horizontal="center" vertical="center"/>
    </xf>
    <xf numFmtId="0" fontId="39" fillId="6" borderId="11" xfId="2" applyFont="1" applyFill="1" applyBorder="1" applyAlignment="1">
      <alignment horizontal="center" vertical="center"/>
    </xf>
    <xf numFmtId="166" fontId="39" fillId="6" borderId="11" xfId="2" applyNumberFormat="1" applyFont="1" applyFill="1" applyBorder="1" applyAlignment="1">
      <alignment horizontal="center" vertical="center"/>
    </xf>
    <xf numFmtId="166" fontId="51" fillId="6" borderId="44" xfId="2" applyNumberFormat="1" applyFont="1" applyFill="1" applyBorder="1" applyAlignment="1">
      <alignment horizontal="center" vertical="center"/>
    </xf>
    <xf numFmtId="0" fontId="39" fillId="6" borderId="18" xfId="2" applyFont="1" applyFill="1" applyBorder="1" applyAlignment="1">
      <alignment horizontal="center" vertical="center"/>
    </xf>
    <xf numFmtId="166" fontId="51" fillId="6" borderId="10" xfId="2" applyNumberFormat="1" applyFont="1" applyFill="1" applyBorder="1" applyAlignment="1">
      <alignment horizontal="center" vertical="center"/>
    </xf>
    <xf numFmtId="164" fontId="51" fillId="6" borderId="10" xfId="2" applyNumberFormat="1" applyFont="1" applyFill="1" applyBorder="1" applyAlignment="1">
      <alignment horizontal="center" vertical="center"/>
    </xf>
    <xf numFmtId="2" fontId="51" fillId="6" borderId="10" xfId="2" applyNumberFormat="1" applyFont="1" applyFill="1" applyBorder="1" applyAlignment="1">
      <alignment horizontal="center" vertical="center"/>
    </xf>
    <xf numFmtId="0" fontId="51" fillId="6" borderId="10" xfId="2" applyFont="1" applyFill="1" applyBorder="1" applyAlignment="1">
      <alignment horizontal="center" vertical="center"/>
    </xf>
    <xf numFmtId="166" fontId="42" fillId="6" borderId="10" xfId="2" applyNumberFormat="1" applyFont="1" applyFill="1" applyBorder="1" applyAlignment="1">
      <alignment horizontal="center" vertical="center"/>
    </xf>
    <xf numFmtId="166" fontId="51" fillId="6" borderId="31" xfId="2" applyNumberFormat="1" applyFont="1" applyFill="1" applyBorder="1" applyAlignment="1">
      <alignment horizontal="center" vertical="center"/>
    </xf>
    <xf numFmtId="0" fontId="39" fillId="6" borderId="10" xfId="2" applyFont="1" applyFill="1" applyBorder="1" applyAlignment="1">
      <alignment horizontal="center" vertical="center"/>
    </xf>
    <xf numFmtId="166" fontId="39" fillId="6" borderId="10" xfId="2" applyNumberFormat="1" applyFont="1" applyFill="1" applyBorder="1" applyAlignment="1">
      <alignment horizontal="center" vertical="center"/>
    </xf>
    <xf numFmtId="0" fontId="39" fillId="6" borderId="45" xfId="2" applyFont="1" applyFill="1" applyBorder="1" applyAlignment="1">
      <alignment horizontal="center" vertical="center"/>
    </xf>
    <xf numFmtId="166" fontId="51" fillId="6" borderId="3" xfId="2" applyNumberFormat="1" applyFont="1" applyFill="1" applyBorder="1" applyAlignment="1">
      <alignment horizontal="center" vertical="center"/>
    </xf>
    <xf numFmtId="164" fontId="51" fillId="6" borderId="3" xfId="2" applyNumberFormat="1" applyFont="1" applyFill="1" applyBorder="1" applyAlignment="1">
      <alignment horizontal="center" vertical="center"/>
    </xf>
    <xf numFmtId="2" fontId="51" fillId="6" borderId="3" xfId="2" applyNumberFormat="1" applyFont="1" applyFill="1" applyBorder="1" applyAlignment="1">
      <alignment horizontal="center" vertical="center"/>
    </xf>
    <xf numFmtId="0" fontId="51" fillId="6" borderId="3" xfId="2" applyFont="1" applyFill="1" applyBorder="1" applyAlignment="1">
      <alignment horizontal="center" vertical="center"/>
    </xf>
    <xf numFmtId="0" fontId="39" fillId="6" borderId="3" xfId="2" applyFont="1" applyFill="1" applyBorder="1" applyAlignment="1">
      <alignment horizontal="center" vertical="center"/>
    </xf>
    <xf numFmtId="166" fontId="39" fillId="6" borderId="3" xfId="2" applyNumberFormat="1" applyFont="1" applyFill="1" applyBorder="1" applyAlignment="1">
      <alignment horizontal="center" vertical="center"/>
    </xf>
    <xf numFmtId="166" fontId="51" fillId="6" borderId="46" xfId="2" applyNumberFormat="1" applyFont="1" applyFill="1" applyBorder="1" applyAlignment="1">
      <alignment horizontal="center" vertical="center"/>
    </xf>
    <xf numFmtId="0" fontId="39" fillId="6" borderId="47" xfId="2" applyFont="1" applyFill="1" applyBorder="1" applyAlignment="1">
      <alignment horizontal="center" vertical="center"/>
    </xf>
    <xf numFmtId="166" fontId="39" fillId="6" borderId="48" xfId="2" applyNumberFormat="1" applyFont="1" applyFill="1" applyBorder="1" applyAlignment="1">
      <alignment horizontal="center" vertical="center"/>
    </xf>
    <xf numFmtId="164" fontId="39" fillId="6" borderId="48" xfId="2" applyNumberFormat="1" applyFont="1" applyFill="1" applyBorder="1" applyAlignment="1">
      <alignment horizontal="center" vertical="center"/>
    </xf>
    <xf numFmtId="2" fontId="46" fillId="6" borderId="48" xfId="2" applyNumberFormat="1" applyFont="1" applyFill="1" applyBorder="1" applyAlignment="1">
      <alignment horizontal="center" vertical="center"/>
    </xf>
    <xf numFmtId="0" fontId="46" fillId="6" borderId="48" xfId="2" applyFont="1" applyFill="1" applyBorder="1" applyAlignment="1">
      <alignment horizontal="center" vertical="center"/>
    </xf>
    <xf numFmtId="0" fontId="39" fillId="6" borderId="48" xfId="2" applyFont="1" applyFill="1" applyBorder="1" applyAlignment="1">
      <alignment horizontal="center" vertical="center"/>
    </xf>
    <xf numFmtId="0" fontId="1" fillId="6" borderId="48" xfId="2" applyFont="1" applyFill="1" applyBorder="1"/>
    <xf numFmtId="0" fontId="1" fillId="6" borderId="49" xfId="2" applyFont="1" applyFill="1" applyBorder="1"/>
    <xf numFmtId="0" fontId="39" fillId="6" borderId="40" xfId="2" applyFont="1" applyFill="1" applyBorder="1" applyAlignment="1">
      <alignment horizontal="center" vertical="center"/>
    </xf>
    <xf numFmtId="166" fontId="39" fillId="6" borderId="41" xfId="2" applyNumberFormat="1" applyFont="1" applyFill="1" applyBorder="1" applyAlignment="1">
      <alignment horizontal="center" vertical="center"/>
    </xf>
    <xf numFmtId="164" fontId="39" fillId="6" borderId="41" xfId="2" applyNumberFormat="1" applyFont="1" applyFill="1" applyBorder="1" applyAlignment="1">
      <alignment horizontal="center" vertical="center"/>
    </xf>
    <xf numFmtId="2" fontId="39" fillId="6" borderId="41" xfId="2" applyNumberFormat="1" applyFont="1" applyFill="1" applyBorder="1" applyAlignment="1">
      <alignment horizontal="center" vertical="center"/>
    </xf>
    <xf numFmtId="166" fontId="39" fillId="6" borderId="42" xfId="2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 applyProtection="1">
      <alignment horizontal="center"/>
    </xf>
    <xf numFmtId="0" fontId="24" fillId="0" borderId="33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/>
    </xf>
    <xf numFmtId="0" fontId="11" fillId="0" borderId="21" xfId="0" applyFont="1" applyFill="1" applyBorder="1" applyAlignment="1" applyProtection="1">
      <alignment horizontal="center"/>
    </xf>
    <xf numFmtId="0" fontId="11" fillId="0" borderId="36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 wrapText="1"/>
    </xf>
    <xf numFmtId="0" fontId="11" fillId="0" borderId="4" xfId="0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horizontal="right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right" vertical="center" wrapText="1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right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right"/>
    </xf>
    <xf numFmtId="0" fontId="32" fillId="0" borderId="1" xfId="0" applyFont="1" applyFill="1" applyBorder="1" applyAlignment="1" applyProtection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2" fontId="11" fillId="0" borderId="10" xfId="0" applyNumberFormat="1" applyFont="1" applyFill="1" applyBorder="1" applyAlignment="1" applyProtection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right"/>
    </xf>
    <xf numFmtId="0" fontId="11" fillId="0" borderId="1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22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11" fillId="0" borderId="5" xfId="0" quotePrefix="1" applyFont="1" applyFill="1" applyBorder="1" applyAlignment="1" applyProtection="1">
      <alignment horizontal="left" vertical="center" wrapText="1"/>
    </xf>
    <xf numFmtId="0" fontId="11" fillId="0" borderId="6" xfId="0" quotePrefix="1" applyFont="1" applyFill="1" applyBorder="1" applyAlignment="1" applyProtection="1">
      <alignment horizontal="left" vertical="center" wrapText="1"/>
    </xf>
    <xf numFmtId="0" fontId="11" fillId="0" borderId="12" xfId="0" quotePrefix="1" applyFont="1" applyFill="1" applyBorder="1" applyAlignment="1" applyProtection="1">
      <alignment horizontal="left" vertical="center" wrapText="1"/>
    </xf>
    <xf numFmtId="0" fontId="11" fillId="0" borderId="8" xfId="0" quotePrefix="1" applyFont="1" applyFill="1" applyBorder="1" applyAlignment="1" applyProtection="1">
      <alignment horizontal="left" vertical="center" wrapText="1"/>
    </xf>
    <xf numFmtId="0" fontId="11" fillId="0" borderId="9" xfId="0" quotePrefix="1" applyFont="1" applyFill="1" applyBorder="1" applyAlignment="1" applyProtection="1">
      <alignment horizontal="left" vertical="center" wrapText="1"/>
    </xf>
    <xf numFmtId="0" fontId="11" fillId="0" borderId="13" xfId="0" quotePrefix="1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left"/>
    </xf>
    <xf numFmtId="0" fontId="11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3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9" fillId="5" borderId="25" xfId="2" applyFont="1" applyFill="1" applyBorder="1" applyAlignment="1">
      <alignment horizontal="center" vertical="center"/>
    </xf>
    <xf numFmtId="0" fontId="49" fillId="5" borderId="26" xfId="2" applyFont="1" applyFill="1" applyBorder="1" applyAlignment="1">
      <alignment horizontal="center" vertical="center"/>
    </xf>
    <xf numFmtId="0" fontId="49" fillId="5" borderId="27" xfId="2" applyFont="1" applyFill="1" applyBorder="1" applyAlignment="1">
      <alignment horizontal="center" vertical="center"/>
    </xf>
    <xf numFmtId="0" fontId="64" fillId="3" borderId="0" xfId="0" applyFont="1" applyFill="1" applyBorder="1" applyAlignment="1" applyProtection="1">
      <alignment horizontal="center" vertical="center" wrapText="1"/>
    </xf>
    <xf numFmtId="0" fontId="42" fillId="6" borderId="56" xfId="0" applyFont="1" applyFill="1" applyBorder="1" applyAlignment="1" applyProtection="1">
      <alignment horizontal="center" vertical="center" wrapText="1"/>
    </xf>
    <xf numFmtId="0" fontId="42" fillId="6" borderId="17" xfId="0" applyFont="1" applyFill="1" applyBorder="1" applyAlignment="1" applyProtection="1">
      <alignment horizontal="center" vertical="center" wrapText="1"/>
    </xf>
    <xf numFmtId="0" fontId="43" fillId="6" borderId="20" xfId="2" applyFont="1" applyFill="1" applyBorder="1" applyAlignment="1">
      <alignment horizontal="center" vertical="center"/>
    </xf>
    <xf numFmtId="0" fontId="43" fillId="6" borderId="22" xfId="2" applyFont="1" applyFill="1" applyBorder="1" applyAlignment="1">
      <alignment horizontal="center" vertical="center"/>
    </xf>
    <xf numFmtId="0" fontId="43" fillId="6" borderId="23" xfId="2" applyFont="1" applyFill="1" applyBorder="1" applyAlignment="1">
      <alignment horizontal="center" vertical="center"/>
    </xf>
    <xf numFmtId="0" fontId="43" fillId="6" borderId="50" xfId="2" applyFont="1" applyFill="1" applyBorder="1" applyAlignment="1">
      <alignment horizontal="center" vertical="center"/>
    </xf>
    <xf numFmtId="0" fontId="43" fillId="6" borderId="16" xfId="2" applyFont="1" applyFill="1" applyBorder="1" applyAlignment="1">
      <alignment horizontal="center" vertical="center"/>
    </xf>
    <xf numFmtId="0" fontId="43" fillId="6" borderId="17" xfId="2" applyFont="1" applyFill="1" applyBorder="1" applyAlignment="1">
      <alignment horizontal="center" vertical="center"/>
    </xf>
    <xf numFmtId="0" fontId="43" fillId="6" borderId="25" xfId="2" applyFont="1" applyFill="1" applyBorder="1" applyAlignment="1">
      <alignment horizontal="center" vertical="center"/>
    </xf>
    <xf numFmtId="0" fontId="43" fillId="6" borderId="26" xfId="2" applyFont="1" applyFill="1" applyBorder="1" applyAlignment="1">
      <alignment horizontal="center" vertical="center"/>
    </xf>
    <xf numFmtId="0" fontId="43" fillId="6" borderId="27" xfId="2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658DD1D3-5943-44C5-B6A3-44F49F98DDE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43</xdr:row>
      <xdr:rowOff>104775</xdr:rowOff>
    </xdr:from>
    <xdr:to>
      <xdr:col>22</xdr:col>
      <xdr:colOff>257175</xdr:colOff>
      <xdr:row>60</xdr:row>
      <xdr:rowOff>171450</xdr:rowOff>
    </xdr:to>
    <xdr:pic>
      <xdr:nvPicPr>
        <xdr:cNvPr id="1062" name="Picture 1" descr="Vidutinis metinis vėjo greitis ir vyraujančios vėjo kryptys">
          <a:extLst>
            <a:ext uri="{FF2B5EF4-FFF2-40B4-BE49-F238E27FC236}">
              <a16:creationId xmlns:a16="http://schemas.microsoft.com/office/drawing/2014/main" id="{E9AE9184-334A-45BC-937A-68F544F0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8801100"/>
          <a:ext cx="53721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C&#352;T%20ir%20dujinio%20&#353;ildymo%20palygin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ungtas prie CŠT"/>
      <sheetName val="2020_CŠT ir dujinio šildymo pal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0"/>
  <sheetViews>
    <sheetView showGridLines="0" showZeros="0" topLeftCell="A16" zoomScale="85" zoomScaleNormal="85" workbookViewId="0">
      <selection activeCell="K18" sqref="K18"/>
    </sheetView>
  </sheetViews>
  <sheetFormatPr defaultColWidth="9.33203125" defaultRowHeight="15" x14ac:dyDescent="0.25"/>
  <cols>
    <col min="1" max="1" width="8.83203125" style="188" customWidth="1"/>
    <col min="2" max="2" width="11.5" style="188" customWidth="1"/>
    <col min="3" max="11" width="14.1640625" style="188" customWidth="1"/>
    <col min="12" max="12" width="4.6640625" style="188" customWidth="1"/>
    <col min="13" max="14" width="15.6640625" style="188" customWidth="1"/>
    <col min="15" max="15" width="17.83203125" style="188" customWidth="1"/>
    <col min="16" max="16" width="17.33203125" style="188" customWidth="1"/>
    <col min="17" max="22" width="9.33203125" style="188"/>
    <col min="23" max="23" width="6.33203125" style="188" customWidth="1"/>
    <col min="24" max="16384" width="9.33203125" style="188"/>
  </cols>
  <sheetData>
    <row r="1" spans="1:17" ht="15.75" thickBot="1" x14ac:dyDescent="0.3">
      <c r="A1" s="504"/>
      <c r="B1" s="504"/>
      <c r="C1" s="504"/>
      <c r="D1" s="504"/>
      <c r="E1" s="186"/>
      <c r="F1" s="187"/>
    </row>
    <row r="2" spans="1:17" ht="18.75" thickBot="1" x14ac:dyDescent="0.3">
      <c r="A2" s="189" t="s">
        <v>329</v>
      </c>
      <c r="B2" s="90"/>
      <c r="C2" s="104"/>
      <c r="E2" s="190" t="s">
        <v>278</v>
      </c>
      <c r="F2" s="191"/>
      <c r="G2" s="192"/>
      <c r="H2" s="192"/>
      <c r="I2" s="192"/>
      <c r="J2" s="192"/>
      <c r="K2" s="192"/>
      <c r="L2" s="318" t="s">
        <v>330</v>
      </c>
      <c r="M2" s="319"/>
      <c r="N2" s="319"/>
      <c r="O2" s="319"/>
      <c r="P2" s="319"/>
      <c r="Q2" s="320"/>
    </row>
    <row r="3" spans="1:17" x14ac:dyDescent="0.25">
      <c r="A3" s="193" t="s">
        <v>279</v>
      </c>
      <c r="B3" s="194"/>
      <c r="C3" s="195"/>
      <c r="D3" s="196"/>
      <c r="E3" s="195"/>
      <c r="F3" s="195"/>
      <c r="G3" s="195"/>
      <c r="H3" s="195"/>
      <c r="I3" s="194"/>
      <c r="J3" s="194"/>
      <c r="K3" s="194"/>
    </row>
    <row r="4" spans="1:17" x14ac:dyDescent="0.25">
      <c r="A4" s="197" t="s">
        <v>11</v>
      </c>
      <c r="B4" s="197" t="s">
        <v>2</v>
      </c>
      <c r="C4" s="198" t="s">
        <v>139</v>
      </c>
      <c r="D4" s="199"/>
      <c r="E4" s="200"/>
      <c r="F4" s="198" t="s">
        <v>9</v>
      </c>
      <c r="G4" s="199"/>
      <c r="H4" s="200"/>
      <c r="I4" s="201"/>
      <c r="J4" s="202"/>
      <c r="K4" s="197" t="s">
        <v>12</v>
      </c>
    </row>
    <row r="5" spans="1:17" ht="16.5" x14ac:dyDescent="0.25">
      <c r="A5" s="203"/>
      <c r="B5" s="203"/>
      <c r="C5" s="98" t="s">
        <v>125</v>
      </c>
      <c r="D5" s="98" t="s">
        <v>126</v>
      </c>
      <c r="E5" s="204" t="s">
        <v>109</v>
      </c>
      <c r="F5" s="98" t="s">
        <v>125</v>
      </c>
      <c r="G5" s="98" t="s">
        <v>126</v>
      </c>
      <c r="H5" s="204" t="s">
        <v>109</v>
      </c>
      <c r="I5" s="205" t="s">
        <v>127</v>
      </c>
      <c r="J5" s="205" t="s">
        <v>128</v>
      </c>
      <c r="K5" s="205" t="s">
        <v>129</v>
      </c>
    </row>
    <row r="6" spans="1:17" x14ac:dyDescent="0.25">
      <c r="A6" s="94">
        <v>2011</v>
      </c>
      <c r="B6" s="206" t="s">
        <v>22</v>
      </c>
      <c r="C6" s="95">
        <f>'Prijungimas prie CŠT'!I15</f>
        <v>69.338235294117652</v>
      </c>
      <c r="D6" s="95">
        <f>'Prijungimas prie CŠT'!J15</f>
        <v>43.205882352941174</v>
      </c>
      <c r="E6" s="96">
        <v>544</v>
      </c>
      <c r="F6" s="95">
        <v>55</v>
      </c>
      <c r="G6" s="95">
        <v>45</v>
      </c>
      <c r="H6" s="96">
        <v>0</v>
      </c>
      <c r="I6" s="95">
        <v>10</v>
      </c>
      <c r="J6" s="95">
        <f>'Prijungimas prie CŠT'!H15</f>
        <v>11.46</v>
      </c>
      <c r="K6" s="95">
        <f>'Prijungimas prie CŠT'!F15</f>
        <v>8</v>
      </c>
    </row>
    <row r="7" spans="1:17" x14ac:dyDescent="0.25">
      <c r="A7" s="94">
        <v>2011</v>
      </c>
      <c r="B7" s="206" t="s">
        <v>23</v>
      </c>
      <c r="C7" s="95">
        <f>'Prijungimas prie CŠT'!I16</f>
        <v>70.033333333333331</v>
      </c>
      <c r="D7" s="95">
        <f>'Prijungimas prie CŠT'!J16</f>
        <v>41.2</v>
      </c>
      <c r="E7" s="96">
        <v>720</v>
      </c>
      <c r="F7" s="95">
        <v>55</v>
      </c>
      <c r="G7" s="95">
        <v>45</v>
      </c>
      <c r="H7" s="96">
        <v>0</v>
      </c>
      <c r="I7" s="95">
        <v>5</v>
      </c>
      <c r="J7" s="95">
        <f>'Prijungimas prie CŠT'!H16</f>
        <v>7.7</v>
      </c>
      <c r="K7" s="95">
        <f>'Prijungimas prie CŠT'!F16</f>
        <v>2.6999999999999993</v>
      </c>
    </row>
    <row r="8" spans="1:17" x14ac:dyDescent="0.25">
      <c r="A8" s="94">
        <v>2011</v>
      </c>
      <c r="B8" s="206" t="s">
        <v>24</v>
      </c>
      <c r="C8" s="95">
        <f>'Prijungimas prie CŠT'!I17</f>
        <v>72.100000000000009</v>
      </c>
      <c r="D8" s="95">
        <f>'Prijungimas prie CŠT'!J17</f>
        <v>44.399999999999991</v>
      </c>
      <c r="E8" s="96">
        <v>744</v>
      </c>
      <c r="F8" s="95">
        <v>55</v>
      </c>
      <c r="G8" s="95">
        <v>45</v>
      </c>
      <c r="H8" s="96">
        <v>0</v>
      </c>
      <c r="I8" s="95">
        <v>5</v>
      </c>
      <c r="J8" s="95">
        <f>'Prijungimas prie CŠT'!H17</f>
        <v>4.9333333333333336</v>
      </c>
      <c r="K8" s="95">
        <f>'Prijungimas prie CŠT'!F17</f>
        <v>-1.1000000000000014</v>
      </c>
    </row>
    <row r="9" spans="1:17" x14ac:dyDescent="0.25">
      <c r="A9" s="94">
        <v>2012</v>
      </c>
      <c r="B9" s="206" t="s">
        <v>13</v>
      </c>
      <c r="C9" s="95">
        <f>'Prijungimas prie CŠT'!I6</f>
        <v>74.399999999999991</v>
      </c>
      <c r="D9" s="95">
        <f>'Prijungimas prie CŠT'!J6</f>
        <v>46.033333333333331</v>
      </c>
      <c r="E9" s="96">
        <v>744</v>
      </c>
      <c r="F9" s="95">
        <v>55</v>
      </c>
      <c r="G9" s="95">
        <v>45</v>
      </c>
      <c r="H9" s="96">
        <v>0</v>
      </c>
      <c r="I9" s="95">
        <v>5</v>
      </c>
      <c r="J9" s="95">
        <f>'Prijungimas prie CŠT'!H6</f>
        <v>2.8999999999999995</v>
      </c>
      <c r="K9" s="95">
        <f>'Prijungimas prie CŠT'!F6</f>
        <v>-1.6999999999999993</v>
      </c>
    </row>
    <row r="10" spans="1:17" x14ac:dyDescent="0.25">
      <c r="A10" s="94">
        <v>2012</v>
      </c>
      <c r="B10" s="206" t="s">
        <v>14</v>
      </c>
      <c r="C10" s="95">
        <f>'Prijungimas prie CŠT'!I7</f>
        <v>74.558823529411768</v>
      </c>
      <c r="D10" s="95">
        <f>'Prijungimas prie CŠT'!J7</f>
        <v>46.248235294117642</v>
      </c>
      <c r="E10" s="96">
        <v>680</v>
      </c>
      <c r="F10" s="95">
        <v>55</v>
      </c>
      <c r="G10" s="95">
        <v>45</v>
      </c>
      <c r="H10" s="96">
        <v>0</v>
      </c>
      <c r="I10" s="95">
        <v>5</v>
      </c>
      <c r="J10" s="95">
        <f>'Prijungimas prie CŠT'!H7</f>
        <v>1.6694117647058822</v>
      </c>
      <c r="K10" s="95">
        <f>'Prijungimas prie CŠT'!F7</f>
        <v>-6.8000000000000007</v>
      </c>
    </row>
    <row r="11" spans="1:17" x14ac:dyDescent="0.25">
      <c r="A11" s="94">
        <v>2012</v>
      </c>
      <c r="B11" s="206" t="s">
        <v>15</v>
      </c>
      <c r="C11" s="95">
        <f>'Prijungimas prie CŠT'!I8</f>
        <v>70.399999999999991</v>
      </c>
      <c r="D11" s="95">
        <f>'Prijungimas prie CŠT'!J8</f>
        <v>43</v>
      </c>
      <c r="E11" s="96">
        <v>744</v>
      </c>
      <c r="F11" s="95">
        <v>55</v>
      </c>
      <c r="G11" s="95">
        <v>45</v>
      </c>
      <c r="H11" s="96">
        <v>0</v>
      </c>
      <c r="I11" s="95">
        <v>5</v>
      </c>
      <c r="J11" s="95">
        <f>'Prijungimas prie CŠT'!H8</f>
        <v>1.1999999999999997</v>
      </c>
      <c r="K11" s="95">
        <f>'Prijungimas prie CŠT'!F8</f>
        <v>-2.1000000000000014</v>
      </c>
    </row>
    <row r="12" spans="1:17" x14ac:dyDescent="0.25">
      <c r="A12" s="94">
        <v>2012</v>
      </c>
      <c r="B12" s="206" t="s">
        <v>16</v>
      </c>
      <c r="C12" s="95">
        <f>'Prijungimas prie CŠT'!I9</f>
        <v>69.544736842105266</v>
      </c>
      <c r="D12" s="95">
        <f>'Prijungimas prie CŠT'!J9</f>
        <v>41.636842105263163</v>
      </c>
      <c r="E12" s="96">
        <v>304</v>
      </c>
      <c r="F12" s="95">
        <v>55</v>
      </c>
      <c r="G12" s="95">
        <v>45</v>
      </c>
      <c r="H12" s="96">
        <v>0</v>
      </c>
      <c r="I12" s="95">
        <v>5</v>
      </c>
      <c r="J12" s="95">
        <f>'Prijungimas prie CŠT'!H9</f>
        <v>3.6263157894736842</v>
      </c>
      <c r="K12" s="95">
        <f>'Prijungimas prie CŠT'!F9</f>
        <v>10.1</v>
      </c>
    </row>
    <row r="13" spans="1:17" x14ac:dyDescent="0.25">
      <c r="A13" s="505" t="s">
        <v>25</v>
      </c>
      <c r="B13" s="506"/>
      <c r="C13" s="249">
        <f>AVERAGE(C6:C12)</f>
        <v>71.482161285566846</v>
      </c>
      <c r="D13" s="249">
        <f>AVERAGE(D6:D12)</f>
        <v>43.67489901223648</v>
      </c>
      <c r="E13" s="250">
        <f>SUM(E6:E12)</f>
        <v>4480</v>
      </c>
      <c r="F13" s="249">
        <f>AVERAGE(F6:F12)</f>
        <v>55</v>
      </c>
      <c r="G13" s="249">
        <f>AVERAGE(G6:G12)</f>
        <v>45</v>
      </c>
      <c r="H13" s="250">
        <f>SUM(H6:H12)</f>
        <v>0</v>
      </c>
      <c r="I13" s="251">
        <f>AVERAGE(I6:I12)</f>
        <v>5.7142857142857144</v>
      </c>
      <c r="J13" s="251">
        <f>AVERAGE(J6:J12)</f>
        <v>4.784151555358986</v>
      </c>
      <c r="K13" s="251">
        <f>AVERAGE(K6:K12)</f>
        <v>1.2999999999999994</v>
      </c>
    </row>
    <row r="14" spans="1:17" x14ac:dyDescent="0.25">
      <c r="A14" s="207" t="s">
        <v>281</v>
      </c>
      <c r="B14" s="208"/>
      <c r="C14" s="207"/>
      <c r="D14" s="207"/>
      <c r="E14" s="90"/>
      <c r="F14" s="209"/>
      <c r="G14" s="103"/>
      <c r="H14" s="209"/>
      <c r="I14" s="209"/>
      <c r="J14" s="209"/>
      <c r="K14" s="209"/>
    </row>
    <row r="15" spans="1:17" x14ac:dyDescent="0.25">
      <c r="A15" s="193" t="s">
        <v>280</v>
      </c>
      <c r="B15" s="194"/>
      <c r="C15" s="195"/>
      <c r="D15" s="196"/>
      <c r="E15" s="195"/>
      <c r="F15" s="195"/>
      <c r="G15" s="195"/>
      <c r="H15" s="195"/>
      <c r="I15" s="194"/>
      <c r="J15" s="194"/>
      <c r="K15" s="194"/>
    </row>
    <row r="16" spans="1:17" x14ac:dyDescent="0.25">
      <c r="A16" s="197" t="s">
        <v>11</v>
      </c>
      <c r="B16" s="197" t="s">
        <v>2</v>
      </c>
      <c r="C16" s="198" t="s">
        <v>139</v>
      </c>
      <c r="D16" s="199"/>
      <c r="E16" s="200"/>
      <c r="F16" s="198" t="s">
        <v>9</v>
      </c>
      <c r="G16" s="199"/>
      <c r="H16" s="200"/>
      <c r="I16" s="201"/>
      <c r="J16" s="210"/>
      <c r="K16" s="197" t="s">
        <v>12</v>
      </c>
    </row>
    <row r="17" spans="1:36" ht="16.5" x14ac:dyDescent="0.25">
      <c r="A17" s="203"/>
      <c r="B17" s="203"/>
      <c r="C17" s="98" t="s">
        <v>125</v>
      </c>
      <c r="D17" s="98" t="s">
        <v>126</v>
      </c>
      <c r="E17" s="204" t="s">
        <v>109</v>
      </c>
      <c r="F17" s="98" t="s">
        <v>125</v>
      </c>
      <c r="G17" s="98" t="s">
        <v>126</v>
      </c>
      <c r="H17" s="204" t="s">
        <v>109</v>
      </c>
      <c r="I17" s="205" t="s">
        <v>127</v>
      </c>
      <c r="J17" s="205" t="s">
        <v>128</v>
      </c>
      <c r="K17" s="205" t="s">
        <v>129</v>
      </c>
    </row>
    <row r="18" spans="1:36" x14ac:dyDescent="0.25">
      <c r="A18" s="94">
        <v>2012</v>
      </c>
      <c r="B18" s="206" t="s">
        <v>16</v>
      </c>
      <c r="C18" s="95">
        <f>'Prijungimas prie CŠT'!I9</f>
        <v>69.544736842105266</v>
      </c>
      <c r="D18" s="95">
        <f>'Prijungimas prie CŠT'!J9</f>
        <v>41.636842105263163</v>
      </c>
      <c r="E18" s="96">
        <v>416</v>
      </c>
      <c r="F18" s="95">
        <v>55</v>
      </c>
      <c r="G18" s="95">
        <v>45</v>
      </c>
      <c r="H18" s="96">
        <v>0</v>
      </c>
      <c r="I18" s="95">
        <v>5</v>
      </c>
      <c r="J18" s="95">
        <f>'Prijungimas prie CŠT'!H9</f>
        <v>3.6263157894736842</v>
      </c>
      <c r="K18" s="95">
        <f>'Prijungimas prie CŠT'!F9</f>
        <v>10.1</v>
      </c>
    </row>
    <row r="19" spans="1:36" x14ac:dyDescent="0.25">
      <c r="A19" s="94">
        <v>2012</v>
      </c>
      <c r="B19" s="206" t="s">
        <v>17</v>
      </c>
      <c r="C19" s="95">
        <f>'Prijungimas prie CŠT'!I10</f>
        <v>69.933333333333337</v>
      </c>
      <c r="D19" s="95">
        <f>'Prijungimas prie CŠT'!J10</f>
        <v>45.833333333333336</v>
      </c>
      <c r="E19" s="96">
        <v>744</v>
      </c>
      <c r="F19" s="95">
        <v>55</v>
      </c>
      <c r="G19" s="95">
        <v>45</v>
      </c>
      <c r="H19" s="96">
        <v>0</v>
      </c>
      <c r="I19" s="95">
        <v>10</v>
      </c>
      <c r="J19" s="95">
        <f>'Prijungimas prie CŠT'!H10</f>
        <v>9.5999999999999979</v>
      </c>
      <c r="K19" s="95">
        <f>'Prijungimas prie CŠT'!F10</f>
        <v>16.600000000000001</v>
      </c>
    </row>
    <row r="20" spans="1:36" x14ac:dyDescent="0.25">
      <c r="A20" s="94">
        <v>2012</v>
      </c>
      <c r="B20" s="206" t="s">
        <v>18</v>
      </c>
      <c r="C20" s="95">
        <f>'Prijungimas prie CŠT'!I11</f>
        <v>67.766666666666666</v>
      </c>
      <c r="D20" s="95">
        <f>'Prijungimas prie CŠT'!J11</f>
        <v>46.8</v>
      </c>
      <c r="E20" s="96">
        <v>720</v>
      </c>
      <c r="F20" s="95">
        <v>55</v>
      </c>
      <c r="G20" s="95">
        <v>45</v>
      </c>
      <c r="H20" s="96">
        <v>0</v>
      </c>
      <c r="I20" s="95">
        <v>10</v>
      </c>
      <c r="J20" s="95">
        <f>'Prijungimas prie CŠT'!H11</f>
        <v>13.633333333333333</v>
      </c>
      <c r="K20" s="95">
        <f>'Prijungimas prie CŠT'!F11</f>
        <v>17.3</v>
      </c>
    </row>
    <row r="21" spans="1:36" x14ac:dyDescent="0.25">
      <c r="A21" s="94">
        <v>2012</v>
      </c>
      <c r="B21" s="206" t="s">
        <v>19</v>
      </c>
      <c r="C21" s="95">
        <f>'Prijungimas prie CŠT'!I12</f>
        <v>67.466666666666669</v>
      </c>
      <c r="D21" s="95">
        <f>'Prijungimas prie CŠT'!J12</f>
        <v>47.93333333333333</v>
      </c>
      <c r="E21" s="96">
        <v>744</v>
      </c>
      <c r="F21" s="95">
        <v>55</v>
      </c>
      <c r="G21" s="95">
        <v>45</v>
      </c>
      <c r="H21" s="96">
        <v>0</v>
      </c>
      <c r="I21" s="95">
        <v>10</v>
      </c>
      <c r="J21" s="95">
        <f>'Prijungimas prie CŠT'!H12</f>
        <v>16.666666666666668</v>
      </c>
      <c r="K21" s="95">
        <f>'Prijungimas prie CŠT'!F12</f>
        <v>19.8</v>
      </c>
    </row>
    <row r="22" spans="1:36" x14ac:dyDescent="0.25">
      <c r="A22" s="94">
        <v>2012</v>
      </c>
      <c r="B22" s="206" t="s">
        <v>20</v>
      </c>
      <c r="C22" s="95">
        <f>'Prijungimas prie CŠT'!I13</f>
        <v>66.433333333333337</v>
      </c>
      <c r="D22" s="95">
        <f>'Prijungimas prie CŠT'!J13</f>
        <v>47.199999999999996</v>
      </c>
      <c r="E22" s="96">
        <v>744</v>
      </c>
      <c r="F22" s="95">
        <v>55</v>
      </c>
      <c r="G22" s="95">
        <v>45</v>
      </c>
      <c r="H22" s="96">
        <v>0</v>
      </c>
      <c r="I22" s="95">
        <v>10</v>
      </c>
      <c r="J22" s="95">
        <f>'Prijungimas prie CŠT'!H13</f>
        <v>17.766666666666666</v>
      </c>
      <c r="K22" s="95">
        <f>'Prijungimas prie CŠT'!F13</f>
        <v>19.100000000000001</v>
      </c>
    </row>
    <row r="23" spans="1:36" x14ac:dyDescent="0.25">
      <c r="A23" s="94">
        <v>2012</v>
      </c>
      <c r="B23" s="206" t="s">
        <v>21</v>
      </c>
      <c r="C23" s="95">
        <f>'Prijungimas prie CŠT'!I14</f>
        <v>66</v>
      </c>
      <c r="D23" s="95">
        <f>'Prijungimas prie CŠT'!J14</f>
        <v>46.866666666666667</v>
      </c>
      <c r="E23" s="96">
        <v>720</v>
      </c>
      <c r="F23" s="95">
        <v>55</v>
      </c>
      <c r="G23" s="95">
        <v>45</v>
      </c>
      <c r="H23" s="96">
        <v>0</v>
      </c>
      <c r="I23" s="95">
        <v>10</v>
      </c>
      <c r="J23" s="95">
        <f>'Prijungimas prie CŠT'!H14</f>
        <v>15.266666666666667</v>
      </c>
      <c r="K23" s="95">
        <f>'Prijungimas prie CŠT'!F14</f>
        <v>14.6</v>
      </c>
    </row>
    <row r="24" spans="1:36" ht="15" customHeight="1" x14ac:dyDescent="0.25">
      <c r="A24" s="94">
        <v>2012</v>
      </c>
      <c r="B24" s="206" t="s">
        <v>22</v>
      </c>
      <c r="C24" s="95">
        <f>'Prijungimas prie CŠT'!I15</f>
        <v>69.338235294117652</v>
      </c>
      <c r="D24" s="95">
        <f>'Prijungimas prie CŠT'!J15</f>
        <v>43.205882352941174</v>
      </c>
      <c r="E24" s="96">
        <v>200</v>
      </c>
      <c r="F24" s="95">
        <v>55</v>
      </c>
      <c r="G24" s="95">
        <v>45</v>
      </c>
      <c r="H24" s="96">
        <v>0</v>
      </c>
      <c r="I24" s="95">
        <v>10</v>
      </c>
      <c r="J24" s="95">
        <f>'Prijungimas prie CŠT'!H15</f>
        <v>11.46</v>
      </c>
      <c r="K24" s="95">
        <f>'Prijungimas prie CŠT'!F15</f>
        <v>8</v>
      </c>
    </row>
    <row r="25" spans="1:36" ht="15" customHeight="1" x14ac:dyDescent="0.25">
      <c r="A25" s="505" t="s">
        <v>25</v>
      </c>
      <c r="B25" s="506"/>
      <c r="C25" s="251">
        <f>AVERAGE(C18:C24)</f>
        <v>68.068996019460414</v>
      </c>
      <c r="D25" s="251">
        <f>AVERAGE(D18:D24)</f>
        <v>45.639436827362523</v>
      </c>
      <c r="E25" s="250">
        <f>SUM(E18:E24)</f>
        <v>4288</v>
      </c>
      <c r="F25" s="251">
        <f>AVERAGE(F18:F24)</f>
        <v>55</v>
      </c>
      <c r="G25" s="251">
        <f>AVERAGE(G18:G24)</f>
        <v>45</v>
      </c>
      <c r="H25" s="250">
        <f>SUM(H18:H24)</f>
        <v>0</v>
      </c>
      <c r="I25" s="251">
        <f>AVERAGE(I18:I24)</f>
        <v>9.2857142857142865</v>
      </c>
      <c r="J25" s="251">
        <f>AVERAGE(J18:J24)</f>
        <v>12.57423558897243</v>
      </c>
      <c r="K25" s="251">
        <f>AVERAGE(K18:K24)</f>
        <v>15.071428571428571</v>
      </c>
    </row>
    <row r="26" spans="1:36" ht="15" customHeight="1" thickBot="1" x14ac:dyDescent="0.3">
      <c r="A26" s="211" t="s">
        <v>290</v>
      </c>
    </row>
    <row r="27" spans="1:36" ht="15" customHeight="1" x14ac:dyDescent="0.25">
      <c r="A27" s="211"/>
      <c r="F27" s="90"/>
      <c r="G27" s="90"/>
      <c r="H27" s="212"/>
      <c r="I27" s="90"/>
      <c r="J27" s="90"/>
      <c r="K27" s="90"/>
      <c r="O27" s="465" t="s">
        <v>277</v>
      </c>
      <c r="P27" s="466"/>
      <c r="Q27" s="466"/>
      <c r="R27" s="466"/>
      <c r="S27" s="466"/>
      <c r="T27" s="466"/>
      <c r="U27" s="466"/>
      <c r="V27" s="466"/>
      <c r="W27" s="467"/>
    </row>
    <row r="28" spans="1:36" ht="15.75" customHeight="1" x14ac:dyDescent="0.25">
      <c r="B28" s="503" t="s">
        <v>282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O28" s="485" t="s">
        <v>264</v>
      </c>
      <c r="P28" s="486"/>
      <c r="Q28" s="486"/>
      <c r="R28" s="486"/>
      <c r="S28" s="486"/>
      <c r="T28" s="486"/>
      <c r="U28" s="486"/>
      <c r="V28" s="488" t="s">
        <v>271</v>
      </c>
      <c r="W28" s="489"/>
    </row>
    <row r="29" spans="1:36" ht="15.75" customHeight="1" x14ac:dyDescent="0.25">
      <c r="B29" s="514"/>
      <c r="C29" s="514"/>
      <c r="D29" s="514"/>
      <c r="E29" s="514"/>
      <c r="F29" s="514"/>
      <c r="G29" s="514"/>
      <c r="H29" s="514"/>
      <c r="I29" s="514"/>
      <c r="J29" s="98" t="s">
        <v>143</v>
      </c>
      <c r="K29" s="490" t="s">
        <v>144</v>
      </c>
      <c r="L29" s="491"/>
      <c r="M29" s="100" t="s">
        <v>231</v>
      </c>
      <c r="N29" s="213"/>
      <c r="O29" s="487" t="s">
        <v>265</v>
      </c>
      <c r="P29" s="482"/>
      <c r="Q29" s="482"/>
      <c r="R29" s="482"/>
      <c r="S29" s="482"/>
      <c r="T29" s="482"/>
      <c r="U29" s="482"/>
      <c r="V29" s="531">
        <v>3.3000000000000002E-2</v>
      </c>
      <c r="W29" s="532"/>
    </row>
    <row r="30" spans="1:36" x14ac:dyDescent="0.25">
      <c r="B30" s="515" t="s">
        <v>160</v>
      </c>
      <c r="C30" s="515"/>
      <c r="D30" s="515"/>
      <c r="E30" s="515"/>
      <c r="F30" s="515"/>
      <c r="G30" s="515"/>
      <c r="H30" s="515"/>
      <c r="I30" s="515"/>
      <c r="J30" s="93">
        <v>3</v>
      </c>
      <c r="K30" s="490"/>
      <c r="L30" s="494"/>
      <c r="M30" s="101"/>
      <c r="N30" s="214"/>
      <c r="O30" s="487" t="s">
        <v>266</v>
      </c>
      <c r="P30" s="482"/>
      <c r="Q30" s="482"/>
      <c r="R30" s="482"/>
      <c r="S30" s="482"/>
      <c r="T30" s="482"/>
      <c r="U30" s="482"/>
      <c r="V30" s="531">
        <v>2.7E-2</v>
      </c>
      <c r="W30" s="532"/>
    </row>
    <row r="31" spans="1:36" ht="26.25" customHeight="1" x14ac:dyDescent="0.25">
      <c r="B31" s="516" t="s">
        <v>149</v>
      </c>
      <c r="C31" s="516"/>
      <c r="D31" s="516"/>
      <c r="E31" s="516"/>
      <c r="F31" s="516"/>
      <c r="G31" s="516"/>
      <c r="H31" s="516"/>
      <c r="I31" s="516"/>
      <c r="J31" s="215">
        <f>VLOOKUP($J$30,$B$45:$F$48,5,FALSE)</f>
        <v>2</v>
      </c>
      <c r="K31" s="476" t="s">
        <v>284</v>
      </c>
      <c r="L31" s="481"/>
      <c r="M31" s="101">
        <v>1.75</v>
      </c>
      <c r="N31" s="214"/>
      <c r="O31" s="487" t="s">
        <v>275</v>
      </c>
      <c r="P31" s="482"/>
      <c r="Q31" s="482"/>
      <c r="R31" s="482"/>
      <c r="S31" s="482"/>
      <c r="T31" s="482"/>
      <c r="U31" s="482"/>
      <c r="V31" s="531" t="s">
        <v>267</v>
      </c>
      <c r="W31" s="532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</row>
    <row r="32" spans="1:36" x14ac:dyDescent="0.25">
      <c r="B32" s="482" t="s">
        <v>155</v>
      </c>
      <c r="C32" s="482"/>
      <c r="D32" s="482"/>
      <c r="E32" s="482"/>
      <c r="F32" s="482"/>
      <c r="G32" s="482"/>
      <c r="H32" s="482"/>
      <c r="I32" s="482"/>
      <c r="J32" s="97">
        <v>3.3000000000000002E-2</v>
      </c>
      <c r="K32" s="492" t="s">
        <v>284</v>
      </c>
      <c r="L32" s="493"/>
      <c r="M32" s="101">
        <v>3.3000000000000002E-2</v>
      </c>
      <c r="N32" s="214"/>
      <c r="O32" s="487" t="s">
        <v>268</v>
      </c>
      <c r="P32" s="482"/>
      <c r="Q32" s="482"/>
      <c r="R32" s="482"/>
      <c r="S32" s="482"/>
      <c r="T32" s="482"/>
      <c r="U32" s="482"/>
      <c r="V32" s="531">
        <v>0.04</v>
      </c>
      <c r="W32" s="532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</row>
    <row r="33" spans="2:36" x14ac:dyDescent="0.25">
      <c r="B33" s="482" t="s">
        <v>156</v>
      </c>
      <c r="C33" s="482"/>
      <c r="D33" s="482"/>
      <c r="E33" s="482"/>
      <c r="F33" s="482"/>
      <c r="G33" s="482"/>
      <c r="H33" s="482"/>
      <c r="I33" s="482"/>
      <c r="J33" s="97">
        <v>2.7E-2</v>
      </c>
      <c r="K33" s="474" t="s">
        <v>284</v>
      </c>
      <c r="L33" s="469"/>
      <c r="M33" s="101" t="s">
        <v>233</v>
      </c>
      <c r="N33" s="214"/>
      <c r="O33" s="468" t="s">
        <v>269</v>
      </c>
      <c r="P33" s="469"/>
      <c r="Q33" s="469"/>
      <c r="R33" s="469"/>
      <c r="S33" s="469"/>
      <c r="T33" s="469"/>
      <c r="U33" s="470"/>
      <c r="V33" s="474">
        <v>0.05</v>
      </c>
      <c r="W33" s="475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</row>
    <row r="34" spans="2:36" x14ac:dyDescent="0.25">
      <c r="B34" s="478" t="s">
        <v>235</v>
      </c>
      <c r="C34" s="479"/>
      <c r="D34" s="479"/>
      <c r="E34" s="479"/>
      <c r="F34" s="479"/>
      <c r="G34" s="479"/>
      <c r="H34" s="479"/>
      <c r="I34" s="480"/>
      <c r="J34" s="97">
        <v>0.05</v>
      </c>
      <c r="K34" s="474" t="s">
        <v>284</v>
      </c>
      <c r="L34" s="469"/>
      <c r="M34" s="101" t="s">
        <v>263</v>
      </c>
      <c r="N34" s="214"/>
      <c r="O34" s="468" t="s">
        <v>270</v>
      </c>
      <c r="P34" s="469"/>
      <c r="Q34" s="469"/>
      <c r="R34" s="469"/>
      <c r="S34" s="469"/>
      <c r="T34" s="469"/>
      <c r="U34" s="470"/>
      <c r="V34" s="474">
        <v>0.04</v>
      </c>
      <c r="W34" s="475"/>
      <c r="Z34" s="217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</row>
    <row r="35" spans="2:36" ht="15.75" thickBot="1" x14ac:dyDescent="0.3">
      <c r="B35" s="478" t="s">
        <v>157</v>
      </c>
      <c r="C35" s="479"/>
      <c r="D35" s="479"/>
      <c r="E35" s="479"/>
      <c r="F35" s="479"/>
      <c r="G35" s="479"/>
      <c r="H35" s="479"/>
      <c r="I35" s="480"/>
      <c r="J35" s="99">
        <v>3.1E-2</v>
      </c>
      <c r="K35" s="476" t="s">
        <v>284</v>
      </c>
      <c r="L35" s="481"/>
      <c r="M35" s="101">
        <v>2.7E-2</v>
      </c>
      <c r="N35" s="214"/>
      <c r="O35" s="471" t="s">
        <v>276</v>
      </c>
      <c r="P35" s="472"/>
      <c r="Q35" s="472"/>
      <c r="R35" s="472"/>
      <c r="S35" s="472"/>
      <c r="T35" s="472"/>
      <c r="U35" s="473"/>
      <c r="V35" s="483">
        <v>7.0000000000000007E-2</v>
      </c>
      <c r="W35" s="484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</row>
    <row r="36" spans="2:36" x14ac:dyDescent="0.25">
      <c r="B36" s="482" t="s">
        <v>153</v>
      </c>
      <c r="C36" s="482"/>
      <c r="D36" s="482"/>
      <c r="E36" s="482"/>
      <c r="F36" s="482"/>
      <c r="G36" s="482"/>
      <c r="H36" s="482"/>
      <c r="I36" s="482"/>
      <c r="J36" s="99">
        <v>0.05</v>
      </c>
      <c r="K36" s="476" t="s">
        <v>284</v>
      </c>
      <c r="L36" s="481"/>
      <c r="M36" s="101" t="s">
        <v>263</v>
      </c>
      <c r="N36" s="214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</row>
    <row r="37" spans="2:36" x14ac:dyDescent="0.25">
      <c r="B37" s="482" t="s">
        <v>154</v>
      </c>
      <c r="C37" s="482"/>
      <c r="D37" s="482"/>
      <c r="E37" s="482"/>
      <c r="F37" s="482"/>
      <c r="G37" s="482"/>
      <c r="H37" s="482"/>
      <c r="I37" s="482"/>
      <c r="J37" s="99">
        <v>0.04</v>
      </c>
      <c r="K37" s="476" t="s">
        <v>284</v>
      </c>
      <c r="L37" s="477"/>
      <c r="M37" s="219">
        <v>0.04</v>
      </c>
      <c r="N37" s="220"/>
      <c r="O37" s="103"/>
      <c r="P37" s="103"/>
      <c r="Q37" s="103"/>
      <c r="R37" s="103"/>
      <c r="S37" s="103"/>
      <c r="T37" s="103"/>
      <c r="U37" s="103"/>
      <c r="V37" s="103"/>
      <c r="W37" s="103"/>
      <c r="Z37" s="221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</row>
    <row r="38" spans="2:36" ht="15" customHeight="1" x14ac:dyDescent="0.25">
      <c r="B38" s="515" t="s">
        <v>151</v>
      </c>
      <c r="C38" s="515"/>
      <c r="D38" s="515"/>
      <c r="E38" s="515"/>
      <c r="F38" s="515"/>
      <c r="G38" s="515"/>
      <c r="H38" s="515"/>
      <c r="I38" s="515"/>
      <c r="J38" s="93">
        <v>1E-3</v>
      </c>
      <c r="K38" s="490" t="s">
        <v>285</v>
      </c>
      <c r="L38" s="494"/>
      <c r="M38" s="101">
        <v>1E-3</v>
      </c>
      <c r="N38" s="223" t="s">
        <v>232</v>
      </c>
      <c r="O38" s="224"/>
      <c r="P38" s="103"/>
      <c r="Q38" s="103"/>
      <c r="R38" s="103"/>
      <c r="S38" s="103"/>
      <c r="T38" s="103"/>
      <c r="U38" s="103"/>
      <c r="V38" s="103"/>
      <c r="W38" s="103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</row>
    <row r="39" spans="2:36" ht="31.5" customHeight="1" x14ac:dyDescent="0.25">
      <c r="B39" s="478" t="s">
        <v>152</v>
      </c>
      <c r="C39" s="479"/>
      <c r="D39" s="479"/>
      <c r="E39" s="479"/>
      <c r="F39" s="479"/>
      <c r="G39" s="479"/>
      <c r="H39" s="479"/>
      <c r="I39" s="480"/>
      <c r="J39" s="99">
        <v>2E-3</v>
      </c>
      <c r="K39" s="476" t="s">
        <v>285</v>
      </c>
      <c r="L39" s="481"/>
      <c r="M39" s="101">
        <v>2E-3</v>
      </c>
      <c r="N39" s="225" t="s">
        <v>232</v>
      </c>
      <c r="O39" s="226"/>
      <c r="P39" s="103"/>
      <c r="Q39" s="103"/>
      <c r="R39" s="103"/>
      <c r="S39" s="103"/>
      <c r="T39" s="103"/>
      <c r="U39" s="103"/>
      <c r="V39" s="103"/>
      <c r="W39" s="103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</row>
    <row r="40" spans="2:36" ht="15" customHeight="1" x14ac:dyDescent="0.25">
      <c r="B40" s="495" t="s">
        <v>158</v>
      </c>
      <c r="C40" s="496"/>
      <c r="D40" s="496"/>
      <c r="E40" s="496"/>
      <c r="F40" s="496"/>
      <c r="G40" s="496"/>
      <c r="H40" s="496"/>
      <c r="I40" s="497"/>
      <c r="J40" s="93">
        <v>4</v>
      </c>
      <c r="K40" s="490" t="s">
        <v>159</v>
      </c>
      <c r="L40" s="494"/>
      <c r="M40" s="101">
        <v>4</v>
      </c>
      <c r="N40" s="223" t="s">
        <v>262</v>
      </c>
      <c r="O40" s="227"/>
      <c r="P40" s="227"/>
      <c r="Q40" s="227"/>
      <c r="R40" s="227"/>
      <c r="S40" s="227"/>
      <c r="T40" s="227"/>
      <c r="U40" s="227"/>
      <c r="V40" s="227"/>
      <c r="W40" s="224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</row>
    <row r="41" spans="2:36" ht="16.5" customHeight="1" x14ac:dyDescent="0.25">
      <c r="B41" s="515" t="s">
        <v>162</v>
      </c>
      <c r="C41" s="515"/>
      <c r="D41" s="515"/>
      <c r="E41" s="515"/>
      <c r="F41" s="515"/>
      <c r="G41" s="515"/>
      <c r="H41" s="515"/>
      <c r="I41" s="515"/>
      <c r="J41" s="93">
        <v>20</v>
      </c>
      <c r="K41" s="498" t="s">
        <v>286</v>
      </c>
      <c r="L41" s="494"/>
      <c r="M41" s="101">
        <v>5</v>
      </c>
      <c r="N41" s="522" t="s">
        <v>287</v>
      </c>
      <c r="O41" s="523"/>
      <c r="P41" s="523"/>
      <c r="Q41" s="523"/>
      <c r="R41" s="523"/>
      <c r="S41" s="523"/>
      <c r="T41" s="523"/>
      <c r="U41" s="523"/>
      <c r="V41" s="523"/>
      <c r="W41" s="524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</row>
    <row r="42" spans="2:36" ht="15" customHeight="1" x14ac:dyDescent="0.25">
      <c r="B42" s="515" t="s">
        <v>163</v>
      </c>
      <c r="C42" s="515"/>
      <c r="D42" s="515"/>
      <c r="E42" s="515"/>
      <c r="F42" s="515"/>
      <c r="G42" s="515"/>
      <c r="H42" s="515"/>
      <c r="I42" s="515"/>
      <c r="J42" s="93">
        <v>30</v>
      </c>
      <c r="K42" s="498" t="s">
        <v>286</v>
      </c>
      <c r="L42" s="494"/>
      <c r="M42" s="101">
        <v>5</v>
      </c>
      <c r="N42" s="525"/>
      <c r="O42" s="526"/>
      <c r="P42" s="526"/>
      <c r="Q42" s="526"/>
      <c r="R42" s="526"/>
      <c r="S42" s="526"/>
      <c r="T42" s="526"/>
      <c r="U42" s="526"/>
      <c r="V42" s="526"/>
      <c r="W42" s="527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</row>
    <row r="43" spans="2:36" ht="15.75" thickBot="1" x14ac:dyDescent="0.3">
      <c r="B43" s="517"/>
      <c r="C43" s="517"/>
      <c r="D43" s="517"/>
      <c r="E43" s="517"/>
    </row>
    <row r="44" spans="2:36" ht="45" customHeight="1" x14ac:dyDescent="0.25">
      <c r="B44" s="228" t="s">
        <v>288</v>
      </c>
      <c r="C44" s="507" t="s">
        <v>145</v>
      </c>
      <c r="D44" s="507"/>
      <c r="E44" s="507"/>
      <c r="F44" s="508" t="s">
        <v>150</v>
      </c>
      <c r="G44" s="508"/>
      <c r="M44" s="528" t="s">
        <v>283</v>
      </c>
      <c r="N44" s="529"/>
      <c r="O44" s="229"/>
      <c r="P44" s="229"/>
      <c r="Q44" s="229"/>
      <c r="R44" s="229"/>
      <c r="S44" s="229"/>
      <c r="T44" s="229"/>
      <c r="U44" s="229"/>
      <c r="V44" s="229"/>
      <c r="W44" s="230"/>
      <c r="X44" s="231"/>
      <c r="Y44" s="231"/>
      <c r="Z44" s="231"/>
      <c r="AA44" s="231"/>
    </row>
    <row r="45" spans="2:36" x14ac:dyDescent="0.25">
      <c r="B45" s="98">
        <v>1</v>
      </c>
      <c r="C45" s="495" t="s">
        <v>146</v>
      </c>
      <c r="D45" s="496"/>
      <c r="E45" s="497"/>
      <c r="F45" s="501">
        <v>1</v>
      </c>
      <c r="G45" s="501"/>
      <c r="M45" s="232" t="s">
        <v>244</v>
      </c>
      <c r="N45" s="233" t="s">
        <v>245</v>
      </c>
      <c r="O45" s="231"/>
      <c r="P45" s="231"/>
      <c r="Q45" s="231"/>
      <c r="R45" s="231"/>
      <c r="S45" s="231"/>
      <c r="T45" s="231"/>
      <c r="U45" s="231"/>
      <c r="V45" s="231"/>
      <c r="W45" s="234"/>
      <c r="X45" s="231"/>
      <c r="Y45" s="231"/>
      <c r="Z45" s="231"/>
      <c r="AA45" s="231"/>
    </row>
    <row r="46" spans="2:36" x14ac:dyDescent="0.25">
      <c r="B46" s="98">
        <v>2</v>
      </c>
      <c r="C46" s="495" t="s">
        <v>147</v>
      </c>
      <c r="D46" s="496"/>
      <c r="E46" s="497"/>
      <c r="F46" s="501">
        <v>1.75</v>
      </c>
      <c r="G46" s="501"/>
      <c r="M46" s="232" t="s">
        <v>246</v>
      </c>
      <c r="N46" s="235">
        <v>3.57</v>
      </c>
      <c r="O46" s="231"/>
      <c r="P46" s="231"/>
      <c r="Q46" s="231"/>
      <c r="R46" s="231"/>
      <c r="S46" s="231"/>
      <c r="T46" s="231"/>
      <c r="U46" s="231"/>
      <c r="V46" s="231"/>
      <c r="W46" s="234"/>
      <c r="X46" s="231"/>
      <c r="Y46" s="231"/>
      <c r="Z46" s="231"/>
      <c r="AA46" s="231"/>
    </row>
    <row r="47" spans="2:36" x14ac:dyDescent="0.25">
      <c r="B47" s="98">
        <v>3</v>
      </c>
      <c r="C47" s="495" t="s">
        <v>148</v>
      </c>
      <c r="D47" s="496"/>
      <c r="E47" s="497"/>
      <c r="F47" s="501">
        <v>2</v>
      </c>
      <c r="G47" s="501"/>
      <c r="M47" s="232" t="s">
        <v>247</v>
      </c>
      <c r="N47" s="235">
        <v>3.12</v>
      </c>
      <c r="O47" s="231"/>
      <c r="P47" s="231"/>
      <c r="Q47" s="231"/>
      <c r="R47" s="231"/>
      <c r="S47" s="231"/>
      <c r="T47" s="231"/>
      <c r="U47" s="231"/>
      <c r="V47" s="231"/>
      <c r="W47" s="234"/>
      <c r="X47" s="231"/>
      <c r="Y47" s="231"/>
      <c r="Z47" s="231"/>
      <c r="AA47" s="231"/>
    </row>
    <row r="48" spans="2:36" x14ac:dyDescent="0.25">
      <c r="B48" s="98">
        <v>4</v>
      </c>
      <c r="C48" s="495" t="s">
        <v>161</v>
      </c>
      <c r="D48" s="496"/>
      <c r="E48" s="497"/>
      <c r="F48" s="501">
        <v>2.5</v>
      </c>
      <c r="G48" s="501"/>
      <c r="M48" s="232" t="s">
        <v>248</v>
      </c>
      <c r="N48" s="235">
        <v>2.87</v>
      </c>
      <c r="O48" s="231"/>
      <c r="P48" s="231"/>
      <c r="Q48" s="231"/>
      <c r="R48" s="231"/>
      <c r="S48" s="231"/>
      <c r="T48" s="231"/>
      <c r="U48" s="231"/>
      <c r="V48" s="231"/>
      <c r="W48" s="234"/>
      <c r="X48" s="231"/>
      <c r="Y48" s="231"/>
      <c r="Z48" s="231"/>
      <c r="AA48" s="231"/>
    </row>
    <row r="49" spans="2:27" x14ac:dyDescent="0.25">
      <c r="M49" s="232" t="s">
        <v>249</v>
      </c>
      <c r="N49" s="235">
        <v>3.34</v>
      </c>
      <c r="O49" s="231"/>
      <c r="P49" s="231"/>
      <c r="Q49" s="231"/>
      <c r="R49" s="231"/>
      <c r="S49" s="231"/>
      <c r="T49" s="231"/>
      <c r="U49" s="231"/>
      <c r="V49" s="231"/>
      <c r="W49" s="234"/>
      <c r="X49" s="231"/>
      <c r="Y49" s="231"/>
      <c r="Z49" s="231"/>
      <c r="AA49" s="231"/>
    </row>
    <row r="50" spans="2:27" x14ac:dyDescent="0.25">
      <c r="M50" s="232" t="s">
        <v>250</v>
      </c>
      <c r="N50" s="235">
        <v>4.55</v>
      </c>
      <c r="O50" s="231"/>
      <c r="P50" s="231"/>
      <c r="Q50" s="231"/>
      <c r="R50" s="231"/>
      <c r="S50" s="231"/>
      <c r="T50" s="231"/>
      <c r="U50" s="231"/>
      <c r="V50" s="231"/>
      <c r="W50" s="234"/>
      <c r="X50" s="231"/>
      <c r="Y50" s="231"/>
      <c r="Z50" s="231"/>
      <c r="AA50" s="231"/>
    </row>
    <row r="51" spans="2:27" x14ac:dyDescent="0.25">
      <c r="B51" s="103" t="s">
        <v>164</v>
      </c>
      <c r="M51" s="232" t="s">
        <v>251</v>
      </c>
      <c r="N51" s="235">
        <v>3.42</v>
      </c>
      <c r="O51" s="231"/>
      <c r="P51" s="231"/>
      <c r="Q51" s="231"/>
      <c r="R51" s="231"/>
      <c r="S51" s="231"/>
      <c r="T51" s="231"/>
      <c r="U51" s="231"/>
      <c r="V51" s="231"/>
      <c r="W51" s="234"/>
      <c r="X51" s="231"/>
      <c r="Y51" s="231"/>
      <c r="Z51" s="231"/>
      <c r="AA51" s="231"/>
    </row>
    <row r="52" spans="2:27" x14ac:dyDescent="0.25">
      <c r="B52" s="103" t="s">
        <v>171</v>
      </c>
      <c r="M52" s="232" t="s">
        <v>252</v>
      </c>
      <c r="N52" s="235">
        <v>3.62</v>
      </c>
      <c r="O52" s="231"/>
      <c r="P52" s="231"/>
      <c r="Q52" s="231"/>
      <c r="R52" s="231"/>
      <c r="S52" s="231"/>
      <c r="T52" s="231"/>
      <c r="U52" s="231"/>
      <c r="V52" s="231"/>
      <c r="W52" s="234"/>
      <c r="X52" s="231"/>
      <c r="Y52" s="231"/>
      <c r="Z52" s="231"/>
      <c r="AA52" s="231"/>
    </row>
    <row r="53" spans="2:27" x14ac:dyDescent="0.25">
      <c r="B53" s="103" t="s">
        <v>172</v>
      </c>
      <c r="M53" s="232" t="s">
        <v>253</v>
      </c>
      <c r="N53" s="235">
        <v>2.64</v>
      </c>
      <c r="O53" s="231"/>
      <c r="P53" s="231"/>
      <c r="Q53" s="231"/>
      <c r="R53" s="231"/>
      <c r="S53" s="231"/>
      <c r="T53" s="231"/>
      <c r="U53" s="231"/>
      <c r="V53" s="231"/>
      <c r="W53" s="234"/>
      <c r="X53" s="231"/>
      <c r="Y53" s="231"/>
      <c r="Z53" s="231"/>
      <c r="AA53" s="231"/>
    </row>
    <row r="54" spans="2:27" x14ac:dyDescent="0.25">
      <c r="B54" s="103" t="s">
        <v>298</v>
      </c>
      <c r="M54" s="232" t="s">
        <v>254</v>
      </c>
      <c r="N54" s="235">
        <v>3.96</v>
      </c>
      <c r="O54" s="231"/>
      <c r="P54" s="231"/>
      <c r="Q54" s="231"/>
      <c r="R54" s="231"/>
      <c r="S54" s="231"/>
      <c r="T54" s="231"/>
      <c r="U54" s="231"/>
      <c r="V54" s="231"/>
      <c r="W54" s="234"/>
      <c r="X54" s="231"/>
      <c r="Y54" s="231"/>
      <c r="Z54" s="231"/>
      <c r="AA54" s="231"/>
    </row>
    <row r="55" spans="2:27" x14ac:dyDescent="0.25">
      <c r="B55" s="103" t="s">
        <v>173</v>
      </c>
      <c r="M55" s="232" t="s">
        <v>255</v>
      </c>
      <c r="N55" s="235">
        <v>3.84</v>
      </c>
      <c r="O55" s="231"/>
      <c r="P55" s="231"/>
      <c r="Q55" s="231"/>
      <c r="R55" s="231"/>
      <c r="S55" s="231"/>
      <c r="T55" s="231"/>
      <c r="U55" s="231"/>
      <c r="V55" s="231"/>
      <c r="W55" s="234"/>
      <c r="X55" s="231"/>
      <c r="Y55" s="231"/>
      <c r="Z55" s="231"/>
      <c r="AA55" s="231"/>
    </row>
    <row r="56" spans="2:27" x14ac:dyDescent="0.25">
      <c r="B56" s="103" t="s">
        <v>174</v>
      </c>
      <c r="M56" s="232" t="s">
        <v>256</v>
      </c>
      <c r="N56" s="235">
        <v>3.78</v>
      </c>
      <c r="O56" s="231"/>
      <c r="P56" s="231"/>
      <c r="Q56" s="231"/>
      <c r="R56" s="231"/>
      <c r="S56" s="231"/>
      <c r="T56" s="231"/>
      <c r="U56" s="231"/>
      <c r="V56" s="231"/>
      <c r="W56" s="234"/>
      <c r="X56" s="231"/>
      <c r="Y56" s="231"/>
      <c r="Z56" s="231"/>
      <c r="AA56" s="231"/>
    </row>
    <row r="57" spans="2:27" x14ac:dyDescent="0.25">
      <c r="B57" s="103" t="s">
        <v>177</v>
      </c>
      <c r="M57" s="232" t="s">
        <v>257</v>
      </c>
      <c r="N57" s="235">
        <v>3.98</v>
      </c>
      <c r="O57" s="231"/>
      <c r="P57" s="231"/>
      <c r="Q57" s="231"/>
      <c r="R57" s="231"/>
      <c r="S57" s="231"/>
      <c r="T57" s="231"/>
      <c r="U57" s="231"/>
      <c r="V57" s="231"/>
      <c r="W57" s="234"/>
      <c r="X57" s="231"/>
      <c r="Y57" s="231"/>
      <c r="Z57" s="231"/>
      <c r="AA57" s="231"/>
    </row>
    <row r="58" spans="2:27" x14ac:dyDescent="0.25">
      <c r="B58" s="103" t="s">
        <v>186</v>
      </c>
      <c r="M58" s="232" t="s">
        <v>258</v>
      </c>
      <c r="N58" s="235">
        <v>3.3</v>
      </c>
      <c r="O58" s="231"/>
      <c r="P58" s="231"/>
      <c r="Q58" s="231"/>
      <c r="R58" s="231"/>
      <c r="S58" s="231"/>
      <c r="T58" s="231"/>
      <c r="U58" s="231"/>
      <c r="V58" s="231"/>
      <c r="W58" s="234"/>
      <c r="X58" s="231"/>
      <c r="Y58" s="231"/>
      <c r="Z58" s="231"/>
      <c r="AA58" s="231"/>
    </row>
    <row r="59" spans="2:27" x14ac:dyDescent="0.25">
      <c r="B59" s="103" t="s">
        <v>221</v>
      </c>
      <c r="M59" s="232" t="s">
        <v>259</v>
      </c>
      <c r="N59" s="235">
        <v>3.45</v>
      </c>
      <c r="O59" s="231"/>
      <c r="P59" s="231"/>
      <c r="Q59" s="231"/>
      <c r="R59" s="231"/>
      <c r="S59" s="231"/>
      <c r="T59" s="231"/>
      <c r="U59" s="231"/>
      <c r="V59" s="231"/>
      <c r="W59" s="234"/>
      <c r="X59" s="231"/>
      <c r="Y59" s="231"/>
      <c r="Z59" s="231"/>
      <c r="AA59" s="231"/>
    </row>
    <row r="60" spans="2:27" x14ac:dyDescent="0.25">
      <c r="B60" s="103" t="s">
        <v>175</v>
      </c>
      <c r="M60" s="232" t="s">
        <v>260</v>
      </c>
      <c r="N60" s="235">
        <v>2.52</v>
      </c>
      <c r="O60" s="231"/>
      <c r="P60" s="231"/>
      <c r="Q60" s="231"/>
      <c r="R60" s="231"/>
      <c r="S60" s="231"/>
      <c r="T60" s="231"/>
      <c r="U60" s="231"/>
      <c r="V60" s="231"/>
      <c r="W60" s="234"/>
      <c r="X60" s="231"/>
      <c r="Y60" s="231"/>
      <c r="Z60" s="231"/>
      <c r="AA60" s="231"/>
    </row>
    <row r="61" spans="2:27" x14ac:dyDescent="0.25">
      <c r="B61" s="103" t="s">
        <v>176</v>
      </c>
      <c r="M61" s="232" t="s">
        <v>261</v>
      </c>
      <c r="N61" s="235">
        <v>3.38</v>
      </c>
      <c r="O61" s="231"/>
      <c r="P61" s="231"/>
      <c r="Q61" s="231"/>
      <c r="R61" s="231"/>
      <c r="S61" s="231"/>
      <c r="T61" s="231"/>
      <c r="U61" s="231"/>
      <c r="V61" s="231"/>
      <c r="W61" s="234"/>
      <c r="X61" s="231"/>
      <c r="Y61" s="231"/>
      <c r="Z61" s="231"/>
      <c r="AA61" s="231"/>
    </row>
    <row r="62" spans="2:27" ht="15.75" thickBot="1" x14ac:dyDescent="0.3">
      <c r="B62" s="103"/>
      <c r="M62" s="236" t="s">
        <v>273</v>
      </c>
      <c r="N62" s="237"/>
      <c r="O62" s="238"/>
      <c r="P62" s="238"/>
      <c r="Q62" s="238"/>
      <c r="R62" s="238"/>
      <c r="S62" s="238"/>
      <c r="T62" s="238"/>
      <c r="U62" s="238"/>
      <c r="V62" s="238"/>
      <c r="W62" s="239"/>
      <c r="X62" s="231"/>
      <c r="Y62" s="231"/>
      <c r="Z62" s="231"/>
      <c r="AA62" s="231"/>
    </row>
    <row r="63" spans="2:27" x14ac:dyDescent="0.25">
      <c r="B63" s="103" t="s">
        <v>291</v>
      </c>
    </row>
    <row r="64" spans="2:27" x14ac:dyDescent="0.25">
      <c r="B64" s="103" t="s">
        <v>236</v>
      </c>
    </row>
    <row r="65" spans="2:13" s="240" customFormat="1" ht="26.25" customHeight="1" x14ac:dyDescent="0.25">
      <c r="B65" s="502" t="s">
        <v>165</v>
      </c>
      <c r="C65" s="502"/>
      <c r="D65" s="502" t="s">
        <v>167</v>
      </c>
      <c r="E65" s="502"/>
      <c r="F65" s="502" t="s">
        <v>166</v>
      </c>
      <c r="G65" s="502"/>
      <c r="H65" s="502" t="s">
        <v>168</v>
      </c>
      <c r="I65" s="502"/>
      <c r="M65" s="241" t="s">
        <v>274</v>
      </c>
    </row>
    <row r="66" spans="2:13" x14ac:dyDescent="0.25">
      <c r="B66" s="500">
        <v>20</v>
      </c>
      <c r="C66" s="500"/>
      <c r="D66" s="500">
        <v>26.9</v>
      </c>
      <c r="E66" s="500"/>
      <c r="F66" s="500">
        <v>2.6</v>
      </c>
      <c r="G66" s="500"/>
      <c r="H66" s="499">
        <f t="shared" ref="H66:H91" si="0">D66-2*F66</f>
        <v>21.7</v>
      </c>
      <c r="I66" s="499"/>
      <c r="M66" s="242"/>
    </row>
    <row r="67" spans="2:13" x14ac:dyDescent="0.25">
      <c r="B67" s="500">
        <v>25</v>
      </c>
      <c r="C67" s="500"/>
      <c r="D67" s="500">
        <v>33.700000000000003</v>
      </c>
      <c r="E67" s="500"/>
      <c r="F67" s="500">
        <v>2.6</v>
      </c>
      <c r="G67" s="500"/>
      <c r="H67" s="499">
        <f t="shared" si="0"/>
        <v>28.500000000000004</v>
      </c>
      <c r="I67" s="499"/>
      <c r="M67" s="243"/>
    </row>
    <row r="68" spans="2:13" x14ac:dyDescent="0.25">
      <c r="B68" s="500">
        <v>32</v>
      </c>
      <c r="C68" s="500"/>
      <c r="D68" s="500">
        <v>42.4</v>
      </c>
      <c r="E68" s="500"/>
      <c r="F68" s="500">
        <v>2.6</v>
      </c>
      <c r="G68" s="500"/>
      <c r="H68" s="499">
        <f t="shared" si="0"/>
        <v>37.199999999999996</v>
      </c>
      <c r="I68" s="499"/>
      <c r="M68" s="243"/>
    </row>
    <row r="69" spans="2:13" x14ac:dyDescent="0.25">
      <c r="B69" s="500">
        <v>40</v>
      </c>
      <c r="C69" s="500"/>
      <c r="D69" s="500">
        <v>48.3</v>
      </c>
      <c r="E69" s="500"/>
      <c r="F69" s="500">
        <v>2.6</v>
      </c>
      <c r="G69" s="500"/>
      <c r="H69" s="499">
        <f t="shared" si="0"/>
        <v>43.099999999999994</v>
      </c>
      <c r="I69" s="499"/>
    </row>
    <row r="70" spans="2:13" x14ac:dyDescent="0.25">
      <c r="B70" s="500">
        <v>50</v>
      </c>
      <c r="C70" s="500"/>
      <c r="D70" s="500">
        <v>60.3</v>
      </c>
      <c r="E70" s="500"/>
      <c r="F70" s="500">
        <v>2.9</v>
      </c>
      <c r="G70" s="500"/>
      <c r="H70" s="499">
        <f t="shared" si="0"/>
        <v>54.5</v>
      </c>
      <c r="I70" s="499"/>
    </row>
    <row r="71" spans="2:13" x14ac:dyDescent="0.25">
      <c r="B71" s="500">
        <v>65</v>
      </c>
      <c r="C71" s="500"/>
      <c r="D71" s="500">
        <v>76.099999999999994</v>
      </c>
      <c r="E71" s="500"/>
      <c r="F71" s="500">
        <v>2.9</v>
      </c>
      <c r="G71" s="500"/>
      <c r="H71" s="499">
        <f t="shared" si="0"/>
        <v>70.3</v>
      </c>
      <c r="I71" s="499"/>
    </row>
    <row r="72" spans="2:13" x14ac:dyDescent="0.25">
      <c r="B72" s="500">
        <v>80</v>
      </c>
      <c r="C72" s="500"/>
      <c r="D72" s="500">
        <v>88.9</v>
      </c>
      <c r="E72" s="500"/>
      <c r="F72" s="500">
        <v>3.2</v>
      </c>
      <c r="G72" s="500"/>
      <c r="H72" s="499">
        <f t="shared" si="0"/>
        <v>82.5</v>
      </c>
      <c r="I72" s="499"/>
    </row>
    <row r="73" spans="2:13" x14ac:dyDescent="0.25">
      <c r="B73" s="500">
        <v>100</v>
      </c>
      <c r="C73" s="500"/>
      <c r="D73" s="500">
        <v>114.3</v>
      </c>
      <c r="E73" s="500"/>
      <c r="F73" s="500">
        <v>3.6</v>
      </c>
      <c r="G73" s="500"/>
      <c r="H73" s="499">
        <f t="shared" si="0"/>
        <v>107.1</v>
      </c>
      <c r="I73" s="499"/>
    </row>
    <row r="74" spans="2:13" x14ac:dyDescent="0.25">
      <c r="B74" s="500">
        <v>125</v>
      </c>
      <c r="C74" s="500"/>
      <c r="D74" s="500">
        <v>139.69999999999999</v>
      </c>
      <c r="E74" s="500"/>
      <c r="F74" s="500">
        <v>3.6</v>
      </c>
      <c r="G74" s="500"/>
      <c r="H74" s="499">
        <f t="shared" si="0"/>
        <v>132.5</v>
      </c>
      <c r="I74" s="499"/>
    </row>
    <row r="75" spans="2:13" x14ac:dyDescent="0.25">
      <c r="B75" s="500">
        <v>150</v>
      </c>
      <c r="C75" s="500"/>
      <c r="D75" s="500">
        <v>168.3</v>
      </c>
      <c r="E75" s="500"/>
      <c r="F75" s="500">
        <v>4</v>
      </c>
      <c r="G75" s="500"/>
      <c r="H75" s="499">
        <f t="shared" si="0"/>
        <v>160.30000000000001</v>
      </c>
      <c r="I75" s="499"/>
    </row>
    <row r="76" spans="2:13" x14ac:dyDescent="0.25">
      <c r="B76" s="500">
        <v>175</v>
      </c>
      <c r="C76" s="500"/>
      <c r="D76" s="500">
        <v>194</v>
      </c>
      <c r="E76" s="500"/>
      <c r="F76" s="500">
        <v>5</v>
      </c>
      <c r="G76" s="500"/>
      <c r="H76" s="499">
        <f t="shared" si="0"/>
        <v>184</v>
      </c>
      <c r="I76" s="499"/>
    </row>
    <row r="77" spans="2:13" x14ac:dyDescent="0.25">
      <c r="B77" s="500">
        <v>200</v>
      </c>
      <c r="C77" s="500"/>
      <c r="D77" s="500">
        <v>219.1</v>
      </c>
      <c r="E77" s="500"/>
      <c r="F77" s="500">
        <v>4.5</v>
      </c>
      <c r="G77" s="500"/>
      <c r="H77" s="499">
        <f t="shared" si="0"/>
        <v>210.1</v>
      </c>
      <c r="I77" s="499"/>
    </row>
    <row r="78" spans="2:13" x14ac:dyDescent="0.25">
      <c r="B78" s="500">
        <v>250</v>
      </c>
      <c r="C78" s="500"/>
      <c r="D78" s="500">
        <v>273</v>
      </c>
      <c r="E78" s="500"/>
      <c r="F78" s="500">
        <v>5</v>
      </c>
      <c r="G78" s="500"/>
      <c r="H78" s="499">
        <f t="shared" si="0"/>
        <v>263</v>
      </c>
      <c r="I78" s="499"/>
    </row>
    <row r="79" spans="2:13" x14ac:dyDescent="0.25">
      <c r="B79" s="500">
        <v>300</v>
      </c>
      <c r="C79" s="500"/>
      <c r="D79" s="500">
        <v>323.89999999999998</v>
      </c>
      <c r="E79" s="500"/>
      <c r="F79" s="500">
        <v>5.6</v>
      </c>
      <c r="G79" s="500"/>
      <c r="H79" s="499">
        <f t="shared" si="0"/>
        <v>312.7</v>
      </c>
      <c r="I79" s="499"/>
    </row>
    <row r="80" spans="2:13" x14ac:dyDescent="0.25">
      <c r="B80" s="500">
        <v>350</v>
      </c>
      <c r="C80" s="500"/>
      <c r="D80" s="500">
        <v>355.6</v>
      </c>
      <c r="E80" s="500"/>
      <c r="F80" s="500">
        <v>5.6</v>
      </c>
      <c r="G80" s="500"/>
      <c r="H80" s="499">
        <f t="shared" si="0"/>
        <v>344.40000000000003</v>
      </c>
      <c r="I80" s="499"/>
    </row>
    <row r="81" spans="2:9" x14ac:dyDescent="0.25">
      <c r="B81" s="500">
        <v>400</v>
      </c>
      <c r="C81" s="500"/>
      <c r="D81" s="500">
        <v>406.4</v>
      </c>
      <c r="E81" s="500"/>
      <c r="F81" s="511">
        <v>6.3</v>
      </c>
      <c r="G81" s="511"/>
      <c r="H81" s="499">
        <f t="shared" si="0"/>
        <v>393.79999999999995</v>
      </c>
      <c r="I81" s="499"/>
    </row>
    <row r="82" spans="2:9" x14ac:dyDescent="0.25">
      <c r="B82" s="509">
        <v>450</v>
      </c>
      <c r="C82" s="509"/>
      <c r="D82" s="509">
        <v>457</v>
      </c>
      <c r="E82" s="509"/>
      <c r="F82" s="509">
        <v>6.3</v>
      </c>
      <c r="G82" s="509"/>
      <c r="H82" s="510">
        <f t="shared" si="0"/>
        <v>444.4</v>
      </c>
      <c r="I82" s="510"/>
    </row>
    <row r="83" spans="2:9" x14ac:dyDescent="0.25">
      <c r="B83" s="509">
        <v>500</v>
      </c>
      <c r="C83" s="509"/>
      <c r="D83" s="509">
        <v>508</v>
      </c>
      <c r="E83" s="509"/>
      <c r="F83" s="509">
        <v>6.3</v>
      </c>
      <c r="G83" s="509"/>
      <c r="H83" s="510">
        <f t="shared" si="0"/>
        <v>495.4</v>
      </c>
      <c r="I83" s="510"/>
    </row>
    <row r="84" spans="2:9" x14ac:dyDescent="0.25">
      <c r="B84" s="509">
        <v>550</v>
      </c>
      <c r="C84" s="509"/>
      <c r="D84" s="509">
        <v>559</v>
      </c>
      <c r="E84" s="509"/>
      <c r="F84" s="509">
        <v>6.3</v>
      </c>
      <c r="G84" s="509"/>
      <c r="H84" s="510">
        <f t="shared" si="0"/>
        <v>546.4</v>
      </c>
      <c r="I84" s="510"/>
    </row>
    <row r="85" spans="2:9" x14ac:dyDescent="0.25">
      <c r="B85" s="509">
        <v>600</v>
      </c>
      <c r="C85" s="509"/>
      <c r="D85" s="509">
        <v>610</v>
      </c>
      <c r="E85" s="509"/>
      <c r="F85" s="509">
        <v>7.1</v>
      </c>
      <c r="G85" s="509"/>
      <c r="H85" s="510">
        <f t="shared" si="0"/>
        <v>595.79999999999995</v>
      </c>
      <c r="I85" s="510"/>
    </row>
    <row r="86" spans="2:9" x14ac:dyDescent="0.25">
      <c r="B86" s="510">
        <v>700</v>
      </c>
      <c r="C86" s="510"/>
      <c r="D86" s="510">
        <v>711</v>
      </c>
      <c r="E86" s="510"/>
      <c r="F86" s="510">
        <v>8</v>
      </c>
      <c r="G86" s="510"/>
      <c r="H86" s="510">
        <f t="shared" si="0"/>
        <v>695</v>
      </c>
      <c r="I86" s="510"/>
    </row>
    <row r="87" spans="2:9" x14ac:dyDescent="0.25">
      <c r="B87" s="499">
        <v>800</v>
      </c>
      <c r="C87" s="499"/>
      <c r="D87" s="499">
        <v>813</v>
      </c>
      <c r="E87" s="499"/>
      <c r="F87" s="499">
        <v>8.8000000000000007</v>
      </c>
      <c r="G87" s="499"/>
      <c r="H87" s="499">
        <f t="shared" si="0"/>
        <v>795.4</v>
      </c>
      <c r="I87" s="499"/>
    </row>
    <row r="88" spans="2:9" x14ac:dyDescent="0.25">
      <c r="B88" s="499">
        <v>900</v>
      </c>
      <c r="C88" s="499"/>
      <c r="D88" s="499">
        <v>914</v>
      </c>
      <c r="E88" s="499"/>
      <c r="F88" s="499">
        <v>10</v>
      </c>
      <c r="G88" s="499"/>
      <c r="H88" s="499">
        <f t="shared" si="0"/>
        <v>894</v>
      </c>
      <c r="I88" s="499"/>
    </row>
    <row r="89" spans="2:9" x14ac:dyDescent="0.25">
      <c r="B89" s="499">
        <v>1000</v>
      </c>
      <c r="C89" s="499"/>
      <c r="D89" s="499">
        <v>1016</v>
      </c>
      <c r="E89" s="499"/>
      <c r="F89" s="499">
        <v>11</v>
      </c>
      <c r="G89" s="499"/>
      <c r="H89" s="499">
        <f t="shared" si="0"/>
        <v>994</v>
      </c>
      <c r="I89" s="499"/>
    </row>
    <row r="90" spans="2:9" x14ac:dyDescent="0.25">
      <c r="B90" s="499">
        <v>1100</v>
      </c>
      <c r="C90" s="499"/>
      <c r="D90" s="499">
        <v>1118</v>
      </c>
      <c r="E90" s="499"/>
      <c r="F90" s="499">
        <v>11</v>
      </c>
      <c r="G90" s="499"/>
      <c r="H90" s="499">
        <f t="shared" si="0"/>
        <v>1096</v>
      </c>
      <c r="I90" s="499"/>
    </row>
    <row r="91" spans="2:9" x14ac:dyDescent="0.25">
      <c r="B91" s="499">
        <v>1200</v>
      </c>
      <c r="C91" s="499"/>
      <c r="D91" s="499">
        <v>1219</v>
      </c>
      <c r="E91" s="499"/>
      <c r="F91" s="499">
        <v>12.5</v>
      </c>
      <c r="G91" s="499"/>
      <c r="H91" s="499">
        <f t="shared" si="0"/>
        <v>1194</v>
      </c>
      <c r="I91" s="499"/>
    </row>
    <row r="93" spans="2:9" x14ac:dyDescent="0.25">
      <c r="B93" s="244" t="s">
        <v>169</v>
      </c>
    </row>
    <row r="94" spans="2:9" x14ac:dyDescent="0.25">
      <c r="B94" s="245" t="s">
        <v>292</v>
      </c>
    </row>
    <row r="95" spans="2:9" x14ac:dyDescent="0.25">
      <c r="B95" s="245" t="s">
        <v>170</v>
      </c>
    </row>
    <row r="96" spans="2:9" x14ac:dyDescent="0.25">
      <c r="B96" s="245" t="s">
        <v>237</v>
      </c>
    </row>
    <row r="97" spans="2:2" x14ac:dyDescent="0.25">
      <c r="B97" s="245" t="s">
        <v>293</v>
      </c>
    </row>
    <row r="99" spans="2:2" x14ac:dyDescent="0.25">
      <c r="B99" s="246" t="s">
        <v>181</v>
      </c>
    </row>
    <row r="100" spans="2:2" x14ac:dyDescent="0.25">
      <c r="B100" s="102" t="s">
        <v>294</v>
      </c>
    </row>
    <row r="101" spans="2:2" x14ac:dyDescent="0.25">
      <c r="B101" s="102" t="s">
        <v>182</v>
      </c>
    </row>
    <row r="102" spans="2:2" x14ac:dyDescent="0.25">
      <c r="B102" s="246"/>
    </row>
    <row r="103" spans="2:2" x14ac:dyDescent="0.25">
      <c r="B103" s="102" t="s">
        <v>295</v>
      </c>
    </row>
    <row r="104" spans="2:2" x14ac:dyDescent="0.25">
      <c r="B104" s="102" t="s">
        <v>222</v>
      </c>
    </row>
    <row r="105" spans="2:2" x14ac:dyDescent="0.25">
      <c r="B105" s="102" t="s">
        <v>223</v>
      </c>
    </row>
    <row r="106" spans="2:2" x14ac:dyDescent="0.25">
      <c r="B106" s="102" t="s">
        <v>224</v>
      </c>
    </row>
    <row r="107" spans="2:2" x14ac:dyDescent="0.25">
      <c r="B107" s="102" t="s">
        <v>225</v>
      </c>
    </row>
    <row r="108" spans="2:2" x14ac:dyDescent="0.25">
      <c r="B108" s="102" t="s">
        <v>226</v>
      </c>
    </row>
    <row r="109" spans="2:2" x14ac:dyDescent="0.25">
      <c r="B109" s="102" t="s">
        <v>227</v>
      </c>
    </row>
    <row r="110" spans="2:2" x14ac:dyDescent="0.25">
      <c r="B110" s="102" t="s">
        <v>228</v>
      </c>
    </row>
    <row r="111" spans="2:2" x14ac:dyDescent="0.25">
      <c r="B111" s="102" t="s">
        <v>229</v>
      </c>
    </row>
    <row r="112" spans="2:2" x14ac:dyDescent="0.25">
      <c r="B112" s="102"/>
    </row>
    <row r="113" spans="2:18" x14ac:dyDescent="0.25">
      <c r="B113" s="102" t="s">
        <v>230</v>
      </c>
    </row>
    <row r="114" spans="2:18" s="222" customFormat="1" ht="51" customHeight="1" x14ac:dyDescent="0.2">
      <c r="B114" s="513" t="s">
        <v>178</v>
      </c>
      <c r="C114" s="513"/>
      <c r="D114" s="513" t="s">
        <v>179</v>
      </c>
      <c r="E114" s="513"/>
      <c r="F114" s="513" t="s">
        <v>183</v>
      </c>
      <c r="G114" s="513"/>
      <c r="H114" s="513" t="s">
        <v>289</v>
      </c>
      <c r="I114" s="513"/>
      <c r="J114" s="520" t="s">
        <v>180</v>
      </c>
      <c r="K114" s="520"/>
      <c r="Q114" s="247"/>
      <c r="R114" s="247"/>
    </row>
    <row r="115" spans="2:18" ht="15.75" x14ac:dyDescent="0.25">
      <c r="B115" s="512">
        <v>25</v>
      </c>
      <c r="C115" s="512"/>
      <c r="D115" s="518">
        <v>90</v>
      </c>
      <c r="E115" s="518"/>
      <c r="F115" s="519">
        <v>0.75</v>
      </c>
      <c r="G115" s="519"/>
      <c r="H115" s="518">
        <f>F115+(D115/1000/2)</f>
        <v>0.79500000000000004</v>
      </c>
      <c r="I115" s="518"/>
      <c r="J115" s="519">
        <f>F115+(D115/1000)+0.1</f>
        <v>0.94</v>
      </c>
      <c r="K115" s="519"/>
      <c r="Q115" s="80"/>
      <c r="R115" s="80"/>
    </row>
    <row r="116" spans="2:18" ht="15.75" x14ac:dyDescent="0.25">
      <c r="B116" s="512">
        <v>32</v>
      </c>
      <c r="C116" s="512"/>
      <c r="D116" s="518">
        <v>110</v>
      </c>
      <c r="E116" s="518"/>
      <c r="F116" s="519">
        <v>0.75</v>
      </c>
      <c r="G116" s="519"/>
      <c r="H116" s="518">
        <f t="shared" ref="H116:H138" si="1">F116+(D116/1000/2)</f>
        <v>0.80500000000000005</v>
      </c>
      <c r="I116" s="518"/>
      <c r="J116" s="519">
        <f t="shared" ref="J116:J138" si="2">F116+(D116/1000)+0.1</f>
        <v>0.96</v>
      </c>
      <c r="K116" s="519"/>
      <c r="Q116" s="80"/>
      <c r="R116" s="80"/>
    </row>
    <row r="117" spans="2:18" ht="15.75" x14ac:dyDescent="0.25">
      <c r="B117" s="512">
        <v>40</v>
      </c>
      <c r="C117" s="512"/>
      <c r="D117" s="518">
        <v>110</v>
      </c>
      <c r="E117" s="518"/>
      <c r="F117" s="519">
        <v>0.75</v>
      </c>
      <c r="G117" s="519"/>
      <c r="H117" s="518">
        <f t="shared" si="1"/>
        <v>0.80500000000000005</v>
      </c>
      <c r="I117" s="518"/>
      <c r="J117" s="519">
        <f t="shared" si="2"/>
        <v>0.96</v>
      </c>
      <c r="K117" s="519"/>
      <c r="Q117" s="80"/>
      <c r="R117" s="80"/>
    </row>
    <row r="118" spans="2:18" ht="15.75" x14ac:dyDescent="0.25">
      <c r="B118" s="512">
        <v>50</v>
      </c>
      <c r="C118" s="512"/>
      <c r="D118" s="518">
        <v>125</v>
      </c>
      <c r="E118" s="518"/>
      <c r="F118" s="519">
        <v>0.75</v>
      </c>
      <c r="G118" s="519"/>
      <c r="H118" s="518">
        <f t="shared" si="1"/>
        <v>0.8125</v>
      </c>
      <c r="I118" s="518"/>
      <c r="J118" s="519">
        <f t="shared" si="2"/>
        <v>0.97499999999999998</v>
      </c>
      <c r="K118" s="519"/>
      <c r="Q118" s="80"/>
      <c r="R118" s="80"/>
    </row>
    <row r="119" spans="2:18" ht="15.75" x14ac:dyDescent="0.25">
      <c r="B119" s="512">
        <v>65</v>
      </c>
      <c r="C119" s="512"/>
      <c r="D119" s="518">
        <v>140</v>
      </c>
      <c r="E119" s="518"/>
      <c r="F119" s="519">
        <v>0.75</v>
      </c>
      <c r="G119" s="519"/>
      <c r="H119" s="518">
        <f t="shared" si="1"/>
        <v>0.82000000000000006</v>
      </c>
      <c r="I119" s="518"/>
      <c r="J119" s="519">
        <f t="shared" si="2"/>
        <v>0.99</v>
      </c>
      <c r="K119" s="519"/>
      <c r="Q119" s="80"/>
      <c r="R119" s="80"/>
    </row>
    <row r="120" spans="2:18" ht="15.75" x14ac:dyDescent="0.25">
      <c r="B120" s="512">
        <v>80</v>
      </c>
      <c r="C120" s="512"/>
      <c r="D120" s="518">
        <v>160</v>
      </c>
      <c r="E120" s="518"/>
      <c r="F120" s="519">
        <v>0.75</v>
      </c>
      <c r="G120" s="519"/>
      <c r="H120" s="518">
        <f t="shared" si="1"/>
        <v>0.83</v>
      </c>
      <c r="I120" s="518"/>
      <c r="J120" s="519">
        <f t="shared" si="2"/>
        <v>1.01</v>
      </c>
      <c r="K120" s="519"/>
      <c r="Q120" s="80"/>
      <c r="R120" s="80"/>
    </row>
    <row r="121" spans="2:18" ht="15.75" x14ac:dyDescent="0.25">
      <c r="B121" s="512">
        <v>100</v>
      </c>
      <c r="C121" s="512"/>
      <c r="D121" s="518">
        <v>200</v>
      </c>
      <c r="E121" s="518"/>
      <c r="F121" s="519">
        <v>0.75</v>
      </c>
      <c r="G121" s="519"/>
      <c r="H121" s="518">
        <f t="shared" si="1"/>
        <v>0.85</v>
      </c>
      <c r="I121" s="518"/>
      <c r="J121" s="519">
        <f t="shared" si="2"/>
        <v>1.05</v>
      </c>
      <c r="K121" s="519"/>
      <c r="Q121" s="80"/>
      <c r="R121" s="80"/>
    </row>
    <row r="122" spans="2:18" ht="15.75" x14ac:dyDescent="0.25">
      <c r="B122" s="512">
        <v>125</v>
      </c>
      <c r="C122" s="512"/>
      <c r="D122" s="518">
        <v>225</v>
      </c>
      <c r="E122" s="518"/>
      <c r="F122" s="519">
        <v>0.75</v>
      </c>
      <c r="G122" s="519"/>
      <c r="H122" s="518">
        <f t="shared" si="1"/>
        <v>0.86250000000000004</v>
      </c>
      <c r="I122" s="518"/>
      <c r="J122" s="519">
        <f t="shared" si="2"/>
        <v>1.075</v>
      </c>
      <c r="K122" s="519"/>
      <c r="Q122" s="80"/>
      <c r="R122" s="80"/>
    </row>
    <row r="123" spans="2:18" ht="15.75" x14ac:dyDescent="0.25">
      <c r="B123" s="512">
        <v>150</v>
      </c>
      <c r="C123" s="512"/>
      <c r="D123" s="518">
        <v>250</v>
      </c>
      <c r="E123" s="518"/>
      <c r="F123" s="519">
        <v>0.75</v>
      </c>
      <c r="G123" s="519"/>
      <c r="H123" s="518">
        <f t="shared" si="1"/>
        <v>0.875</v>
      </c>
      <c r="I123" s="518"/>
      <c r="J123" s="519">
        <f t="shared" si="2"/>
        <v>1.1000000000000001</v>
      </c>
      <c r="K123" s="519"/>
      <c r="Q123" s="80"/>
      <c r="R123" s="80"/>
    </row>
    <row r="124" spans="2:18" ht="15.75" x14ac:dyDescent="0.25">
      <c r="B124" s="512">
        <v>175</v>
      </c>
      <c r="C124" s="512"/>
      <c r="D124" s="518">
        <v>275</v>
      </c>
      <c r="E124" s="518"/>
      <c r="F124" s="519">
        <v>0.75</v>
      </c>
      <c r="G124" s="519"/>
      <c r="H124" s="518">
        <f t="shared" si="1"/>
        <v>0.88749999999999996</v>
      </c>
      <c r="I124" s="518"/>
      <c r="J124" s="519">
        <f t="shared" si="2"/>
        <v>1.125</v>
      </c>
      <c r="K124" s="519"/>
      <c r="Q124" s="80"/>
      <c r="R124" s="80"/>
    </row>
    <row r="125" spans="2:18" ht="15.75" x14ac:dyDescent="0.25">
      <c r="B125" s="512">
        <v>200</v>
      </c>
      <c r="C125" s="512"/>
      <c r="D125" s="518">
        <v>315</v>
      </c>
      <c r="E125" s="518"/>
      <c r="F125" s="519">
        <v>0.75</v>
      </c>
      <c r="G125" s="519"/>
      <c r="H125" s="518">
        <f t="shared" si="1"/>
        <v>0.90749999999999997</v>
      </c>
      <c r="I125" s="518"/>
      <c r="J125" s="519">
        <f t="shared" si="2"/>
        <v>1.165</v>
      </c>
      <c r="K125" s="519"/>
      <c r="Q125" s="80"/>
      <c r="R125" s="80"/>
    </row>
    <row r="126" spans="2:18" ht="15.75" x14ac:dyDescent="0.25">
      <c r="B126" s="512">
        <v>250</v>
      </c>
      <c r="C126" s="512"/>
      <c r="D126" s="518">
        <v>400</v>
      </c>
      <c r="E126" s="518"/>
      <c r="F126" s="519">
        <v>0.75</v>
      </c>
      <c r="G126" s="519"/>
      <c r="H126" s="518">
        <f t="shared" si="1"/>
        <v>0.95</v>
      </c>
      <c r="I126" s="518"/>
      <c r="J126" s="519">
        <f t="shared" si="2"/>
        <v>1.25</v>
      </c>
      <c r="K126" s="519"/>
      <c r="Q126" s="80"/>
      <c r="R126" s="80"/>
    </row>
    <row r="127" spans="2:18" ht="15.75" x14ac:dyDescent="0.25">
      <c r="B127" s="512">
        <v>300</v>
      </c>
      <c r="C127" s="512"/>
      <c r="D127" s="518">
        <v>450</v>
      </c>
      <c r="E127" s="518"/>
      <c r="F127" s="519">
        <v>0.75</v>
      </c>
      <c r="G127" s="519"/>
      <c r="H127" s="518">
        <f t="shared" si="1"/>
        <v>0.97499999999999998</v>
      </c>
      <c r="I127" s="518"/>
      <c r="J127" s="519">
        <f t="shared" si="2"/>
        <v>1.3</v>
      </c>
      <c r="K127" s="519"/>
      <c r="Q127" s="80"/>
      <c r="R127" s="80"/>
    </row>
    <row r="128" spans="2:18" ht="15.75" x14ac:dyDescent="0.25">
      <c r="B128" s="512">
        <v>350</v>
      </c>
      <c r="C128" s="512"/>
      <c r="D128" s="518">
        <v>500</v>
      </c>
      <c r="E128" s="518"/>
      <c r="F128" s="519">
        <v>0.75</v>
      </c>
      <c r="G128" s="519"/>
      <c r="H128" s="518">
        <f t="shared" si="1"/>
        <v>1</v>
      </c>
      <c r="I128" s="518"/>
      <c r="J128" s="519">
        <f t="shared" si="2"/>
        <v>1.35</v>
      </c>
      <c r="K128" s="519"/>
      <c r="Q128" s="80"/>
      <c r="R128" s="80"/>
    </row>
    <row r="129" spans="1:18" ht="15.75" x14ac:dyDescent="0.25">
      <c r="B129" s="512">
        <v>400</v>
      </c>
      <c r="C129" s="512"/>
      <c r="D129" s="518">
        <v>520</v>
      </c>
      <c r="E129" s="518"/>
      <c r="F129" s="519">
        <v>0.75</v>
      </c>
      <c r="G129" s="519"/>
      <c r="H129" s="518">
        <f t="shared" si="1"/>
        <v>1.01</v>
      </c>
      <c r="I129" s="518"/>
      <c r="J129" s="519">
        <f t="shared" si="2"/>
        <v>1.37</v>
      </c>
      <c r="K129" s="519"/>
      <c r="Q129" s="80"/>
      <c r="R129" s="80"/>
    </row>
    <row r="130" spans="1:18" ht="15.75" x14ac:dyDescent="0.25">
      <c r="B130" s="512">
        <v>450</v>
      </c>
      <c r="C130" s="512"/>
      <c r="D130" s="518">
        <v>560</v>
      </c>
      <c r="E130" s="518"/>
      <c r="F130" s="519">
        <v>0.75</v>
      </c>
      <c r="G130" s="519"/>
      <c r="H130" s="518">
        <f t="shared" si="1"/>
        <v>1.03</v>
      </c>
      <c r="I130" s="518"/>
      <c r="J130" s="519">
        <f t="shared" si="2"/>
        <v>1.4100000000000001</v>
      </c>
      <c r="K130" s="519"/>
      <c r="Q130" s="80"/>
      <c r="R130" s="80"/>
    </row>
    <row r="131" spans="1:18" ht="15.75" x14ac:dyDescent="0.25">
      <c r="B131" s="512">
        <v>500</v>
      </c>
      <c r="C131" s="512"/>
      <c r="D131" s="518">
        <v>630</v>
      </c>
      <c r="E131" s="518"/>
      <c r="F131" s="519">
        <v>0.75</v>
      </c>
      <c r="G131" s="519"/>
      <c r="H131" s="518">
        <f t="shared" si="1"/>
        <v>1.0649999999999999</v>
      </c>
      <c r="I131" s="518"/>
      <c r="J131" s="519">
        <f t="shared" si="2"/>
        <v>1.48</v>
      </c>
      <c r="K131" s="519"/>
      <c r="Q131" s="80"/>
      <c r="R131" s="80"/>
    </row>
    <row r="132" spans="1:18" ht="15.75" x14ac:dyDescent="0.25">
      <c r="B132" s="512">
        <v>600</v>
      </c>
      <c r="C132" s="512"/>
      <c r="D132" s="518">
        <v>780</v>
      </c>
      <c r="E132" s="518"/>
      <c r="F132" s="519">
        <v>0.75</v>
      </c>
      <c r="G132" s="519"/>
      <c r="H132" s="518">
        <f t="shared" si="1"/>
        <v>1.1400000000000001</v>
      </c>
      <c r="I132" s="518"/>
      <c r="J132" s="519">
        <f t="shared" si="2"/>
        <v>1.6300000000000001</v>
      </c>
      <c r="K132" s="519"/>
      <c r="Q132" s="80"/>
      <c r="R132" s="80"/>
    </row>
    <row r="133" spans="1:18" ht="15.75" x14ac:dyDescent="0.25">
      <c r="B133" s="512">
        <v>700</v>
      </c>
      <c r="C133" s="512"/>
      <c r="D133" s="518">
        <v>900</v>
      </c>
      <c r="E133" s="518"/>
      <c r="F133" s="519">
        <v>0.75</v>
      </c>
      <c r="G133" s="519"/>
      <c r="H133" s="518">
        <f t="shared" si="1"/>
        <v>1.2</v>
      </c>
      <c r="I133" s="518"/>
      <c r="J133" s="519">
        <f t="shared" si="2"/>
        <v>1.75</v>
      </c>
      <c r="K133" s="519"/>
      <c r="Q133" s="80"/>
      <c r="R133" s="80"/>
    </row>
    <row r="134" spans="1:18" ht="15.75" x14ac:dyDescent="0.25">
      <c r="B134" s="512">
        <v>800</v>
      </c>
      <c r="C134" s="512"/>
      <c r="D134" s="518">
        <v>1000</v>
      </c>
      <c r="E134" s="518"/>
      <c r="F134" s="519">
        <v>0.75</v>
      </c>
      <c r="G134" s="519"/>
      <c r="H134" s="518">
        <f t="shared" si="1"/>
        <v>1.25</v>
      </c>
      <c r="I134" s="518"/>
      <c r="J134" s="519">
        <f t="shared" si="2"/>
        <v>1.85</v>
      </c>
      <c r="K134" s="519"/>
      <c r="Q134" s="80"/>
      <c r="R134" s="80"/>
    </row>
    <row r="135" spans="1:18" ht="15.75" x14ac:dyDescent="0.25">
      <c r="B135" s="512">
        <v>900</v>
      </c>
      <c r="C135" s="512"/>
      <c r="D135" s="518">
        <v>1100</v>
      </c>
      <c r="E135" s="518"/>
      <c r="F135" s="519">
        <v>0.75</v>
      </c>
      <c r="G135" s="519"/>
      <c r="H135" s="518">
        <f t="shared" si="1"/>
        <v>1.3</v>
      </c>
      <c r="I135" s="518"/>
      <c r="J135" s="519">
        <f t="shared" si="2"/>
        <v>1.9500000000000002</v>
      </c>
      <c r="K135" s="519"/>
      <c r="Q135" s="80"/>
      <c r="R135" s="80"/>
    </row>
    <row r="136" spans="1:18" ht="15.75" x14ac:dyDescent="0.25">
      <c r="B136" s="512">
        <v>1000</v>
      </c>
      <c r="C136" s="512"/>
      <c r="D136" s="518">
        <v>1200</v>
      </c>
      <c r="E136" s="518"/>
      <c r="F136" s="519">
        <v>0.75</v>
      </c>
      <c r="G136" s="519"/>
      <c r="H136" s="518">
        <f t="shared" si="1"/>
        <v>1.35</v>
      </c>
      <c r="I136" s="518"/>
      <c r="J136" s="519">
        <f t="shared" si="2"/>
        <v>2.0499999999999998</v>
      </c>
      <c r="K136" s="519"/>
      <c r="Q136" s="80"/>
      <c r="R136" s="80"/>
    </row>
    <row r="137" spans="1:18" ht="15.75" x14ac:dyDescent="0.25">
      <c r="B137" s="512">
        <v>1100</v>
      </c>
      <c r="C137" s="512"/>
      <c r="D137" s="518">
        <v>1300</v>
      </c>
      <c r="E137" s="518"/>
      <c r="F137" s="519">
        <v>0.75</v>
      </c>
      <c r="G137" s="519"/>
      <c r="H137" s="518">
        <f t="shared" si="1"/>
        <v>1.4</v>
      </c>
      <c r="I137" s="518"/>
      <c r="J137" s="519">
        <f t="shared" si="2"/>
        <v>2.15</v>
      </c>
      <c r="K137" s="519"/>
      <c r="Q137" s="80"/>
      <c r="R137" s="80"/>
    </row>
    <row r="138" spans="1:18" ht="15.75" x14ac:dyDescent="0.25">
      <c r="B138" s="512">
        <v>1200</v>
      </c>
      <c r="C138" s="512"/>
      <c r="D138" s="518">
        <v>1400</v>
      </c>
      <c r="E138" s="518"/>
      <c r="F138" s="519">
        <v>0.75</v>
      </c>
      <c r="G138" s="519"/>
      <c r="H138" s="518">
        <f t="shared" si="1"/>
        <v>1.45</v>
      </c>
      <c r="I138" s="518"/>
      <c r="J138" s="519">
        <f t="shared" si="2"/>
        <v>2.25</v>
      </c>
      <c r="K138" s="519"/>
      <c r="Q138" s="80"/>
      <c r="R138" s="80"/>
    </row>
    <row r="140" spans="1:18" x14ac:dyDescent="0.25">
      <c r="B140" s="102" t="s">
        <v>296</v>
      </c>
    </row>
    <row r="141" spans="1:18" x14ac:dyDescent="0.25">
      <c r="B141" s="103" t="s">
        <v>297</v>
      </c>
    </row>
    <row r="142" spans="1:18" x14ac:dyDescent="0.25">
      <c r="B142" s="103"/>
    </row>
    <row r="144" spans="1:18" x14ac:dyDescent="0.25">
      <c r="A144" s="244" t="s">
        <v>238</v>
      </c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1:11" ht="16.5" customHeight="1" x14ac:dyDescent="0.25">
      <c r="A145" s="530" t="s">
        <v>239</v>
      </c>
      <c r="B145" s="530"/>
      <c r="C145" s="530"/>
      <c r="D145" s="530"/>
      <c r="E145" s="530"/>
      <c r="F145" s="530"/>
      <c r="G145" s="530"/>
      <c r="H145" s="530"/>
      <c r="I145" s="530"/>
      <c r="J145" s="530"/>
      <c r="K145" s="530"/>
    </row>
    <row r="146" spans="1:11" x14ac:dyDescent="0.25">
      <c r="A146" s="533" t="s">
        <v>240</v>
      </c>
      <c r="B146" s="533"/>
      <c r="C146" s="533"/>
      <c r="D146" s="533"/>
      <c r="E146" s="533"/>
      <c r="F146" s="533"/>
      <c r="G146" s="533"/>
      <c r="H146" s="533"/>
      <c r="I146" s="533"/>
      <c r="J146" s="533"/>
      <c r="K146" s="533"/>
    </row>
    <row r="147" spans="1:11" x14ac:dyDescent="0.25">
      <c r="A147" s="534" t="s">
        <v>241</v>
      </c>
      <c r="B147" s="534"/>
      <c r="C147" s="534"/>
      <c r="D147" s="534"/>
      <c r="E147" s="534"/>
      <c r="F147" s="534"/>
      <c r="G147" s="534"/>
      <c r="H147" s="534"/>
      <c r="I147" s="534"/>
      <c r="J147" s="534"/>
      <c r="K147" s="534"/>
    </row>
    <row r="148" spans="1:11" x14ac:dyDescent="0.25">
      <c r="A148" s="521" t="s">
        <v>242</v>
      </c>
      <c r="B148" s="521"/>
      <c r="C148" s="521"/>
      <c r="D148" s="521"/>
      <c r="E148" s="521"/>
      <c r="F148" s="521"/>
      <c r="G148" s="521"/>
      <c r="H148" s="521"/>
      <c r="I148" s="521"/>
      <c r="J148" s="521"/>
      <c r="K148" s="521"/>
    </row>
    <row r="149" spans="1:11" x14ac:dyDescent="0.25">
      <c r="A149" s="521" t="s">
        <v>272</v>
      </c>
      <c r="B149" s="521"/>
      <c r="C149" s="521"/>
      <c r="D149" s="521"/>
      <c r="E149" s="521"/>
      <c r="F149" s="521"/>
      <c r="G149" s="521"/>
      <c r="H149" s="521"/>
      <c r="I149" s="521"/>
      <c r="J149" s="521"/>
      <c r="K149" s="521"/>
    </row>
    <row r="150" spans="1:11" x14ac:dyDescent="0.25">
      <c r="A150" s="248"/>
      <c r="B150" s="248"/>
      <c r="C150" s="248"/>
      <c r="D150" s="248"/>
      <c r="E150" s="248"/>
      <c r="F150" s="248"/>
      <c r="G150" s="248"/>
      <c r="H150" s="248"/>
      <c r="I150" s="248"/>
      <c r="J150" s="248"/>
      <c r="K150" s="248"/>
    </row>
  </sheetData>
  <protectedRanges>
    <protectedRange sqref="J32:J42" name="Range6"/>
    <protectedRange sqref="J30" name="Range5"/>
    <protectedRange sqref="C18:K24" name="Range4"/>
    <protectedRange sqref="A18:A24" name="Range3"/>
    <protectedRange sqref="C6:K12" name="Range2"/>
    <protectedRange sqref="A6:A12" name="Range1"/>
  </protectedRanges>
  <mergeCells count="300">
    <mergeCell ref="A149:K149"/>
    <mergeCell ref="N41:W42"/>
    <mergeCell ref="M44:N44"/>
    <mergeCell ref="J137:K137"/>
    <mergeCell ref="F126:G126"/>
    <mergeCell ref="A145:K145"/>
    <mergeCell ref="V29:W29"/>
    <mergeCell ref="V30:W30"/>
    <mergeCell ref="V31:W31"/>
    <mergeCell ref="V32:W32"/>
    <mergeCell ref="J135:K135"/>
    <mergeCell ref="F127:G127"/>
    <mergeCell ref="J128:K128"/>
    <mergeCell ref="J129:K129"/>
    <mergeCell ref="J130:K130"/>
    <mergeCell ref="J131:K131"/>
    <mergeCell ref="J122:K122"/>
    <mergeCell ref="J127:K127"/>
    <mergeCell ref="A146:K146"/>
    <mergeCell ref="A147:K147"/>
    <mergeCell ref="A148:K148"/>
    <mergeCell ref="H133:I133"/>
    <mergeCell ref="F136:G136"/>
    <mergeCell ref="D137:E137"/>
    <mergeCell ref="J138:K138"/>
    <mergeCell ref="J136:K136"/>
    <mergeCell ref="J123:K123"/>
    <mergeCell ref="J124:K124"/>
    <mergeCell ref="J125:K125"/>
    <mergeCell ref="J126:K126"/>
    <mergeCell ref="J133:K133"/>
    <mergeCell ref="J134:K134"/>
    <mergeCell ref="J132:K132"/>
    <mergeCell ref="H128:I128"/>
    <mergeCell ref="H129:I129"/>
    <mergeCell ref="H126:I126"/>
    <mergeCell ref="H127:I127"/>
    <mergeCell ref="F130:G130"/>
    <mergeCell ref="H130:I130"/>
    <mergeCell ref="J114:K114"/>
    <mergeCell ref="J115:K115"/>
    <mergeCell ref="J116:K116"/>
    <mergeCell ref="J117:K117"/>
    <mergeCell ref="J118:K118"/>
    <mergeCell ref="J121:K121"/>
    <mergeCell ref="J119:K119"/>
    <mergeCell ref="J120:K120"/>
    <mergeCell ref="H131:I131"/>
    <mergeCell ref="H132:I132"/>
    <mergeCell ref="H124:I124"/>
    <mergeCell ref="F122:G122"/>
    <mergeCell ref="F123:G123"/>
    <mergeCell ref="H121:I121"/>
    <mergeCell ref="H122:I122"/>
    <mergeCell ref="F124:G124"/>
    <mergeCell ref="F115:G115"/>
    <mergeCell ref="F116:G116"/>
    <mergeCell ref="F117:G117"/>
    <mergeCell ref="F118:G118"/>
    <mergeCell ref="F119:G119"/>
    <mergeCell ref="H115:I115"/>
    <mergeCell ref="H116:I116"/>
    <mergeCell ref="H117:I117"/>
    <mergeCell ref="H118:I118"/>
    <mergeCell ref="F121:G121"/>
    <mergeCell ref="H123:I123"/>
    <mergeCell ref="F120:G120"/>
    <mergeCell ref="H119:I119"/>
    <mergeCell ref="H120:I120"/>
    <mergeCell ref="F125:G125"/>
    <mergeCell ref="H125:I125"/>
    <mergeCell ref="D135:E135"/>
    <mergeCell ref="D136:E136"/>
    <mergeCell ref="D133:E133"/>
    <mergeCell ref="D134:E134"/>
    <mergeCell ref="H134:I134"/>
    <mergeCell ref="H135:I135"/>
    <mergeCell ref="H136:I136"/>
    <mergeCell ref="B138:C138"/>
    <mergeCell ref="B134:C134"/>
    <mergeCell ref="B137:C137"/>
    <mergeCell ref="H137:I137"/>
    <mergeCell ref="F133:G133"/>
    <mergeCell ref="D138:E138"/>
    <mergeCell ref="F138:G138"/>
    <mergeCell ref="F137:G137"/>
    <mergeCell ref="H138:I138"/>
    <mergeCell ref="F135:G135"/>
    <mergeCell ref="F134:G134"/>
    <mergeCell ref="B136:C136"/>
    <mergeCell ref="F132:G132"/>
    <mergeCell ref="F131:G131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F128:G128"/>
    <mergeCell ref="F129:G129"/>
    <mergeCell ref="D130:E130"/>
    <mergeCell ref="B130:C130"/>
    <mergeCell ref="B131:C131"/>
    <mergeCell ref="B132:C132"/>
    <mergeCell ref="B133:C133"/>
    <mergeCell ref="D115:E115"/>
    <mergeCell ref="D116:E116"/>
    <mergeCell ref="D117:E117"/>
    <mergeCell ref="D127:E127"/>
    <mergeCell ref="D128:E128"/>
    <mergeCell ref="D131:E131"/>
    <mergeCell ref="D132:E132"/>
    <mergeCell ref="D129:E129"/>
    <mergeCell ref="B125:C125"/>
    <mergeCell ref="B115:C115"/>
    <mergeCell ref="B116:C116"/>
    <mergeCell ref="B117:C117"/>
    <mergeCell ref="B123:C123"/>
    <mergeCell ref="B124:C124"/>
    <mergeCell ref="B128:C128"/>
    <mergeCell ref="B129:C129"/>
    <mergeCell ref="B118:C118"/>
    <mergeCell ref="B119:C119"/>
    <mergeCell ref="B120:C120"/>
    <mergeCell ref="B121:C121"/>
    <mergeCell ref="B122:C122"/>
    <mergeCell ref="B126:C126"/>
    <mergeCell ref="B127:C127"/>
    <mergeCell ref="B135:C135"/>
    <mergeCell ref="H114:I114"/>
    <mergeCell ref="C48:E48"/>
    <mergeCell ref="B29:I29"/>
    <mergeCell ref="B30:I30"/>
    <mergeCell ref="B31:I31"/>
    <mergeCell ref="B36:I36"/>
    <mergeCell ref="B37:I37"/>
    <mergeCell ref="B38:I38"/>
    <mergeCell ref="B41:I41"/>
    <mergeCell ref="C47:E47"/>
    <mergeCell ref="F114:G114"/>
    <mergeCell ref="B42:I42"/>
    <mergeCell ref="B43:E43"/>
    <mergeCell ref="F45:G45"/>
    <mergeCell ref="B69:C69"/>
    <mergeCell ref="B114:C114"/>
    <mergeCell ref="D114:E114"/>
    <mergeCell ref="B87:C87"/>
    <mergeCell ref="B88:C88"/>
    <mergeCell ref="B77:C77"/>
    <mergeCell ref="B86:C86"/>
    <mergeCell ref="B83:C83"/>
    <mergeCell ref="B84:C84"/>
    <mergeCell ref="B85:C85"/>
    <mergeCell ref="F91:G91"/>
    <mergeCell ref="B89:C89"/>
    <mergeCell ref="B90:C90"/>
    <mergeCell ref="B91:C91"/>
    <mergeCell ref="D91:E91"/>
    <mergeCell ref="D84:E84"/>
    <mergeCell ref="D85:E85"/>
    <mergeCell ref="D86:E86"/>
    <mergeCell ref="D87:E87"/>
    <mergeCell ref="D88:E88"/>
    <mergeCell ref="D89:E89"/>
    <mergeCell ref="D90:E90"/>
    <mergeCell ref="D83:E83"/>
    <mergeCell ref="F89:G89"/>
    <mergeCell ref="F90:G90"/>
    <mergeCell ref="B82:C82"/>
    <mergeCell ref="D78:E78"/>
    <mergeCell ref="D79:E79"/>
    <mergeCell ref="D74:E74"/>
    <mergeCell ref="D75:E75"/>
    <mergeCell ref="D73:E73"/>
    <mergeCell ref="D76:E76"/>
    <mergeCell ref="D77:E77"/>
    <mergeCell ref="D80:E80"/>
    <mergeCell ref="D81:E81"/>
    <mergeCell ref="D82:E82"/>
    <mergeCell ref="B73:C73"/>
    <mergeCell ref="B74:C74"/>
    <mergeCell ref="B75:C75"/>
    <mergeCell ref="B78:C78"/>
    <mergeCell ref="B79:C79"/>
    <mergeCell ref="B80:C80"/>
    <mergeCell ref="B81:C81"/>
    <mergeCell ref="H79:I79"/>
    <mergeCell ref="H80:I80"/>
    <mergeCell ref="H81:I81"/>
    <mergeCell ref="H74:I74"/>
    <mergeCell ref="H72:I72"/>
    <mergeCell ref="F72:G72"/>
    <mergeCell ref="F77:G77"/>
    <mergeCell ref="D70:E70"/>
    <mergeCell ref="D71:E71"/>
    <mergeCell ref="H73:I73"/>
    <mergeCell ref="F70:G70"/>
    <mergeCell ref="F71:G71"/>
    <mergeCell ref="F75:G75"/>
    <mergeCell ref="F76:G76"/>
    <mergeCell ref="F79:G79"/>
    <mergeCell ref="F80:G80"/>
    <mergeCell ref="F81:G81"/>
    <mergeCell ref="F78:G78"/>
    <mergeCell ref="H77:I77"/>
    <mergeCell ref="H78:I78"/>
    <mergeCell ref="D72:E72"/>
    <mergeCell ref="F87:G87"/>
    <mergeCell ref="F88:G88"/>
    <mergeCell ref="F83:G83"/>
    <mergeCell ref="F84:G84"/>
    <mergeCell ref="F85:G85"/>
    <mergeCell ref="F86:G86"/>
    <mergeCell ref="H91:I9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F82:G82"/>
    <mergeCell ref="K33:L33"/>
    <mergeCell ref="B35:I35"/>
    <mergeCell ref="F48:G48"/>
    <mergeCell ref="K41:L41"/>
    <mergeCell ref="C44:E44"/>
    <mergeCell ref="C45:E45"/>
    <mergeCell ref="C46:E46"/>
    <mergeCell ref="F47:G47"/>
    <mergeCell ref="F69:G69"/>
    <mergeCell ref="F67:G67"/>
    <mergeCell ref="F68:G68"/>
    <mergeCell ref="B65:C65"/>
    <mergeCell ref="F44:G44"/>
    <mergeCell ref="B39:I39"/>
    <mergeCell ref="D65:E65"/>
    <mergeCell ref="D66:E66"/>
    <mergeCell ref="D67:E67"/>
    <mergeCell ref="D68:E68"/>
    <mergeCell ref="D69:E69"/>
    <mergeCell ref="B68:C68"/>
    <mergeCell ref="A1:D1"/>
    <mergeCell ref="A13:B13"/>
    <mergeCell ref="A25:B25"/>
    <mergeCell ref="H69:I69"/>
    <mergeCell ref="H70:I70"/>
    <mergeCell ref="H71:I71"/>
    <mergeCell ref="F73:G73"/>
    <mergeCell ref="F74:G74"/>
    <mergeCell ref="B33:I33"/>
    <mergeCell ref="B72:C72"/>
    <mergeCell ref="K38:L38"/>
    <mergeCell ref="K40:L40"/>
    <mergeCell ref="B40:I40"/>
    <mergeCell ref="K42:L42"/>
    <mergeCell ref="K39:L39"/>
    <mergeCell ref="H75:I75"/>
    <mergeCell ref="H76:I76"/>
    <mergeCell ref="B66:C66"/>
    <mergeCell ref="B67:C67"/>
    <mergeCell ref="F46:G46"/>
    <mergeCell ref="B71:C71"/>
    <mergeCell ref="B70:C70"/>
    <mergeCell ref="F65:G65"/>
    <mergeCell ref="F66:G66"/>
    <mergeCell ref="H65:I65"/>
    <mergeCell ref="H66:I66"/>
    <mergeCell ref="H67:I67"/>
    <mergeCell ref="H68:I68"/>
    <mergeCell ref="B76:C76"/>
    <mergeCell ref="O27:W27"/>
    <mergeCell ref="O34:U34"/>
    <mergeCell ref="O35:U35"/>
    <mergeCell ref="V33:W33"/>
    <mergeCell ref="V34:W34"/>
    <mergeCell ref="K37:L37"/>
    <mergeCell ref="B34:I34"/>
    <mergeCell ref="K34:L34"/>
    <mergeCell ref="K31:L31"/>
    <mergeCell ref="B32:I32"/>
    <mergeCell ref="V35:W35"/>
    <mergeCell ref="O28:U28"/>
    <mergeCell ref="O29:U29"/>
    <mergeCell ref="O30:U30"/>
    <mergeCell ref="O31:U31"/>
    <mergeCell ref="O32:U32"/>
    <mergeCell ref="O33:U33"/>
    <mergeCell ref="V28:W28"/>
    <mergeCell ref="K35:L35"/>
    <mergeCell ref="K36:L36"/>
    <mergeCell ref="K29:L29"/>
    <mergeCell ref="K32:L32"/>
    <mergeCell ref="K30:L30"/>
    <mergeCell ref="B28:M28"/>
  </mergeCells>
  <phoneticPr fontId="5" type="noConversion"/>
  <printOptions horizontalCentered="1" verticalCentered="1"/>
  <pageMargins left="0.67" right="0.24" top="1.18" bottom="3.92" header="0.57999999999999996" footer="0.8"/>
  <pageSetup paperSize="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2"/>
  <sheetViews>
    <sheetView showGridLines="0" showZeros="0" workbookViewId="0">
      <selection activeCell="D12" sqref="D12"/>
    </sheetView>
  </sheetViews>
  <sheetFormatPr defaultColWidth="9.33203125" defaultRowHeight="12.75" x14ac:dyDescent="0.2"/>
  <cols>
    <col min="1" max="11" width="14.1640625" style="67" customWidth="1"/>
    <col min="12" max="13" width="9.33203125" style="67"/>
    <col min="14" max="16" width="0" style="67" hidden="1" customWidth="1"/>
    <col min="17" max="16384" width="9.33203125" style="67"/>
  </cols>
  <sheetData>
    <row r="1" spans="1:16" x14ac:dyDescent="0.2">
      <c r="A1" s="67">
        <f>'Pradiniai duomenys'!A1</f>
        <v>0</v>
      </c>
    </row>
    <row r="2" spans="1:16" ht="17.25" customHeight="1" x14ac:dyDescent="0.25">
      <c r="A2" s="584" t="s">
        <v>326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</row>
    <row r="3" spans="1:16" ht="17.25" customHeight="1" x14ac:dyDescent="0.25">
      <c r="A3" s="584" t="s">
        <v>328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</row>
    <row r="4" spans="1:16" x14ac:dyDescent="0.2">
      <c r="A4" s="193" t="s">
        <v>279</v>
      </c>
    </row>
    <row r="5" spans="1:16" x14ac:dyDescent="0.2">
      <c r="A5" s="576" t="s">
        <v>97</v>
      </c>
      <c r="B5" s="601"/>
      <c r="C5" s="600" t="s">
        <v>188</v>
      </c>
      <c r="D5" s="600" t="s">
        <v>179</v>
      </c>
      <c r="E5" s="596" t="s">
        <v>112</v>
      </c>
      <c r="F5" s="597"/>
      <c r="G5" s="596" t="s">
        <v>113</v>
      </c>
      <c r="H5" s="597"/>
      <c r="I5" s="593" t="s">
        <v>216</v>
      </c>
      <c r="J5" s="593" t="s">
        <v>217</v>
      </c>
      <c r="K5" s="593" t="s">
        <v>218</v>
      </c>
    </row>
    <row r="6" spans="1:16" x14ac:dyDescent="0.2">
      <c r="A6" s="577" t="s">
        <v>213</v>
      </c>
      <c r="B6" s="577" t="s">
        <v>214</v>
      </c>
      <c r="C6" s="600"/>
      <c r="D6" s="600"/>
      <c r="E6" s="598"/>
      <c r="F6" s="599"/>
      <c r="G6" s="598"/>
      <c r="H6" s="599"/>
      <c r="I6" s="594"/>
      <c r="J6" s="594"/>
      <c r="K6" s="594"/>
    </row>
    <row r="7" spans="1:16" x14ac:dyDescent="0.2">
      <c r="A7" s="579"/>
      <c r="B7" s="579"/>
      <c r="C7" s="600"/>
      <c r="D7" s="600"/>
      <c r="E7" s="106">
        <f>SUM('Pradiniai duomenys'!C13)</f>
        <v>71.482161285566846</v>
      </c>
      <c r="F7" s="106">
        <f>SUM('Pradiniai duomenys'!D13)</f>
        <v>43.67489901223648</v>
      </c>
      <c r="G7" s="106">
        <f>SUM('Pradiniai duomenys'!C13)</f>
        <v>71.482161285566846</v>
      </c>
      <c r="H7" s="106">
        <f>SUM('Pradiniai duomenys'!D13)</f>
        <v>43.67489901223648</v>
      </c>
      <c r="I7" s="595"/>
      <c r="J7" s="595"/>
      <c r="K7" s="595"/>
    </row>
    <row r="8" spans="1:16" x14ac:dyDescent="0.2">
      <c r="A8" s="69">
        <v>25</v>
      </c>
      <c r="B8" s="69">
        <v>32</v>
      </c>
      <c r="C8" s="105">
        <v>50</v>
      </c>
      <c r="D8" s="69">
        <f>B8+2*C8</f>
        <v>132</v>
      </c>
      <c r="E8" s="180">
        <f t="shared" ref="E8:F23" si="0">3.14*(E$7-$O$13)/(0.5/$O$15*LN($D8/$B8)+1/($O$14*($D8/1000)))</f>
        <v>10.849917344748619</v>
      </c>
      <c r="F8" s="180">
        <f t="shared" si="0"/>
        <v>4.9895088126389684</v>
      </c>
      <c r="G8" s="180">
        <f t="shared" ref="G8:H23" si="1">3.14*(G$7-$O$13)/(0.5/$O$16*LN($D8/$B8)+1/($O$14*($D8/1000)))</f>
        <v>8.765646878025537</v>
      </c>
      <c r="H8" s="181">
        <f t="shared" si="1"/>
        <v>4.0310235513045747</v>
      </c>
      <c r="I8" s="109">
        <f>(E8+F8)*'TV tinklas'!G9*'Pradiniai duomenys'!E$13*0.0000012</f>
        <v>0</v>
      </c>
      <c r="J8" s="109">
        <f>(G8+H8)*'TV tinklas'!L9*'Pradiniai duomenys'!E$13*0.0000012</f>
        <v>0</v>
      </c>
      <c r="K8" s="109">
        <f>SUM(I8:J8)</f>
        <v>0</v>
      </c>
      <c r="M8" s="77"/>
      <c r="N8" s="77"/>
      <c r="O8" s="77"/>
      <c r="P8" s="77"/>
    </row>
    <row r="9" spans="1:16" x14ac:dyDescent="0.2">
      <c r="A9" s="69">
        <v>32</v>
      </c>
      <c r="B9" s="69">
        <v>38</v>
      </c>
      <c r="C9" s="105">
        <v>50</v>
      </c>
      <c r="D9" s="69">
        <f t="shared" ref="D9:D23" si="2">B9+2*C9</f>
        <v>138</v>
      </c>
      <c r="E9" s="182">
        <f t="shared" si="0"/>
        <v>11.892056728470605</v>
      </c>
      <c r="F9" s="182">
        <f t="shared" si="0"/>
        <v>5.4687533519160985</v>
      </c>
      <c r="G9" s="180">
        <f t="shared" si="1"/>
        <v>9.6121848563056016</v>
      </c>
      <c r="H9" s="181">
        <f t="shared" si="1"/>
        <v>4.4203176416329493</v>
      </c>
      <c r="I9" s="109">
        <f>(E9+F9)*'TV tinklas'!G10*'Pradiniai duomenys'!E$13*0.0000012</f>
        <v>0</v>
      </c>
      <c r="J9" s="109">
        <f>(G9+H9)*'TV tinklas'!L10*'Pradiniai duomenys'!E$13*0.0000012</f>
        <v>0</v>
      </c>
      <c r="K9" s="109">
        <f t="shared" ref="K9:K23" si="3">SUM(I9:J9)</f>
        <v>0</v>
      </c>
      <c r="M9" s="77"/>
      <c r="N9" s="77"/>
      <c r="O9" s="77"/>
      <c r="P9" s="77"/>
    </row>
    <row r="10" spans="1:16" x14ac:dyDescent="0.2">
      <c r="A10" s="69">
        <v>40</v>
      </c>
      <c r="B10" s="69">
        <v>45</v>
      </c>
      <c r="C10" s="105">
        <v>50</v>
      </c>
      <c r="D10" s="69">
        <f t="shared" si="2"/>
        <v>145</v>
      </c>
      <c r="E10" s="182">
        <f t="shared" si="0"/>
        <v>13.074736792948963</v>
      </c>
      <c r="F10" s="182">
        <f t="shared" si="0"/>
        <v>6.0126277812547961</v>
      </c>
      <c r="G10" s="180">
        <f t="shared" si="1"/>
        <v>10.573207423275695</v>
      </c>
      <c r="H10" s="181">
        <f t="shared" si="1"/>
        <v>4.8622593094524742</v>
      </c>
      <c r="I10" s="109">
        <f>(E10+F10)*'TV tinklas'!G11*'Pradiniai duomenys'!E$13*0.0000012</f>
        <v>0</v>
      </c>
      <c r="J10" s="109">
        <f>(G10+H10)*'TV tinklas'!L11*'Pradiniai duomenys'!E$13*0.0000012</f>
        <v>0</v>
      </c>
      <c r="K10" s="109">
        <f t="shared" si="3"/>
        <v>0</v>
      </c>
      <c r="M10" s="77"/>
      <c r="N10" s="77"/>
      <c r="O10" s="77"/>
      <c r="P10" s="77"/>
    </row>
    <row r="11" spans="1:16" x14ac:dyDescent="0.2">
      <c r="A11" s="69">
        <v>50</v>
      </c>
      <c r="B11" s="69">
        <v>57</v>
      </c>
      <c r="C11" s="105">
        <v>50</v>
      </c>
      <c r="D11" s="69">
        <f t="shared" si="2"/>
        <v>157</v>
      </c>
      <c r="E11" s="182">
        <f t="shared" si="0"/>
        <v>15.045431392439653</v>
      </c>
      <c r="F11" s="182">
        <f t="shared" si="0"/>
        <v>6.9188833552604283</v>
      </c>
      <c r="G11" s="180">
        <f t="shared" si="1"/>
        <v>12.175145084781452</v>
      </c>
      <c r="H11" s="181">
        <f t="shared" si="1"/>
        <v>5.598936080842793</v>
      </c>
      <c r="I11" s="109">
        <f>(E11+F11)*'TV tinklas'!G12*'Pradiniai duomenys'!E$13*0.0000012</f>
        <v>0</v>
      </c>
      <c r="J11" s="109">
        <f>(G11+H11)*'TV tinklas'!L12*'Pradiniai duomenys'!E$13*0.0000012</f>
        <v>0</v>
      </c>
      <c r="K11" s="109">
        <f t="shared" si="3"/>
        <v>0</v>
      </c>
      <c r="M11" s="77"/>
      <c r="N11" s="77"/>
      <c r="O11" s="77"/>
      <c r="P11" s="77"/>
    </row>
    <row r="12" spans="1:16" x14ac:dyDescent="0.2">
      <c r="A12" s="69">
        <v>65</v>
      </c>
      <c r="B12" s="69">
        <v>73</v>
      </c>
      <c r="C12" s="105">
        <v>60</v>
      </c>
      <c r="D12" s="69">
        <f t="shared" si="2"/>
        <v>193</v>
      </c>
      <c r="E12" s="182">
        <f t="shared" si="0"/>
        <v>15.816620130406909</v>
      </c>
      <c r="F12" s="182">
        <f t="shared" si="0"/>
        <v>7.2735268868222525</v>
      </c>
      <c r="G12" s="180">
        <f t="shared" si="1"/>
        <v>12.777869429982294</v>
      </c>
      <c r="H12" s="181">
        <f t="shared" si="1"/>
        <v>5.8761085547351586</v>
      </c>
      <c r="I12" s="109">
        <f>(E12+F12)*'TV tinklas'!G13*'Pradiniai duomenys'!E$13*0.0000012</f>
        <v>0</v>
      </c>
      <c r="J12" s="109">
        <f>(G12+H12)*'TV tinklas'!L13*'Pradiniai duomenys'!E$13*0.0000012</f>
        <v>0</v>
      </c>
      <c r="K12" s="109">
        <f t="shared" si="3"/>
        <v>0</v>
      </c>
    </row>
    <row r="13" spans="1:16" x14ac:dyDescent="0.2">
      <c r="A13" s="69">
        <v>70</v>
      </c>
      <c r="B13" s="69">
        <v>76</v>
      </c>
      <c r="C13" s="105">
        <v>60</v>
      </c>
      <c r="D13" s="69">
        <f t="shared" si="2"/>
        <v>196</v>
      </c>
      <c r="E13" s="182">
        <f t="shared" si="0"/>
        <v>16.223162776756606</v>
      </c>
      <c r="F13" s="182">
        <f t="shared" si="0"/>
        <v>7.460482054518268</v>
      </c>
      <c r="G13" s="180">
        <f t="shared" si="1"/>
        <v>13.107596490238439</v>
      </c>
      <c r="H13" s="181">
        <f t="shared" si="1"/>
        <v>6.0277388409981087</v>
      </c>
      <c r="I13" s="109">
        <f>(E13+F13)*'TV tinklas'!G14*'Pradiniai duomenys'!E$13*0.0000012</f>
        <v>0</v>
      </c>
      <c r="J13" s="109">
        <f>(G13+H13)*'TV tinklas'!L14*'Pradiniai duomenys'!E$13*0.0000012</f>
        <v>0</v>
      </c>
      <c r="K13" s="109">
        <f t="shared" si="3"/>
        <v>0</v>
      </c>
      <c r="N13" s="165" t="s">
        <v>189</v>
      </c>
      <c r="O13" s="136">
        <f>'Pradiniai duomenys'!J41</f>
        <v>20</v>
      </c>
      <c r="P13" s="67" t="s">
        <v>195</v>
      </c>
    </row>
    <row r="14" spans="1:16" x14ac:dyDescent="0.2">
      <c r="A14" s="69">
        <v>80</v>
      </c>
      <c r="B14" s="69">
        <v>89</v>
      </c>
      <c r="C14" s="105">
        <v>60</v>
      </c>
      <c r="D14" s="69">
        <f t="shared" si="2"/>
        <v>209</v>
      </c>
      <c r="E14" s="182">
        <f t="shared" si="0"/>
        <v>17.967453218853446</v>
      </c>
      <c r="F14" s="182">
        <f t="shared" si="0"/>
        <v>8.2626220391934933</v>
      </c>
      <c r="G14" s="180">
        <f t="shared" si="1"/>
        <v>14.52248478556243</v>
      </c>
      <c r="H14" s="181">
        <f t="shared" si="1"/>
        <v>6.6783979560959423</v>
      </c>
      <c r="I14" s="109">
        <f>(E14+F14)*'TV tinklas'!G15*'Pradiniai duomenys'!E$13*0.0000012</f>
        <v>0</v>
      </c>
      <c r="J14" s="109">
        <f>(G14+H14)*'TV tinklas'!L15*'Pradiniai duomenys'!E$13*0.0000012</f>
        <v>0</v>
      </c>
      <c r="K14" s="109">
        <f t="shared" si="3"/>
        <v>0</v>
      </c>
      <c r="N14" s="165" t="s">
        <v>190</v>
      </c>
      <c r="O14" s="136">
        <v>10.4</v>
      </c>
      <c r="P14" s="67" t="s">
        <v>191</v>
      </c>
    </row>
    <row r="15" spans="1:16" x14ac:dyDescent="0.2">
      <c r="A15" s="69">
        <v>100</v>
      </c>
      <c r="B15" s="69">
        <v>108</v>
      </c>
      <c r="C15" s="105">
        <v>60</v>
      </c>
      <c r="D15" s="69">
        <f t="shared" si="2"/>
        <v>228</v>
      </c>
      <c r="E15" s="182">
        <f t="shared" si="0"/>
        <v>20.478416478363535</v>
      </c>
      <c r="F15" s="182">
        <f t="shared" si="0"/>
        <v>9.4173288368081369</v>
      </c>
      <c r="G15" s="180">
        <f t="shared" si="1"/>
        <v>16.559672153191489</v>
      </c>
      <c r="H15" s="181">
        <f t="shared" si="1"/>
        <v>7.6152312978450061</v>
      </c>
      <c r="I15" s="109">
        <f>(E15+F15)*'TV tinklas'!G16*'Pradiniai duomenys'!E$13*0.0000012</f>
        <v>0</v>
      </c>
      <c r="J15" s="109">
        <f>(G15+H15)*'TV tinklas'!L16*'Pradiniai duomenys'!E$13*0.0000012</f>
        <v>0</v>
      </c>
      <c r="K15" s="109">
        <f t="shared" si="3"/>
        <v>0</v>
      </c>
      <c r="N15" s="165" t="s">
        <v>192</v>
      </c>
      <c r="O15" s="136">
        <f>'Pradiniai duomenys'!J36</f>
        <v>0.05</v>
      </c>
      <c r="P15" s="67" t="s">
        <v>194</v>
      </c>
    </row>
    <row r="16" spans="1:16" x14ac:dyDescent="0.2">
      <c r="A16" s="69">
        <v>125</v>
      </c>
      <c r="B16" s="69">
        <v>133</v>
      </c>
      <c r="C16" s="105">
        <v>60</v>
      </c>
      <c r="D16" s="69">
        <f t="shared" si="2"/>
        <v>253</v>
      </c>
      <c r="E16" s="182">
        <f t="shared" si="0"/>
        <v>23.736139116342226</v>
      </c>
      <c r="F16" s="182">
        <f t="shared" si="0"/>
        <v>10.915444932521559</v>
      </c>
      <c r="G16" s="180">
        <f t="shared" si="1"/>
        <v>19.203236986011408</v>
      </c>
      <c r="H16" s="181">
        <f t="shared" si="1"/>
        <v>8.830917059407188</v>
      </c>
      <c r="I16" s="109">
        <f>(E16+F16)*'TV tinklas'!G17*'Pradiniai duomenys'!E$13*0.0000012</f>
        <v>0</v>
      </c>
      <c r="J16" s="109">
        <f>(G16+H16)*'TV tinklas'!L17*'Pradiniai duomenys'!E$13*0.0000012</f>
        <v>0</v>
      </c>
      <c r="K16" s="109">
        <f t="shared" si="3"/>
        <v>0</v>
      </c>
      <c r="N16" s="165" t="s">
        <v>193</v>
      </c>
      <c r="O16" s="136">
        <f>'Pradiniai duomenys'!J37</f>
        <v>0.04</v>
      </c>
      <c r="P16" s="67" t="s">
        <v>194</v>
      </c>
    </row>
    <row r="17" spans="1:15" x14ac:dyDescent="0.2">
      <c r="A17" s="69">
        <v>150</v>
      </c>
      <c r="B17" s="69">
        <v>159</v>
      </c>
      <c r="C17" s="105">
        <v>70</v>
      </c>
      <c r="D17" s="69">
        <f t="shared" si="2"/>
        <v>299</v>
      </c>
      <c r="E17" s="182">
        <f t="shared" si="0"/>
        <v>24.356563289831016</v>
      </c>
      <c r="F17" s="182">
        <f t="shared" si="0"/>
        <v>11.200756956828808</v>
      </c>
      <c r="G17" s="180">
        <f t="shared" si="1"/>
        <v>19.675924069456553</v>
      </c>
      <c r="H17" s="181">
        <f t="shared" si="1"/>
        <v>9.048289809220039</v>
      </c>
      <c r="I17" s="109">
        <f>(E17+F17)*'TV tinklas'!G18*'Pradiniai duomenys'!E$13*0.00000115</f>
        <v>0</v>
      </c>
      <c r="J17" s="109">
        <f>(G17+H17)*'TV tinklas'!L18*'Pradiniai duomenys'!E$13*0.00000115</f>
        <v>0</v>
      </c>
      <c r="K17" s="109">
        <f t="shared" si="3"/>
        <v>0</v>
      </c>
      <c r="N17" s="165"/>
      <c r="O17" s="183"/>
    </row>
    <row r="18" spans="1:15" x14ac:dyDescent="0.2">
      <c r="A18" s="69">
        <v>175</v>
      </c>
      <c r="B18" s="69">
        <v>194</v>
      </c>
      <c r="C18" s="105">
        <v>70</v>
      </c>
      <c r="D18" s="69">
        <f t="shared" si="2"/>
        <v>334</v>
      </c>
      <c r="E18" s="182">
        <f t="shared" si="0"/>
        <v>28.257658648838738</v>
      </c>
      <c r="F18" s="182">
        <f t="shared" si="0"/>
        <v>12.994738335141786</v>
      </c>
      <c r="G18" s="180">
        <f t="shared" si="1"/>
        <v>22.835963571080132</v>
      </c>
      <c r="H18" s="181">
        <f t="shared" si="1"/>
        <v>10.501484745241315</v>
      </c>
      <c r="I18" s="109">
        <f>(E18+F18)*'TV tinklas'!G19*'Pradiniai duomenys'!E$13*0.00000115</f>
        <v>0</v>
      </c>
      <c r="J18" s="109">
        <f>(G18+H18)*'TV tinklas'!L19*'Pradiniai duomenys'!E$13*0.00000115</f>
        <v>0</v>
      </c>
      <c r="K18" s="109">
        <f>SUM(I18:J18)</f>
        <v>0</v>
      </c>
      <c r="N18" s="165"/>
    </row>
    <row r="19" spans="1:15" x14ac:dyDescent="0.2">
      <c r="A19" s="69">
        <v>200</v>
      </c>
      <c r="B19" s="69">
        <v>219</v>
      </c>
      <c r="C19" s="105">
        <v>70</v>
      </c>
      <c r="D19" s="69">
        <f t="shared" si="2"/>
        <v>359</v>
      </c>
      <c r="E19" s="182">
        <f t="shared" si="0"/>
        <v>31.025584467058827</v>
      </c>
      <c r="F19" s="182">
        <f t="shared" si="0"/>
        <v>14.267613493902735</v>
      </c>
      <c r="G19" s="180">
        <f t="shared" si="1"/>
        <v>25.078297791489252</v>
      </c>
      <c r="H19" s="181">
        <f t="shared" si="1"/>
        <v>11.532658163260793</v>
      </c>
      <c r="I19" s="109">
        <f>(E19+F19)*'TV tinklas'!G20*'Pradiniai duomenys'!E$13*0.00000115</f>
        <v>0</v>
      </c>
      <c r="J19" s="109">
        <f>(G19+H19)*'TV tinklas'!L20*'Pradiniai duomenys'!E$13*0.00000115</f>
        <v>0</v>
      </c>
      <c r="K19" s="109">
        <f t="shared" si="3"/>
        <v>0</v>
      </c>
    </row>
    <row r="20" spans="1:15" x14ac:dyDescent="0.2">
      <c r="A20" s="69">
        <v>250</v>
      </c>
      <c r="B20" s="69">
        <v>273</v>
      </c>
      <c r="C20" s="105">
        <v>70</v>
      </c>
      <c r="D20" s="69">
        <f t="shared" si="2"/>
        <v>413</v>
      </c>
      <c r="E20" s="182">
        <f t="shared" si="0"/>
        <v>36.969966027098316</v>
      </c>
      <c r="F20" s="182">
        <f t="shared" si="0"/>
        <v>17.001232860492738</v>
      </c>
      <c r="G20" s="180">
        <f t="shared" si="1"/>
        <v>29.894317711706737</v>
      </c>
      <c r="H20" s="181">
        <f t="shared" si="1"/>
        <v>13.747382300804599</v>
      </c>
      <c r="I20" s="109">
        <f>(E20+F20)*'TV tinklas'!G21*'Pradiniai duomenys'!E$13*0.00000115</f>
        <v>0</v>
      </c>
      <c r="J20" s="109">
        <f>(G20+H20)*'TV tinklas'!L21*'Pradiniai duomenys'!E$13*0.00000115</f>
        <v>0</v>
      </c>
      <c r="K20" s="109">
        <f t="shared" si="3"/>
        <v>0</v>
      </c>
    </row>
    <row r="21" spans="1:15" x14ac:dyDescent="0.2">
      <c r="A21" s="69">
        <v>300</v>
      </c>
      <c r="B21" s="69">
        <v>325</v>
      </c>
      <c r="C21" s="105">
        <v>70</v>
      </c>
      <c r="D21" s="69">
        <f t="shared" si="2"/>
        <v>465</v>
      </c>
      <c r="E21" s="182">
        <f t="shared" si="0"/>
        <v>42.665096999304474</v>
      </c>
      <c r="F21" s="182">
        <f t="shared" si="0"/>
        <v>19.620230339649492</v>
      </c>
      <c r="G21" s="180">
        <f t="shared" si="1"/>
        <v>34.508746010431508</v>
      </c>
      <c r="H21" s="181">
        <f t="shared" si="1"/>
        <v>15.86940129230608</v>
      </c>
      <c r="I21" s="109">
        <f>(E21+F21)*'TV tinklas'!G22*'Pradiniai duomenys'!E$13*0.00000115</f>
        <v>0</v>
      </c>
      <c r="J21" s="109">
        <f>(G21+H21)*'TV tinklas'!L22*'Pradiniai duomenys'!E$13*0.00000115</f>
        <v>0</v>
      </c>
      <c r="K21" s="109">
        <f t="shared" si="3"/>
        <v>0</v>
      </c>
    </row>
    <row r="22" spans="1:15" x14ac:dyDescent="0.2">
      <c r="A22" s="69">
        <v>350</v>
      </c>
      <c r="B22" s="69">
        <v>377</v>
      </c>
      <c r="C22" s="105">
        <v>80</v>
      </c>
      <c r="D22" s="69">
        <f t="shared" si="2"/>
        <v>537</v>
      </c>
      <c r="E22" s="182">
        <f t="shared" si="0"/>
        <v>43.495284155092243</v>
      </c>
      <c r="F22" s="182">
        <f t="shared" si="0"/>
        <v>20.002005241552094</v>
      </c>
      <c r="G22" s="180">
        <f t="shared" si="1"/>
        <v>35.134771429728517</v>
      </c>
      <c r="H22" s="181">
        <f t="shared" si="1"/>
        <v>16.157289139491404</v>
      </c>
      <c r="I22" s="109">
        <f>(E22+F22)*'TV tinklas'!G23*'Pradiniai duomenys'!E$13*0.00000115</f>
        <v>0</v>
      </c>
      <c r="J22" s="109">
        <f>(G22+H22)*'TV tinklas'!L23*'Pradiniai duomenys'!E$13*0.00000115</f>
        <v>0</v>
      </c>
      <c r="K22" s="109">
        <f t="shared" si="3"/>
        <v>0</v>
      </c>
    </row>
    <row r="23" spans="1:15" x14ac:dyDescent="0.2">
      <c r="A23" s="69">
        <v>400</v>
      </c>
      <c r="B23" s="69">
        <v>426</v>
      </c>
      <c r="C23" s="105">
        <v>80</v>
      </c>
      <c r="D23" s="69">
        <f t="shared" si="2"/>
        <v>586</v>
      </c>
      <c r="E23" s="182">
        <f t="shared" si="0"/>
        <v>48.213335598658908</v>
      </c>
      <c r="F23" s="182">
        <f t="shared" si="0"/>
        <v>22.171677001084316</v>
      </c>
      <c r="G23" s="180">
        <f t="shared" si="1"/>
        <v>38.951917415539604</v>
      </c>
      <c r="H23" s="184">
        <f t="shared" si="1"/>
        <v>17.912665049756015</v>
      </c>
      <c r="I23" s="159">
        <f>(E23+F23)*'TV tinklas'!G24*'Pradiniai duomenys'!E$13*0.00000115</f>
        <v>0</v>
      </c>
      <c r="J23" s="159">
        <f>(G23+H23)*'TV tinklas'!L24*'Pradiniai duomenys'!E$13*0.00000115</f>
        <v>0</v>
      </c>
      <c r="K23" s="159">
        <f t="shared" si="3"/>
        <v>0</v>
      </c>
    </row>
    <row r="24" spans="1:15" x14ac:dyDescent="0.2">
      <c r="A24" s="113" t="s">
        <v>40</v>
      </c>
      <c r="H24" s="175" t="s">
        <v>138</v>
      </c>
      <c r="I24" s="185">
        <f>SUM(I8:I23)</f>
        <v>0</v>
      </c>
      <c r="J24" s="185">
        <f>SUM(J8:J23)</f>
        <v>0</v>
      </c>
      <c r="K24" s="185">
        <f>SUM(K8:K23)</f>
        <v>0</v>
      </c>
    </row>
    <row r="25" spans="1:15" x14ac:dyDescent="0.2">
      <c r="A25" s="67" t="s">
        <v>327</v>
      </c>
    </row>
    <row r="26" spans="1:15" x14ac:dyDescent="0.2">
      <c r="A26" s="67" t="s">
        <v>42</v>
      </c>
    </row>
    <row r="27" spans="1:15" x14ac:dyDescent="0.2">
      <c r="A27" s="67" t="s">
        <v>95</v>
      </c>
    </row>
    <row r="29" spans="1:15" x14ac:dyDescent="0.2">
      <c r="A29" s="193" t="s">
        <v>280</v>
      </c>
    </row>
    <row r="30" spans="1:15" x14ac:dyDescent="0.2">
      <c r="A30" s="576" t="s">
        <v>97</v>
      </c>
      <c r="B30" s="601"/>
      <c r="C30" s="600" t="s">
        <v>188</v>
      </c>
      <c r="D30" s="600" t="s">
        <v>179</v>
      </c>
      <c r="E30" s="596" t="s">
        <v>112</v>
      </c>
      <c r="F30" s="597"/>
      <c r="G30" s="596" t="s">
        <v>113</v>
      </c>
      <c r="H30" s="597"/>
      <c r="I30" s="593" t="s">
        <v>216</v>
      </c>
      <c r="J30" s="593" t="s">
        <v>217</v>
      </c>
      <c r="K30" s="593" t="s">
        <v>218</v>
      </c>
    </row>
    <row r="31" spans="1:15" x14ac:dyDescent="0.2">
      <c r="A31" s="577" t="s">
        <v>213</v>
      </c>
      <c r="B31" s="577" t="s">
        <v>214</v>
      </c>
      <c r="C31" s="600"/>
      <c r="D31" s="600"/>
      <c r="E31" s="598"/>
      <c r="F31" s="599"/>
      <c r="G31" s="598"/>
      <c r="H31" s="599"/>
      <c r="I31" s="594"/>
      <c r="J31" s="594"/>
      <c r="K31" s="594"/>
    </row>
    <row r="32" spans="1:15" x14ac:dyDescent="0.2">
      <c r="A32" s="579"/>
      <c r="B32" s="579"/>
      <c r="C32" s="600"/>
      <c r="D32" s="600"/>
      <c r="E32" s="106">
        <f>SUM('Pradiniai duomenys'!C25)</f>
        <v>68.068996019460414</v>
      </c>
      <c r="F32" s="106">
        <f>SUM('Pradiniai duomenys'!D25)</f>
        <v>45.639436827362523</v>
      </c>
      <c r="G32" s="106">
        <f>SUM('Pradiniai duomenys'!C25)</f>
        <v>68.068996019460414</v>
      </c>
      <c r="H32" s="106">
        <f>SUM('Pradiniai duomenys'!D25)</f>
        <v>45.639436827362523</v>
      </c>
      <c r="I32" s="595"/>
      <c r="J32" s="595"/>
      <c r="K32" s="595"/>
    </row>
    <row r="33" spans="1:16" x14ac:dyDescent="0.2">
      <c r="A33" s="69">
        <v>25</v>
      </c>
      <c r="B33" s="69">
        <v>32</v>
      </c>
      <c r="C33" s="69">
        <f>C8</f>
        <v>50</v>
      </c>
      <c r="D33" s="69">
        <f>B33+2*C33</f>
        <v>132</v>
      </c>
      <c r="E33" s="180">
        <f t="shared" ref="E33:F48" si="4">3.14*(E$32-$O$38)/(0.5/$O$40*LN($D33/$B33)+1/($O$39*($D33/1000)))</f>
        <v>8.0230792549206367</v>
      </c>
      <c r="F33" s="180">
        <f t="shared" si="4"/>
        <v>3.2960270637059095</v>
      </c>
      <c r="G33" s="180">
        <f t="shared" ref="G33:H48" si="5">3.14*(G$32-$O$38)/(0.5/$O$41*LN($D33/$B33)+1/($O$39*($D33/1000)))</f>
        <v>6.4818447356269644</v>
      </c>
      <c r="H33" s="181">
        <f t="shared" si="5"/>
        <v>2.6628598562407553</v>
      </c>
      <c r="I33" s="109">
        <f>(E33+F33)*'TV tinklas'!G42*'Pradiniai duomenys'!E$25*0.0000012</f>
        <v>0</v>
      </c>
      <c r="J33" s="109">
        <f>(G33+H33)*'TV tinklas'!L42*'Pradiniai duomenys'!E$25*0.0000012</f>
        <v>0</v>
      </c>
      <c r="K33" s="109">
        <f>SUM(I33:J33)</f>
        <v>0</v>
      </c>
      <c r="M33" s="77"/>
      <c r="N33" s="77"/>
      <c r="O33" s="77"/>
      <c r="P33" s="77"/>
    </row>
    <row r="34" spans="1:16" x14ac:dyDescent="0.2">
      <c r="A34" s="69">
        <v>32</v>
      </c>
      <c r="B34" s="69">
        <v>38</v>
      </c>
      <c r="C34" s="69">
        <f t="shared" ref="C34:C48" si="6">C9</f>
        <v>50</v>
      </c>
      <c r="D34" s="69">
        <f t="shared" ref="D34:D48" si="7">B34+2*C34</f>
        <v>138</v>
      </c>
      <c r="E34" s="182">
        <f t="shared" si="4"/>
        <v>8.7936995835927672</v>
      </c>
      <c r="F34" s="182">
        <f t="shared" si="4"/>
        <v>3.6126119282499674</v>
      </c>
      <c r="G34" s="180">
        <f t="shared" si="5"/>
        <v>7.1078256602953456</v>
      </c>
      <c r="H34" s="181">
        <f t="shared" si="5"/>
        <v>2.9200242196371686</v>
      </c>
      <c r="I34" s="109">
        <f>(E34+F34)*'TV tinklas'!G43*'Pradiniai duomenys'!E$25*0.0000012</f>
        <v>0</v>
      </c>
      <c r="J34" s="109">
        <f>(G34+H34)*'TV tinklas'!L43*'Pradiniai duomenys'!E$25*0.0000012</f>
        <v>0</v>
      </c>
      <c r="K34" s="109">
        <f t="shared" ref="K34:K48" si="8">SUM(I34:J34)</f>
        <v>0</v>
      </c>
      <c r="M34" s="77"/>
      <c r="N34" s="77"/>
      <c r="O34" s="77"/>
      <c r="P34" s="77"/>
    </row>
    <row r="35" spans="1:16" x14ac:dyDescent="0.2">
      <c r="A35" s="69">
        <v>40</v>
      </c>
      <c r="B35" s="69">
        <v>45</v>
      </c>
      <c r="C35" s="69">
        <f t="shared" si="6"/>
        <v>50</v>
      </c>
      <c r="D35" s="69">
        <f t="shared" si="7"/>
        <v>145</v>
      </c>
      <c r="E35" s="182">
        <f t="shared" si="4"/>
        <v>9.6682441159635228</v>
      </c>
      <c r="F35" s="182">
        <f t="shared" si="4"/>
        <v>3.9718907482045571</v>
      </c>
      <c r="G35" s="180">
        <f t="shared" si="5"/>
        <v>7.8184633523234934</v>
      </c>
      <c r="H35" s="181">
        <f t="shared" si="5"/>
        <v>3.2119671247228605</v>
      </c>
      <c r="I35" s="109">
        <f>(E35+F35)*'TV tinklas'!G44*'Pradiniai duomenys'!E$25*0.0000012</f>
        <v>0</v>
      </c>
      <c r="J35" s="109">
        <f>(G35+H35)*'TV tinklas'!L44*'Pradiniai duomenys'!E$25*0.0000012</f>
        <v>0</v>
      </c>
      <c r="K35" s="109">
        <f t="shared" si="8"/>
        <v>0</v>
      </c>
      <c r="M35" s="77"/>
      <c r="N35" s="77"/>
      <c r="O35" s="77"/>
      <c r="P35" s="77"/>
    </row>
    <row r="36" spans="1:16" x14ac:dyDescent="0.2">
      <c r="A36" s="69">
        <v>50</v>
      </c>
      <c r="B36" s="69">
        <v>57</v>
      </c>
      <c r="C36" s="69">
        <f t="shared" si="6"/>
        <v>50</v>
      </c>
      <c r="D36" s="69">
        <f t="shared" si="7"/>
        <v>157</v>
      </c>
      <c r="E36" s="182">
        <f t="shared" si="4"/>
        <v>11.125493831014159</v>
      </c>
      <c r="F36" s="182">
        <f t="shared" si="4"/>
        <v>4.5705554686656962</v>
      </c>
      <c r="G36" s="180">
        <f t="shared" si="5"/>
        <v>9.0030320832478381</v>
      </c>
      <c r="H36" s="181">
        <f t="shared" si="5"/>
        <v>3.6986095311968854</v>
      </c>
      <c r="I36" s="109">
        <f>(E36+F36)*'TV tinklas'!G45*'Pradiniai duomenys'!E$25*0.0000012</f>
        <v>0</v>
      </c>
      <c r="J36" s="109">
        <f>(G36+H36)*'TV tinklas'!L45*'Pradiniai duomenys'!E$25*0.0000012</f>
        <v>0</v>
      </c>
      <c r="K36" s="109">
        <f t="shared" si="8"/>
        <v>0</v>
      </c>
      <c r="M36" s="77"/>
      <c r="N36" s="77"/>
      <c r="O36" s="77"/>
      <c r="P36" s="77"/>
    </row>
    <row r="37" spans="1:16" x14ac:dyDescent="0.2">
      <c r="A37" s="69">
        <v>65</v>
      </c>
      <c r="B37" s="69">
        <v>73</v>
      </c>
      <c r="C37" s="69">
        <f t="shared" si="6"/>
        <v>60</v>
      </c>
      <c r="D37" s="69">
        <f t="shared" si="7"/>
        <v>193</v>
      </c>
      <c r="E37" s="182">
        <f t="shared" si="4"/>
        <v>11.695757010780056</v>
      </c>
      <c r="F37" s="182">
        <f t="shared" si="4"/>
        <v>4.8048299677977599</v>
      </c>
      <c r="G37" s="180">
        <f t="shared" si="5"/>
        <v>9.4487225928402445</v>
      </c>
      <c r="H37" s="181">
        <f t="shared" si="5"/>
        <v>3.8817073088677834</v>
      </c>
      <c r="I37" s="109">
        <f>(E37+F37)*'TV tinklas'!G46*'Pradiniai duomenys'!E$25*0.0000012</f>
        <v>0</v>
      </c>
      <c r="J37" s="109">
        <f>(G37+H37)*'TV tinklas'!L46*'Pradiniai duomenys'!E$25*0.0000012</f>
        <v>0</v>
      </c>
      <c r="K37" s="109">
        <f t="shared" si="8"/>
        <v>0</v>
      </c>
    </row>
    <row r="38" spans="1:16" x14ac:dyDescent="0.2">
      <c r="A38" s="69">
        <v>70</v>
      </c>
      <c r="B38" s="69">
        <v>76</v>
      </c>
      <c r="C38" s="69">
        <f t="shared" si="6"/>
        <v>60</v>
      </c>
      <c r="D38" s="69">
        <f t="shared" si="7"/>
        <v>196</v>
      </c>
      <c r="E38" s="182">
        <f t="shared" si="4"/>
        <v>11.996379012637746</v>
      </c>
      <c r="F38" s="182">
        <f t="shared" si="4"/>
        <v>4.9283309606940584</v>
      </c>
      <c r="G38" s="180">
        <f t="shared" si="5"/>
        <v>9.6925425458288679</v>
      </c>
      <c r="H38" s="181">
        <f t="shared" si="5"/>
        <v>3.98187298568434</v>
      </c>
      <c r="I38" s="109">
        <f>(E38+F38)*'TV tinklas'!G47*'Pradiniai duomenys'!E$25*0.0000012</f>
        <v>0</v>
      </c>
      <c r="J38" s="109">
        <f>(G38+H38)*'TV tinklas'!L47*'Pradiniai duomenys'!E$25*0.0000012</f>
        <v>0</v>
      </c>
      <c r="K38" s="109">
        <f t="shared" si="8"/>
        <v>0</v>
      </c>
      <c r="N38" s="165" t="s">
        <v>189</v>
      </c>
      <c r="O38" s="136">
        <f>'Pradiniai duomenys'!J42</f>
        <v>30</v>
      </c>
      <c r="P38" s="67" t="s">
        <v>196</v>
      </c>
    </row>
    <row r="39" spans="1:16" x14ac:dyDescent="0.2">
      <c r="A39" s="69">
        <v>80</v>
      </c>
      <c r="B39" s="69">
        <v>89</v>
      </c>
      <c r="C39" s="69">
        <f t="shared" si="6"/>
        <v>60</v>
      </c>
      <c r="D39" s="69">
        <f t="shared" si="7"/>
        <v>209</v>
      </c>
      <c r="E39" s="182">
        <f t="shared" si="4"/>
        <v>13.286211922500135</v>
      </c>
      <c r="F39" s="182">
        <f t="shared" si="4"/>
        <v>5.4582178088088389</v>
      </c>
      <c r="G39" s="180">
        <f t="shared" si="5"/>
        <v>10.73879576320828</v>
      </c>
      <c r="H39" s="181">
        <f t="shared" si="5"/>
        <v>4.4116928603735914</v>
      </c>
      <c r="I39" s="109">
        <f>(E39+F39)*'TV tinklas'!G48*'Pradiniai duomenys'!E$25*0.0000012</f>
        <v>0</v>
      </c>
      <c r="J39" s="109">
        <f>(G39+H39)*'TV tinklas'!L48*'Pradiniai duomenys'!E$25*0.0000012</f>
        <v>0</v>
      </c>
      <c r="K39" s="109">
        <f t="shared" si="8"/>
        <v>0</v>
      </c>
      <c r="N39" s="165" t="s">
        <v>190</v>
      </c>
      <c r="O39" s="136">
        <v>10.4</v>
      </c>
      <c r="P39" s="67" t="s">
        <v>191</v>
      </c>
    </row>
    <row r="40" spans="1:16" x14ac:dyDescent="0.2">
      <c r="A40" s="69">
        <v>100</v>
      </c>
      <c r="B40" s="69">
        <v>108</v>
      </c>
      <c r="C40" s="69">
        <f t="shared" si="6"/>
        <v>60</v>
      </c>
      <c r="D40" s="69">
        <f t="shared" si="7"/>
        <v>228</v>
      </c>
      <c r="E40" s="182">
        <f t="shared" si="4"/>
        <v>15.142968669775618</v>
      </c>
      <c r="F40" s="182">
        <f t="shared" si="4"/>
        <v>6.2210072934054343</v>
      </c>
      <c r="G40" s="180">
        <f t="shared" si="5"/>
        <v>12.245214216757317</v>
      </c>
      <c r="H40" s="181">
        <f t="shared" si="5"/>
        <v>5.0305569940063766</v>
      </c>
      <c r="I40" s="109">
        <f>(E40+F40)*'TV tinklas'!G49*'Pradiniai duomenys'!E$25*0.0000012</f>
        <v>0</v>
      </c>
      <c r="J40" s="109">
        <f>(G40+H40)*'TV tinklas'!L49*'Pradiniai duomenys'!E$25*0.0000012</f>
        <v>0</v>
      </c>
      <c r="K40" s="109">
        <f t="shared" si="8"/>
        <v>0</v>
      </c>
      <c r="N40" s="165" t="s">
        <v>192</v>
      </c>
      <c r="O40" s="136">
        <f>'Pradiniai duomenys'!J36</f>
        <v>0.05</v>
      </c>
      <c r="P40" s="67" t="s">
        <v>194</v>
      </c>
    </row>
    <row r="41" spans="1:16" x14ac:dyDescent="0.2">
      <c r="A41" s="69">
        <v>125</v>
      </c>
      <c r="B41" s="69">
        <v>133</v>
      </c>
      <c r="C41" s="69">
        <f t="shared" si="6"/>
        <v>60</v>
      </c>
      <c r="D41" s="69">
        <f t="shared" si="7"/>
        <v>253</v>
      </c>
      <c r="E41" s="182">
        <f t="shared" si="4"/>
        <v>17.551924064048968</v>
      </c>
      <c r="F41" s="182">
        <f t="shared" si="4"/>
        <v>7.2106500381054355</v>
      </c>
      <c r="G41" s="180">
        <f t="shared" si="5"/>
        <v>14.200024515796201</v>
      </c>
      <c r="H41" s="181">
        <f t="shared" si="5"/>
        <v>5.833628663289911</v>
      </c>
      <c r="I41" s="109">
        <f>(E41+F41)*'TV tinklas'!G50*'Pradiniai duomenys'!E$25*0.0000012</f>
        <v>0</v>
      </c>
      <c r="J41" s="109">
        <f>(G41+H41)*'TV tinklas'!L50*'Pradiniai duomenys'!E$25*0.0000012</f>
        <v>0</v>
      </c>
      <c r="K41" s="109">
        <f t="shared" si="8"/>
        <v>0</v>
      </c>
      <c r="N41" s="165" t="s">
        <v>193</v>
      </c>
      <c r="O41" s="136">
        <f>'Pradiniai duomenys'!J37</f>
        <v>0.04</v>
      </c>
      <c r="P41" s="67" t="s">
        <v>194</v>
      </c>
    </row>
    <row r="42" spans="1:16" x14ac:dyDescent="0.2">
      <c r="A42" s="69">
        <v>150</v>
      </c>
      <c r="B42" s="69">
        <v>159</v>
      </c>
      <c r="C42" s="69">
        <f t="shared" si="6"/>
        <v>70</v>
      </c>
      <c r="D42" s="69">
        <f t="shared" si="7"/>
        <v>299</v>
      </c>
      <c r="E42" s="182">
        <f t="shared" si="4"/>
        <v>18.010702887647877</v>
      </c>
      <c r="F42" s="182">
        <f t="shared" si="4"/>
        <v>7.399124733517394</v>
      </c>
      <c r="G42" s="180">
        <f t="shared" si="5"/>
        <v>14.549557679299351</v>
      </c>
      <c r="H42" s="181">
        <f t="shared" si="5"/>
        <v>5.9772232520960165</v>
      </c>
      <c r="I42" s="109">
        <f>(E42+F42)*'TV tinklas'!G51*'Pradiniai duomenys'!E$25*0.00000115</f>
        <v>0</v>
      </c>
      <c r="J42" s="109">
        <f>(G42+H42)*'TV tinklas'!L51*'Pradiniai duomenys'!E$25*0.00000115</f>
        <v>0</v>
      </c>
      <c r="K42" s="109">
        <f t="shared" si="8"/>
        <v>0</v>
      </c>
    </row>
    <row r="43" spans="1:16" x14ac:dyDescent="0.2">
      <c r="A43" s="69">
        <v>175</v>
      </c>
      <c r="B43" s="69">
        <v>194</v>
      </c>
      <c r="C43" s="69">
        <f t="shared" si="6"/>
        <v>70</v>
      </c>
      <c r="D43" s="69">
        <f t="shared" si="7"/>
        <v>334</v>
      </c>
      <c r="E43" s="182">
        <f t="shared" si="4"/>
        <v>20.895406637162679</v>
      </c>
      <c r="F43" s="182">
        <f t="shared" si="4"/>
        <v>8.5842135662549381</v>
      </c>
      <c r="G43" s="180">
        <f t="shared" si="5"/>
        <v>16.886280307188944</v>
      </c>
      <c r="H43" s="181">
        <f t="shared" si="5"/>
        <v>6.9371914609572762</v>
      </c>
      <c r="I43" s="109">
        <f>(E43+F43)*'TV tinklas'!G52*'Pradiniai duomenys'!E$25*0.00000115</f>
        <v>0</v>
      </c>
      <c r="J43" s="109">
        <f>(G43+H43)*'TV tinklas'!L52*'Pradiniai duomenys'!E$25*0.00000115</f>
        <v>0</v>
      </c>
      <c r="K43" s="109">
        <f>SUM(I43:J43)</f>
        <v>0</v>
      </c>
    </row>
    <row r="44" spans="1:16" x14ac:dyDescent="0.2">
      <c r="A44" s="69">
        <v>200</v>
      </c>
      <c r="B44" s="69">
        <v>219</v>
      </c>
      <c r="C44" s="69">
        <f t="shared" si="6"/>
        <v>70</v>
      </c>
      <c r="D44" s="69">
        <f t="shared" si="7"/>
        <v>359</v>
      </c>
      <c r="E44" s="182">
        <f t="shared" si="4"/>
        <v>22.942176903303849</v>
      </c>
      <c r="F44" s="182">
        <f t="shared" si="4"/>
        <v>9.4250640646782617</v>
      </c>
      <c r="G44" s="180">
        <f t="shared" si="5"/>
        <v>18.544396640680691</v>
      </c>
      <c r="H44" s="181">
        <f t="shared" si="5"/>
        <v>7.6183758461931248</v>
      </c>
      <c r="I44" s="109">
        <f>(E44+F44)*'TV tinklas'!G53*'Pradiniai duomenys'!E$25*0.00000115</f>
        <v>0</v>
      </c>
      <c r="J44" s="109">
        <f>(G44+H44)*'TV tinklas'!L53*'Pradiniai duomenys'!E$25*0.00000115</f>
        <v>0</v>
      </c>
      <c r="K44" s="109">
        <f t="shared" si="8"/>
        <v>0</v>
      </c>
    </row>
    <row r="45" spans="1:16" x14ac:dyDescent="0.2">
      <c r="A45" s="69">
        <v>250</v>
      </c>
      <c r="B45" s="69">
        <v>273</v>
      </c>
      <c r="C45" s="69">
        <f t="shared" si="6"/>
        <v>70</v>
      </c>
      <c r="D45" s="69">
        <f t="shared" si="7"/>
        <v>413</v>
      </c>
      <c r="E45" s="182">
        <f t="shared" si="4"/>
        <v>27.337808949364433</v>
      </c>
      <c r="F45" s="182">
        <f t="shared" si="4"/>
        <v>11.230869756678992</v>
      </c>
      <c r="G45" s="180">
        <f t="shared" si="5"/>
        <v>22.105650453538807</v>
      </c>
      <c r="H45" s="181">
        <f t="shared" si="5"/>
        <v>9.0814037653934978</v>
      </c>
      <c r="I45" s="109">
        <f>(E45+F45)*'TV tinklas'!G54*'Pradiniai duomenys'!E$25*0.00000115</f>
        <v>0</v>
      </c>
      <c r="J45" s="109">
        <f>(G45+H45)*'TV tinklas'!L54*'Pradiniai duomenys'!E$25*0.00000115</f>
        <v>0</v>
      </c>
      <c r="K45" s="109">
        <f t="shared" si="8"/>
        <v>0</v>
      </c>
    </row>
    <row r="46" spans="1:16" x14ac:dyDescent="0.2">
      <c r="A46" s="69">
        <v>300</v>
      </c>
      <c r="B46" s="69">
        <v>325</v>
      </c>
      <c r="C46" s="69">
        <f t="shared" si="6"/>
        <v>70</v>
      </c>
      <c r="D46" s="69">
        <f t="shared" si="7"/>
        <v>465</v>
      </c>
      <c r="E46" s="182">
        <f t="shared" si="4"/>
        <v>31.549130170099676</v>
      </c>
      <c r="F46" s="182">
        <f t="shared" si="4"/>
        <v>12.960957205209334</v>
      </c>
      <c r="G46" s="180">
        <f t="shared" si="5"/>
        <v>25.517835337577221</v>
      </c>
      <c r="H46" s="181">
        <f t="shared" si="5"/>
        <v>10.483191453987143</v>
      </c>
      <c r="I46" s="109">
        <f>(E46+F46)*'TV tinklas'!G55*'Pradiniai duomenys'!E$25*0.00000115</f>
        <v>0</v>
      </c>
      <c r="J46" s="109">
        <f>(G46+H46)*'TV tinklas'!L55*'Pradiniai duomenys'!E$25*0.00000115</f>
        <v>0</v>
      </c>
      <c r="K46" s="109">
        <f t="shared" si="8"/>
        <v>0</v>
      </c>
    </row>
    <row r="47" spans="1:16" x14ac:dyDescent="0.2">
      <c r="A47" s="69">
        <v>350</v>
      </c>
      <c r="B47" s="69">
        <v>377</v>
      </c>
      <c r="C47" s="69">
        <f t="shared" si="6"/>
        <v>80</v>
      </c>
      <c r="D47" s="69">
        <f t="shared" si="7"/>
        <v>537</v>
      </c>
      <c r="E47" s="182">
        <f t="shared" si="4"/>
        <v>32.163020316509517</v>
      </c>
      <c r="F47" s="182">
        <f t="shared" si="4"/>
        <v>13.213154456715763</v>
      </c>
      <c r="G47" s="180">
        <f t="shared" si="5"/>
        <v>25.98075605807891</v>
      </c>
      <c r="H47" s="181">
        <f t="shared" si="5"/>
        <v>10.67336771607355</v>
      </c>
      <c r="I47" s="109">
        <f>(E47+F47)*'TV tinklas'!G56*'Pradiniai duomenys'!E$25*0.00000115</f>
        <v>0</v>
      </c>
      <c r="J47" s="109">
        <f>(G47+H47)*'TV tinklas'!L56*'Pradiniai duomenys'!E$25*0.00000115</f>
        <v>0</v>
      </c>
      <c r="K47" s="109">
        <f t="shared" si="8"/>
        <v>0</v>
      </c>
    </row>
    <row r="48" spans="1:16" x14ac:dyDescent="0.2">
      <c r="A48" s="69">
        <v>400</v>
      </c>
      <c r="B48" s="69">
        <v>426</v>
      </c>
      <c r="C48" s="69">
        <f t="shared" si="6"/>
        <v>80</v>
      </c>
      <c r="D48" s="69">
        <f t="shared" si="7"/>
        <v>586</v>
      </c>
      <c r="E48" s="182">
        <f t="shared" si="4"/>
        <v>35.651830365265248</v>
      </c>
      <c r="F48" s="182">
        <f t="shared" si="4"/>
        <v>14.646421158372167</v>
      </c>
      <c r="G48" s="180">
        <f t="shared" si="5"/>
        <v>28.80338260892422</v>
      </c>
      <c r="H48" s="184">
        <f t="shared" si="5"/>
        <v>11.832954105129238</v>
      </c>
      <c r="I48" s="159">
        <f>(E48+F48)*'TV tinklas'!G57*'Pradiniai duomenys'!E$25*0.00000115</f>
        <v>0</v>
      </c>
      <c r="J48" s="159">
        <f>(G48+H48)*'TV tinklas'!L57*'Pradiniai duomenys'!E$25*0.00000115</f>
        <v>0</v>
      </c>
      <c r="K48" s="159">
        <f t="shared" si="8"/>
        <v>0</v>
      </c>
    </row>
    <row r="49" spans="1:11" x14ac:dyDescent="0.2">
      <c r="A49" s="113" t="s">
        <v>40</v>
      </c>
      <c r="H49" s="175" t="s">
        <v>6</v>
      </c>
      <c r="I49" s="185">
        <f>SUM(I33:I48)</f>
        <v>0</v>
      </c>
      <c r="J49" s="185">
        <f>SUM(J33:J48)</f>
        <v>0</v>
      </c>
      <c r="K49" s="185">
        <f>SUM(K33:K48)</f>
        <v>0</v>
      </c>
    </row>
    <row r="50" spans="1:11" x14ac:dyDescent="0.2">
      <c r="A50" s="67" t="s">
        <v>140</v>
      </c>
    </row>
    <row r="51" spans="1:11" x14ac:dyDescent="0.2">
      <c r="A51" s="67" t="s">
        <v>42</v>
      </c>
    </row>
    <row r="52" spans="1:11" x14ac:dyDescent="0.2">
      <c r="A52" s="67" t="s">
        <v>95</v>
      </c>
    </row>
  </sheetData>
  <protectedRanges>
    <protectedRange sqref="C8:C23" name="Range1"/>
  </protectedRanges>
  <mergeCells count="22">
    <mergeCell ref="A30:B30"/>
    <mergeCell ref="A31:A32"/>
    <mergeCell ref="B31:B32"/>
    <mergeCell ref="A5:B5"/>
    <mergeCell ref="A6:A7"/>
    <mergeCell ref="B6:B7"/>
    <mergeCell ref="A2:K2"/>
    <mergeCell ref="A3:K3"/>
    <mergeCell ref="K30:K32"/>
    <mergeCell ref="I5:I7"/>
    <mergeCell ref="J5:J7"/>
    <mergeCell ref="K5:K7"/>
    <mergeCell ref="I30:I32"/>
    <mergeCell ref="J30:J32"/>
    <mergeCell ref="E30:F31"/>
    <mergeCell ref="G30:H31"/>
    <mergeCell ref="E5:F6"/>
    <mergeCell ref="G5:H6"/>
    <mergeCell ref="C5:C7"/>
    <mergeCell ref="D5:D7"/>
    <mergeCell ref="D30:D32"/>
    <mergeCell ref="C30:C32"/>
  </mergeCells>
  <phoneticPr fontId="5" type="noConversion"/>
  <printOptions horizontalCentered="1" verticalCentered="1"/>
  <pageMargins left="0.74803149606299213" right="0.74803149606299213" top="1.19" bottom="0.78" header="0.57999999999999996" footer="0.39"/>
  <pageSetup paperSize="9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31B6-3485-49C6-B65E-02097AB13A34}">
  <dimension ref="A1:DF90"/>
  <sheetViews>
    <sheetView tabSelected="1" zoomScale="70" zoomScaleNormal="70" workbookViewId="0">
      <selection activeCell="H9" sqref="H9"/>
    </sheetView>
  </sheetViews>
  <sheetFormatPr defaultColWidth="10.6640625" defaultRowHeight="15" x14ac:dyDescent="0.25"/>
  <cols>
    <col min="1" max="1" width="6.5" style="325" customWidth="1"/>
    <col min="2" max="10" width="19.1640625" style="325" customWidth="1"/>
    <col min="11" max="11" width="4" style="325" customWidth="1"/>
    <col min="12" max="12" width="86.83203125" style="325" bestFit="1" customWidth="1"/>
    <col min="13" max="14" width="20" style="325" customWidth="1"/>
    <col min="15" max="15" width="22.5" style="325" customWidth="1"/>
    <col min="16" max="16" width="20.1640625" style="325" customWidth="1"/>
    <col min="17" max="17" width="20" style="325" customWidth="1"/>
    <col min="18" max="18" width="10.6640625" style="325"/>
    <col min="19" max="19" width="10.6640625" style="325" customWidth="1"/>
    <col min="20" max="21" width="10.6640625" style="325"/>
    <col min="22" max="23" width="10.6640625" style="325" customWidth="1"/>
    <col min="24" max="28" width="10.6640625" style="325"/>
    <col min="29" max="29" width="14.5" style="325" bestFit="1" customWidth="1"/>
    <col min="30" max="54" width="10.6640625" style="325"/>
    <col min="55" max="55" width="10.83203125" style="325" bestFit="1" customWidth="1"/>
    <col min="56" max="56" width="14.1640625" style="325" bestFit="1" customWidth="1"/>
    <col min="57" max="59" width="10.83203125" style="325" bestFit="1" customWidth="1"/>
    <col min="60" max="60" width="11.5" style="325" bestFit="1" customWidth="1"/>
    <col min="61" max="61" width="27.5" style="325" bestFit="1" customWidth="1"/>
    <col min="62" max="62" width="28.1640625" style="325" bestFit="1" customWidth="1"/>
    <col min="63" max="66" width="10.83203125" style="325" bestFit="1" customWidth="1"/>
    <col min="67" max="67" width="11.5" style="325" bestFit="1" customWidth="1"/>
    <col min="68" max="69" width="14.1640625" style="325" bestFit="1" customWidth="1"/>
    <col min="70" max="72" width="10.83203125" style="325" bestFit="1" customWidth="1"/>
    <col min="73" max="74" width="16.1640625" style="325" bestFit="1" customWidth="1"/>
    <col min="75" max="75" width="10.83203125" style="325" bestFit="1" customWidth="1"/>
    <col min="76" max="76" width="14.1640625" style="325" bestFit="1" customWidth="1"/>
    <col min="77" max="77" width="10.83203125" style="325" bestFit="1" customWidth="1"/>
    <col min="78" max="81" width="10.6640625" style="325"/>
    <col min="82" max="82" width="10.6640625" style="325" customWidth="1"/>
    <col min="83" max="83" width="10.6640625" style="325"/>
    <col min="84" max="90" width="10.6640625" style="325" hidden="1" customWidth="1"/>
    <col min="91" max="91" width="0" style="325" hidden="1" customWidth="1"/>
    <col min="92" max="103" width="10.6640625" style="325"/>
    <col min="104" max="104" width="10.83203125" style="325" bestFit="1" customWidth="1"/>
    <col min="105" max="105" width="10.6640625" style="325"/>
    <col min="106" max="107" width="10.83203125" style="325" bestFit="1" customWidth="1"/>
    <col min="108" max="241" width="10.6640625" style="325"/>
    <col min="242" max="246" width="10.6640625" style="325" customWidth="1"/>
    <col min="247" max="16384" width="10.6640625" style="325"/>
  </cols>
  <sheetData>
    <row r="1" spans="1:110" ht="35.25" customHeight="1" x14ac:dyDescent="0.25">
      <c r="A1" s="323"/>
      <c r="B1" s="611" t="s">
        <v>405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</row>
    <row r="2" spans="1:110" ht="11.25" customHeight="1" thickBot="1" x14ac:dyDescent="0.3">
      <c r="A2" s="326"/>
      <c r="B2" s="608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10"/>
    </row>
    <row r="3" spans="1:110" ht="54" customHeight="1" thickBot="1" x14ac:dyDescent="0.3">
      <c r="A3" s="323"/>
      <c r="B3" s="608" t="s">
        <v>362</v>
      </c>
      <c r="C3" s="609"/>
      <c r="D3" s="609"/>
      <c r="E3" s="609"/>
      <c r="F3" s="609"/>
      <c r="G3" s="609"/>
      <c r="H3" s="609"/>
      <c r="I3" s="609"/>
      <c r="J3" s="610"/>
      <c r="K3" s="323"/>
      <c r="L3" s="614" t="s">
        <v>369</v>
      </c>
      <c r="M3" s="615"/>
      <c r="N3" s="616"/>
    </row>
    <row r="4" spans="1:110" s="328" customFormat="1" ht="61.5" customHeight="1" thickBot="1" x14ac:dyDescent="0.25">
      <c r="A4" s="327"/>
      <c r="B4" s="419" t="s">
        <v>331</v>
      </c>
      <c r="C4" s="420" t="s">
        <v>345</v>
      </c>
      <c r="D4" s="420" t="s">
        <v>332</v>
      </c>
      <c r="E4" s="420" t="s">
        <v>402</v>
      </c>
      <c r="F4" s="420" t="s">
        <v>333</v>
      </c>
      <c r="G4" s="420" t="s">
        <v>334</v>
      </c>
      <c r="H4" s="421" t="s">
        <v>378</v>
      </c>
      <c r="I4" s="606" t="s">
        <v>368</v>
      </c>
      <c r="J4" s="607"/>
      <c r="K4" s="327"/>
      <c r="L4" s="409" t="s">
        <v>351</v>
      </c>
      <c r="M4" s="410" t="s">
        <v>348</v>
      </c>
      <c r="N4" s="411"/>
    </row>
    <row r="5" spans="1:110" s="328" customFormat="1" ht="32.25" customHeight="1" thickBot="1" x14ac:dyDescent="0.25">
      <c r="A5" s="327"/>
      <c r="B5" s="422" t="s">
        <v>335</v>
      </c>
      <c r="C5" s="423" t="s">
        <v>93</v>
      </c>
      <c r="D5" s="423" t="s">
        <v>3</v>
      </c>
      <c r="E5" s="423" t="s">
        <v>336</v>
      </c>
      <c r="F5" s="424" t="s">
        <v>337</v>
      </c>
      <c r="G5" s="423" t="s">
        <v>338</v>
      </c>
      <c r="H5" s="425" t="s">
        <v>379</v>
      </c>
      <c r="I5" s="425" t="s">
        <v>358</v>
      </c>
      <c r="J5" s="426" t="s">
        <v>359</v>
      </c>
      <c r="K5" s="327"/>
      <c r="L5" s="412" t="s">
        <v>346</v>
      </c>
      <c r="M5" s="413">
        <v>100</v>
      </c>
      <c r="N5" s="414" t="s">
        <v>1</v>
      </c>
    </row>
    <row r="6" spans="1:110" s="328" customFormat="1" ht="32.25" customHeight="1" x14ac:dyDescent="0.2">
      <c r="A6" s="327"/>
      <c r="B6" s="427">
        <v>1</v>
      </c>
      <c r="C6" s="428">
        <v>3755.4736842105299</v>
      </c>
      <c r="D6" s="429">
        <f t="shared" ref="D6:D17" si="0">C6*$CZ$23*($CZ$22/100)/1000</f>
        <v>32.109300000000033</v>
      </c>
      <c r="E6" s="430">
        <v>6.2347999999999999</v>
      </c>
      <c r="F6" s="431">
        <v>-1.6999999999999993</v>
      </c>
      <c r="G6" s="432">
        <v>31</v>
      </c>
      <c r="H6" s="433">
        <v>2.8999999999999995</v>
      </c>
      <c r="I6" s="428">
        <v>74.399999999999991</v>
      </c>
      <c r="J6" s="434">
        <v>46.033333333333331</v>
      </c>
      <c r="K6" s="327"/>
      <c r="L6" s="412" t="s">
        <v>384</v>
      </c>
      <c r="M6" s="413">
        <v>100</v>
      </c>
      <c r="N6" s="414" t="s">
        <v>0</v>
      </c>
    </row>
    <row r="7" spans="1:110" s="328" customFormat="1" ht="32.25" customHeight="1" x14ac:dyDescent="0.2">
      <c r="A7" s="327"/>
      <c r="B7" s="435">
        <v>2</v>
      </c>
      <c r="C7" s="436">
        <v>3719.6842105263158</v>
      </c>
      <c r="D7" s="437">
        <f t="shared" si="0"/>
        <v>31.8033</v>
      </c>
      <c r="E7" s="438">
        <v>6.2239000000000004</v>
      </c>
      <c r="F7" s="439">
        <v>-6.8000000000000007</v>
      </c>
      <c r="G7" s="439">
        <v>28</v>
      </c>
      <c r="H7" s="440">
        <v>1.6694117647058822</v>
      </c>
      <c r="I7" s="436">
        <v>74.558823529411768</v>
      </c>
      <c r="J7" s="441">
        <v>46.248235294117642</v>
      </c>
      <c r="K7" s="327"/>
      <c r="L7" s="412" t="s">
        <v>383</v>
      </c>
      <c r="M7" s="413">
        <v>200</v>
      </c>
      <c r="N7" s="414" t="s">
        <v>0</v>
      </c>
    </row>
    <row r="8" spans="1:110" s="328" customFormat="1" ht="32.25" customHeight="1" x14ac:dyDescent="0.2">
      <c r="A8" s="327"/>
      <c r="B8" s="435">
        <v>3</v>
      </c>
      <c r="C8" s="436">
        <v>4401.1578947368425</v>
      </c>
      <c r="D8" s="437">
        <f t="shared" si="0"/>
        <v>37.629900000000006</v>
      </c>
      <c r="E8" s="438">
        <v>6.158500000000001</v>
      </c>
      <c r="F8" s="439">
        <v>-2.1000000000000014</v>
      </c>
      <c r="G8" s="442">
        <v>31</v>
      </c>
      <c r="H8" s="443">
        <v>1.1999999999999997</v>
      </c>
      <c r="I8" s="436">
        <v>70.399999999999991</v>
      </c>
      <c r="J8" s="441">
        <v>43</v>
      </c>
      <c r="K8" s="327"/>
      <c r="L8" s="412" t="s">
        <v>394</v>
      </c>
      <c r="M8" s="413">
        <v>3.2</v>
      </c>
      <c r="N8" s="414" t="s">
        <v>0</v>
      </c>
    </row>
    <row r="9" spans="1:110" s="328" customFormat="1" ht="32.25" customHeight="1" x14ac:dyDescent="0.2">
      <c r="A9" s="327"/>
      <c r="B9" s="435">
        <v>4</v>
      </c>
      <c r="C9" s="436">
        <v>1222.5263157894738</v>
      </c>
      <c r="D9" s="437">
        <f t="shared" si="0"/>
        <v>10.4526</v>
      </c>
      <c r="E9" s="438">
        <v>6.1040000000000001</v>
      </c>
      <c r="F9" s="439">
        <v>10.1</v>
      </c>
      <c r="G9" s="442">
        <v>30</v>
      </c>
      <c r="H9" s="443">
        <v>3.6263157894736842</v>
      </c>
      <c r="I9" s="436">
        <v>69.544736842105266</v>
      </c>
      <c r="J9" s="441">
        <v>41.636842105263163</v>
      </c>
      <c r="K9" s="327"/>
      <c r="L9" s="412" t="s">
        <v>401</v>
      </c>
      <c r="M9" s="413">
        <v>0.75</v>
      </c>
      <c r="N9" s="414" t="s">
        <v>1</v>
      </c>
    </row>
    <row r="10" spans="1:110" s="328" customFormat="1" ht="32.25" customHeight="1" x14ac:dyDescent="0.25">
      <c r="A10" s="327"/>
      <c r="B10" s="435">
        <v>5</v>
      </c>
      <c r="C10" s="436">
        <v>742.52631578947364</v>
      </c>
      <c r="D10" s="437">
        <f t="shared" si="0"/>
        <v>6.3486000000000002</v>
      </c>
      <c r="E10" s="438">
        <v>6.0713000000000008</v>
      </c>
      <c r="F10" s="439">
        <v>16.600000000000001</v>
      </c>
      <c r="G10" s="442">
        <v>31</v>
      </c>
      <c r="H10" s="443">
        <v>9.5999999999999979</v>
      </c>
      <c r="I10" s="436">
        <v>69.933333333333337</v>
      </c>
      <c r="J10" s="441">
        <v>45.833333333333336</v>
      </c>
      <c r="K10" s="327"/>
      <c r="L10" s="412" t="s">
        <v>370</v>
      </c>
      <c r="M10" s="413">
        <v>2.7E-2</v>
      </c>
      <c r="N10" s="414" t="s">
        <v>371</v>
      </c>
      <c r="BB10" s="367"/>
      <c r="BC10" s="368"/>
      <c r="BD10" s="368"/>
      <c r="BE10" s="368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70">
        <v>150</v>
      </c>
      <c r="BR10" s="371">
        <f t="shared" ref="BR10:BR27" si="1">((($M$6/1000)/2)/25)*LN(($BD$25/2)/($M$6/2))</f>
        <v>2.6731276962534725E-4</v>
      </c>
      <c r="BS10" s="371">
        <f t="shared" ref="BS10:BS27" si="2">((($M$6/1000)/2)/$M$10)*LN((BQ10/2)/($BD$25/2))</f>
        <v>0.50334948758424236</v>
      </c>
      <c r="BT10" s="371">
        <f t="shared" ref="BT10:BT27" si="3">((($M$6/1000)/2)/$BD$22)*LN(((2*($BD$23+((BQ10/1000)/2)))/(BQ10/1000/2)))</f>
        <v>0.15455212266791582</v>
      </c>
      <c r="BU10" s="372">
        <f t="shared" ref="BU10:BU27" si="4">((($M$6/1000)/2)/($BD$23+((BQ10/1000)/2)))*(1/$BD$24)</f>
        <v>1.2121212121212123E-2</v>
      </c>
      <c r="BV10" s="373">
        <f>(SUM(BR10:BU10))^(-1)</f>
        <v>1.4918912685275698</v>
      </c>
      <c r="BW10" s="370">
        <f>BV10*(70-10)*(3.14*(BQ10/1000)*1)</f>
        <v>42.160847248589121</v>
      </c>
      <c r="BX10" s="370">
        <f>BW10/1000000</f>
        <v>4.216084724858912E-5</v>
      </c>
      <c r="BY10" s="370">
        <f>BX10*8760</f>
        <v>0.36932902189764066</v>
      </c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69"/>
      <c r="CK10" s="369"/>
      <c r="CL10" s="369"/>
      <c r="CM10" s="369"/>
      <c r="CN10" s="369"/>
      <c r="CO10" s="369"/>
      <c r="CP10" s="369"/>
      <c r="CQ10" s="369"/>
      <c r="CR10" s="369"/>
      <c r="CS10" s="369"/>
      <c r="CT10" s="369"/>
      <c r="CU10" s="369"/>
      <c r="CV10" s="369"/>
      <c r="CW10" s="369"/>
      <c r="CX10" s="369"/>
      <c r="CY10" s="369"/>
      <c r="CZ10" s="369"/>
      <c r="DA10" s="369"/>
      <c r="DB10" s="369"/>
      <c r="DC10" s="369"/>
      <c r="DD10" s="369"/>
      <c r="DE10" s="369"/>
      <c r="DF10" s="369"/>
    </row>
    <row r="11" spans="1:110" s="328" customFormat="1" ht="32.25" customHeight="1" x14ac:dyDescent="0.25">
      <c r="A11" s="327"/>
      <c r="B11" s="435">
        <v>6</v>
      </c>
      <c r="C11" s="436">
        <v>712.9473684210526</v>
      </c>
      <c r="D11" s="437">
        <f t="shared" si="0"/>
        <v>6.0956999999999999</v>
      </c>
      <c r="E11" s="438">
        <v>5.9296000000000006</v>
      </c>
      <c r="F11" s="439">
        <v>17.3</v>
      </c>
      <c r="G11" s="442">
        <v>30</v>
      </c>
      <c r="H11" s="443">
        <v>13.633333333333333</v>
      </c>
      <c r="I11" s="436">
        <v>67.766666666666666</v>
      </c>
      <c r="J11" s="441">
        <v>46.8</v>
      </c>
      <c r="K11" s="327"/>
      <c r="L11" s="412" t="s">
        <v>354</v>
      </c>
      <c r="M11" s="413" t="s">
        <v>352</v>
      </c>
      <c r="N11" s="414"/>
      <c r="BB11" s="367"/>
      <c r="BC11" s="368"/>
      <c r="BD11" s="368"/>
      <c r="BE11" s="368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70">
        <v>200</v>
      </c>
      <c r="BR11" s="371">
        <f t="shared" si="1"/>
        <v>2.6731276962534725E-4</v>
      </c>
      <c r="BS11" s="371">
        <f t="shared" si="2"/>
        <v>1.0360940661986515</v>
      </c>
      <c r="BT11" s="371">
        <f t="shared" si="3"/>
        <v>0.14166066720281081</v>
      </c>
      <c r="BU11" s="372">
        <f t="shared" si="4"/>
        <v>1.1764705882352943E-2</v>
      </c>
      <c r="BV11" s="373">
        <f t="shared" ref="BV11:BV14" si="5">(SUM(BR11:BU11))^(-1)</f>
        <v>0.84048674964157266</v>
      </c>
      <c r="BW11" s="370">
        <f t="shared" ref="BW11:BW14" si="6">BV11*(70-10)*(3.14*(BQ11/1000)*1)</f>
        <v>31.669540726494464</v>
      </c>
      <c r="BX11" s="370">
        <f t="shared" ref="BX11:BX27" si="7">BW11/1000000</f>
        <v>3.1669540726494462E-5</v>
      </c>
      <c r="BY11" s="370">
        <f t="shared" ref="BY11:BY27" si="8">BX11*8760</f>
        <v>0.27742517676409151</v>
      </c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</row>
    <row r="12" spans="1:110" s="328" customFormat="1" ht="32.25" customHeight="1" x14ac:dyDescent="0.25">
      <c r="A12" s="327"/>
      <c r="B12" s="435">
        <v>7</v>
      </c>
      <c r="C12" s="436">
        <v>729.0526315789474</v>
      </c>
      <c r="D12" s="437">
        <f t="shared" si="0"/>
        <v>6.2334000000000005</v>
      </c>
      <c r="E12" s="438">
        <v>5.8533000000000008</v>
      </c>
      <c r="F12" s="439">
        <v>19.8</v>
      </c>
      <c r="G12" s="442">
        <v>31</v>
      </c>
      <c r="H12" s="443">
        <v>16.666666666666668</v>
      </c>
      <c r="I12" s="436">
        <v>67.466666666666669</v>
      </c>
      <c r="J12" s="441">
        <v>47.93333333333333</v>
      </c>
      <c r="K12" s="327"/>
      <c r="L12" s="412" t="s">
        <v>363</v>
      </c>
      <c r="M12" s="413">
        <v>18000</v>
      </c>
      <c r="N12" s="414" t="s">
        <v>340</v>
      </c>
      <c r="BB12" s="369"/>
      <c r="BC12" s="374"/>
      <c r="BD12" s="368"/>
      <c r="BE12" s="368"/>
      <c r="BF12" s="369"/>
      <c r="BG12" s="371" t="s">
        <v>331</v>
      </c>
      <c r="BH12" s="375"/>
      <c r="BI12" s="375" t="s">
        <v>380</v>
      </c>
      <c r="BJ12" s="375" t="s">
        <v>381</v>
      </c>
      <c r="BK12" s="375"/>
      <c r="BL12" s="375"/>
      <c r="BM12" s="375"/>
      <c r="BN12" s="605"/>
      <c r="BO12" s="605"/>
      <c r="BP12" s="369"/>
      <c r="BQ12" s="370">
        <v>250</v>
      </c>
      <c r="BR12" s="371">
        <f t="shared" si="1"/>
        <v>2.6731276962534725E-4</v>
      </c>
      <c r="BS12" s="371">
        <f t="shared" si="2"/>
        <v>1.4493228649286696</v>
      </c>
      <c r="BT12" s="371">
        <f t="shared" si="3"/>
        <v>0.13195286648076293</v>
      </c>
      <c r="BU12" s="372">
        <f t="shared" si="4"/>
        <v>1.142857142857143E-2</v>
      </c>
      <c r="BV12" s="373">
        <f t="shared" si="5"/>
        <v>0.6277575759682047</v>
      </c>
      <c r="BW12" s="370">
        <f t="shared" si="6"/>
        <v>29.567381828102441</v>
      </c>
      <c r="BX12" s="370">
        <f t="shared" si="7"/>
        <v>2.9567381828102441E-5</v>
      </c>
      <c r="BY12" s="370">
        <f t="shared" si="8"/>
        <v>0.25901026481417738</v>
      </c>
      <c r="BZ12" s="369"/>
      <c r="CA12" s="369"/>
      <c r="CB12" s="369"/>
      <c r="CC12" s="369"/>
      <c r="CD12" s="369"/>
      <c r="CE12" s="369"/>
      <c r="CF12" s="369"/>
      <c r="CG12" s="369"/>
      <c r="CH12" s="369"/>
      <c r="CI12" s="369"/>
      <c r="CJ12" s="369"/>
      <c r="CK12" s="369"/>
      <c r="CL12" s="369"/>
      <c r="CM12" s="369"/>
      <c r="CN12" s="369"/>
      <c r="CO12" s="369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69"/>
      <c r="DA12" s="369"/>
      <c r="DB12" s="369"/>
      <c r="DC12" s="369"/>
      <c r="DD12" s="369"/>
      <c r="DE12" s="369"/>
      <c r="DF12" s="369"/>
    </row>
    <row r="13" spans="1:110" s="328" customFormat="1" ht="32.25" customHeight="1" thickBot="1" x14ac:dyDescent="0.25">
      <c r="A13" s="327"/>
      <c r="B13" s="435">
        <v>8</v>
      </c>
      <c r="C13" s="436">
        <v>498.5263157894737</v>
      </c>
      <c r="D13" s="437">
        <f t="shared" si="0"/>
        <v>4.2624000000000004</v>
      </c>
      <c r="E13" s="438">
        <v>5.8315000000000001</v>
      </c>
      <c r="F13" s="439">
        <v>19.100000000000001</v>
      </c>
      <c r="G13" s="442">
        <v>31</v>
      </c>
      <c r="H13" s="443">
        <v>17.766666666666666</v>
      </c>
      <c r="I13" s="436">
        <v>66.433333333333337</v>
      </c>
      <c r="J13" s="441">
        <v>47.199999999999996</v>
      </c>
      <c r="K13" s="327"/>
      <c r="L13" s="415" t="s">
        <v>403</v>
      </c>
      <c r="M13" s="416">
        <v>6</v>
      </c>
      <c r="N13" s="417" t="s">
        <v>336</v>
      </c>
      <c r="BB13" s="370"/>
      <c r="BC13" s="368"/>
      <c r="BD13" s="368"/>
      <c r="BE13" s="368"/>
      <c r="BF13" s="370"/>
      <c r="BG13" s="376" t="s">
        <v>335</v>
      </c>
      <c r="BH13" s="376"/>
      <c r="BI13" s="376" t="s">
        <v>382</v>
      </c>
      <c r="BJ13" s="376" t="s">
        <v>382</v>
      </c>
      <c r="BK13" s="377" t="s">
        <v>337</v>
      </c>
      <c r="BL13" s="376">
        <v>1</v>
      </c>
      <c r="BM13" s="378">
        <v>2</v>
      </c>
      <c r="BN13" s="378">
        <v>3</v>
      </c>
      <c r="BO13" s="378">
        <v>4</v>
      </c>
      <c r="BP13" s="370"/>
      <c r="BQ13" s="370">
        <v>300</v>
      </c>
      <c r="BR13" s="371">
        <f t="shared" si="1"/>
        <v>2.6731276962534725E-4</v>
      </c>
      <c r="BS13" s="371">
        <f t="shared" si="2"/>
        <v>1.7869553775100673</v>
      </c>
      <c r="BT13" s="371">
        <f t="shared" si="3"/>
        <v>0.12424533248940002</v>
      </c>
      <c r="BU13" s="372">
        <f t="shared" si="4"/>
        <v>1.1111111111111113E-2</v>
      </c>
      <c r="BV13" s="373">
        <f t="shared" si="5"/>
        <v>0.52013463704964469</v>
      </c>
      <c r="BW13" s="370">
        <f t="shared" si="6"/>
        <v>29.398009686045917</v>
      </c>
      <c r="BX13" s="370">
        <f t="shared" si="7"/>
        <v>2.9398009686045916E-5</v>
      </c>
      <c r="BY13" s="370">
        <f t="shared" si="8"/>
        <v>0.25752656484976222</v>
      </c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0"/>
      <c r="CN13" s="370"/>
      <c r="CO13" s="370"/>
      <c r="CP13" s="370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</row>
    <row r="14" spans="1:110" s="328" customFormat="1" ht="32.25" customHeight="1" thickBot="1" x14ac:dyDescent="0.25">
      <c r="A14" s="327"/>
      <c r="B14" s="435">
        <v>9</v>
      </c>
      <c r="C14" s="436">
        <v>820</v>
      </c>
      <c r="D14" s="437">
        <f t="shared" si="0"/>
        <v>7.0110000000000001</v>
      </c>
      <c r="E14" s="438">
        <v>6.0277000000000003</v>
      </c>
      <c r="F14" s="439">
        <v>14.6</v>
      </c>
      <c r="G14" s="442">
        <v>30</v>
      </c>
      <c r="H14" s="443">
        <v>15.266666666666667</v>
      </c>
      <c r="I14" s="436">
        <v>66</v>
      </c>
      <c r="J14" s="441">
        <v>46.866666666666667</v>
      </c>
      <c r="K14" s="327"/>
      <c r="L14" s="415" t="s">
        <v>364</v>
      </c>
      <c r="M14" s="418">
        <v>2</v>
      </c>
      <c r="N14" s="417" t="s">
        <v>336</v>
      </c>
      <c r="BB14" s="370"/>
      <c r="BC14" s="370"/>
      <c r="BD14" s="370"/>
      <c r="BE14" s="370"/>
      <c r="BF14" s="370"/>
      <c r="BG14" s="371">
        <v>1</v>
      </c>
      <c r="BH14" s="379"/>
      <c r="BI14" s="379">
        <f t="shared" ref="BI14:BI25" si="9">((I6-H6)/$BD$19)*(G6*24)/1000</f>
        <v>1786.9947922171436</v>
      </c>
      <c r="BJ14" s="379">
        <f t="shared" ref="BJ14:BJ25" si="10">((J6-H6)/$BD$19)*(G6*24)/1000</f>
        <v>1078.0285599668925</v>
      </c>
      <c r="BK14" s="371"/>
      <c r="BL14" s="370">
        <f>(((M6/1000)/2)/25)*LN((BD25/2)/(M6/2))</f>
        <v>2.6731276962534725E-4</v>
      </c>
      <c r="BM14" s="370">
        <f>(((M6/1000)/2)/M10)*LN((M7/2)/(BD25/2))</f>
        <v>1.0360940661986515</v>
      </c>
      <c r="BN14" s="370">
        <f>(((M6/1000)/2)/BD22)*LN(((2*(BD23+((M7/1000)/2)))/(M7/1000/2)))</f>
        <v>0.14166066720281081</v>
      </c>
      <c r="BO14" s="370">
        <f>(((M6/1000)/2)/(BD23+((M7/1000)/2)))*(1/BD24)</f>
        <v>1.1764705882352943E-2</v>
      </c>
      <c r="BP14" s="370">
        <f>(SUM(BL14:BO14))^(-1)</f>
        <v>0.84048674964157266</v>
      </c>
      <c r="BQ14" s="370">
        <v>250</v>
      </c>
      <c r="BR14" s="371">
        <f t="shared" si="1"/>
        <v>2.6731276962534725E-4</v>
      </c>
      <c r="BS14" s="371">
        <f t="shared" si="2"/>
        <v>1.4493228649286696</v>
      </c>
      <c r="BT14" s="371">
        <f t="shared" si="3"/>
        <v>0.13195286648076293</v>
      </c>
      <c r="BU14" s="372">
        <f t="shared" si="4"/>
        <v>1.142857142857143E-2</v>
      </c>
      <c r="BV14" s="373">
        <f t="shared" si="5"/>
        <v>0.6277575759682047</v>
      </c>
      <c r="BW14" s="370">
        <f t="shared" si="6"/>
        <v>29.567381828102441</v>
      </c>
      <c r="BX14" s="370">
        <f t="shared" si="7"/>
        <v>2.9567381828102441E-5</v>
      </c>
      <c r="BY14" s="370">
        <f t="shared" si="8"/>
        <v>0.25901026481417738</v>
      </c>
      <c r="BZ14" s="370"/>
      <c r="CA14" s="370"/>
      <c r="CB14" s="370"/>
      <c r="CC14" s="370"/>
      <c r="CD14" s="370"/>
      <c r="CE14" s="370"/>
      <c r="CF14" s="370"/>
      <c r="CG14" s="370"/>
      <c r="CH14" s="370"/>
      <c r="CI14" s="370"/>
      <c r="CJ14" s="370"/>
      <c r="CK14" s="370"/>
      <c r="CL14" s="370"/>
      <c r="CM14" s="370"/>
      <c r="CN14" s="370"/>
      <c r="CO14" s="370"/>
      <c r="CP14" s="370"/>
      <c r="CQ14" s="370"/>
      <c r="CR14" s="370"/>
      <c r="CS14" s="370"/>
      <c r="CT14" s="370"/>
      <c r="CU14" s="370"/>
      <c r="CV14" s="370"/>
      <c r="CW14" s="370"/>
      <c r="CX14" s="370"/>
      <c r="CY14" s="370"/>
      <c r="CZ14" s="370"/>
      <c r="DA14" s="370"/>
      <c r="DB14" s="370"/>
      <c r="DC14" s="370"/>
      <c r="DD14" s="370"/>
      <c r="DE14" s="370"/>
      <c r="DF14" s="370"/>
    </row>
    <row r="15" spans="1:110" s="328" customFormat="1" ht="32.25" customHeight="1" thickBot="1" x14ac:dyDescent="0.25">
      <c r="A15" s="327"/>
      <c r="B15" s="435">
        <v>10</v>
      </c>
      <c r="C15" s="436">
        <v>1650.8421052631581</v>
      </c>
      <c r="D15" s="437">
        <f t="shared" si="0"/>
        <v>14.114700000000003</v>
      </c>
      <c r="E15" s="438">
        <v>6.0167999999999999</v>
      </c>
      <c r="F15" s="439">
        <v>8</v>
      </c>
      <c r="G15" s="442">
        <v>31</v>
      </c>
      <c r="H15" s="443">
        <v>11.46</v>
      </c>
      <c r="I15" s="436">
        <v>69.338235294117652</v>
      </c>
      <c r="J15" s="441">
        <v>43.205882352941174</v>
      </c>
      <c r="K15" s="327"/>
      <c r="BB15" s="370"/>
      <c r="BC15" s="370" t="s">
        <v>372</v>
      </c>
      <c r="BD15" s="370">
        <f>2*PI()*((M6/1000)/2)*$M$5</f>
        <v>31.415926535897931</v>
      </c>
      <c r="BE15" s="370" t="s">
        <v>116</v>
      </c>
      <c r="BF15" s="370"/>
      <c r="BG15" s="371">
        <v>2</v>
      </c>
      <c r="BH15" s="379"/>
      <c r="BI15" s="379">
        <f t="shared" si="9"/>
        <v>1645.4247590689879</v>
      </c>
      <c r="BJ15" s="379">
        <f t="shared" si="10"/>
        <v>1006.3340914623617</v>
      </c>
      <c r="BK15" s="371"/>
      <c r="BL15" s="370"/>
      <c r="BM15" s="370"/>
      <c r="BN15" s="370"/>
      <c r="BO15" s="370"/>
      <c r="BP15" s="370">
        <f>BP14*(70-10)*(3.14*(M7/1000)*1)</f>
        <v>31.669540726494464</v>
      </c>
      <c r="BQ15" s="370">
        <v>260</v>
      </c>
      <c r="BR15" s="371">
        <f t="shared" si="1"/>
        <v>2.6731276962534725E-4</v>
      </c>
      <c r="BS15" s="371">
        <f t="shared" si="2"/>
        <v>1.521953815212524</v>
      </c>
      <c r="BT15" s="371">
        <f t="shared" si="3"/>
        <v>0.13027673187883076</v>
      </c>
      <c r="BU15" s="372">
        <f t="shared" si="4"/>
        <v>1.1363636363636366E-2</v>
      </c>
      <c r="BV15" s="373">
        <f t="shared" ref="BV15:BV24" si="11">(SUM(BR15:BU15))^(-1)</f>
        <v>0.60101156392467103</v>
      </c>
      <c r="BW15" s="370">
        <f t="shared" ref="BW15:BW24" si="12">BV15*(70-10)*(3.14*(BQ15/1000)*1)</f>
        <v>29.43995044728609</v>
      </c>
      <c r="BX15" s="370">
        <f t="shared" si="7"/>
        <v>2.9439950447286091E-5</v>
      </c>
      <c r="BY15" s="370">
        <f t="shared" si="8"/>
        <v>0.25789396591822616</v>
      </c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  <c r="CW15" s="370"/>
      <c r="CX15" s="370"/>
      <c r="CY15" s="370"/>
      <c r="CZ15" s="370"/>
      <c r="DA15" s="370"/>
      <c r="DB15" s="370"/>
      <c r="DC15" s="370"/>
      <c r="DD15" s="370"/>
      <c r="DE15" s="370"/>
      <c r="DF15" s="370"/>
    </row>
    <row r="16" spans="1:110" s="328" customFormat="1" ht="32.25" customHeight="1" thickBot="1" x14ac:dyDescent="0.25">
      <c r="A16" s="327"/>
      <c r="B16" s="435">
        <v>11</v>
      </c>
      <c r="C16" s="436">
        <v>2948.4210526315787</v>
      </c>
      <c r="D16" s="437">
        <f t="shared" si="0"/>
        <v>25.208999999999996</v>
      </c>
      <c r="E16" s="438">
        <v>6.6708000000000007</v>
      </c>
      <c r="F16" s="439">
        <v>2.6999999999999993</v>
      </c>
      <c r="G16" s="442">
        <v>30</v>
      </c>
      <c r="H16" s="443">
        <v>7.7</v>
      </c>
      <c r="I16" s="436">
        <v>70.033333333333331</v>
      </c>
      <c r="J16" s="441">
        <v>41.2</v>
      </c>
      <c r="K16" s="327"/>
      <c r="L16" s="602" t="s">
        <v>344</v>
      </c>
      <c r="M16" s="603"/>
      <c r="N16" s="604"/>
      <c r="BB16" s="370"/>
      <c r="BC16" s="370" t="s">
        <v>373</v>
      </c>
      <c r="BD16" s="370">
        <f>2*PI()*(((BD25+M8*2)/1000)/2)*$M$5</f>
        <v>37.919023328828807</v>
      </c>
      <c r="BE16" s="370" t="s">
        <v>116</v>
      </c>
      <c r="BF16" s="370"/>
      <c r="BG16" s="371">
        <v>3</v>
      </c>
      <c r="BH16" s="379"/>
      <c r="BI16" s="379">
        <f t="shared" si="9"/>
        <v>1729.5110436563123</v>
      </c>
      <c r="BJ16" s="379">
        <f t="shared" si="10"/>
        <v>1044.7046477577148</v>
      </c>
      <c r="BK16" s="371"/>
      <c r="BL16" s="370"/>
      <c r="BM16" s="370"/>
      <c r="BN16" s="370"/>
      <c r="BO16" s="370"/>
      <c r="BP16" s="370">
        <f>BP15/1000000</f>
        <v>3.1669540726494462E-5</v>
      </c>
      <c r="BQ16" s="370">
        <v>270</v>
      </c>
      <c r="BR16" s="371">
        <f t="shared" si="1"/>
        <v>2.6731276962534725E-4</v>
      </c>
      <c r="BS16" s="371">
        <f t="shared" si="2"/>
        <v>1.5918433114770556</v>
      </c>
      <c r="BT16" s="371">
        <f t="shared" si="3"/>
        <v>0.12867300235647228</v>
      </c>
      <c r="BU16" s="372">
        <f t="shared" si="4"/>
        <v>1.1299435028248588E-2</v>
      </c>
      <c r="BV16" s="373">
        <f t="shared" si="11"/>
        <v>0.57733951803565775</v>
      </c>
      <c r="BW16" s="370">
        <f t="shared" si="12"/>
        <v>29.368106603437845</v>
      </c>
      <c r="BX16" s="370">
        <f t="shared" si="7"/>
        <v>2.9368106603437846E-5</v>
      </c>
      <c r="BY16" s="370">
        <f t="shared" si="8"/>
        <v>0.25726461384611554</v>
      </c>
      <c r="BZ16" s="370"/>
      <c r="CA16" s="370"/>
      <c r="CB16" s="370"/>
      <c r="CC16" s="370"/>
      <c r="CD16" s="370"/>
      <c r="CE16" s="370"/>
      <c r="CF16" s="370"/>
      <c r="CG16" s="370"/>
      <c r="CH16" s="370"/>
      <c r="CI16" s="370"/>
      <c r="CJ16" s="370"/>
      <c r="CK16" s="370"/>
      <c r="CL16" s="370"/>
      <c r="CM16" s="370"/>
      <c r="CN16" s="370"/>
      <c r="CO16" s="370"/>
      <c r="CP16" s="370"/>
      <c r="CQ16" s="370"/>
      <c r="CR16" s="370"/>
      <c r="CS16" s="370"/>
      <c r="CT16" s="370"/>
      <c r="CU16" s="370"/>
      <c r="CV16" s="370"/>
      <c r="CW16" s="370"/>
      <c r="CX16" s="370"/>
      <c r="CY16" s="370"/>
      <c r="CZ16" s="370"/>
      <c r="DA16" s="370"/>
      <c r="DB16" s="380">
        <f t="shared" ref="DB16:DB27" si="13">D6/$D$18</f>
        <v>0.15078653964819161</v>
      </c>
      <c r="DC16" s="380">
        <f t="shared" ref="DC16:DC27" si="14">DB16*E6</f>
        <v>0.94012391739854506</v>
      </c>
      <c r="DD16" s="370"/>
      <c r="DE16" s="370"/>
      <c r="DF16" s="370"/>
    </row>
    <row r="17" spans="1:110" s="332" customFormat="1" ht="32.25" customHeight="1" thickBot="1" x14ac:dyDescent="0.25">
      <c r="A17" s="331"/>
      <c r="B17" s="444">
        <v>12</v>
      </c>
      <c r="C17" s="445">
        <v>3704.7368421052633</v>
      </c>
      <c r="D17" s="446">
        <f t="shared" si="0"/>
        <v>31.6755</v>
      </c>
      <c r="E17" s="447">
        <v>6.8234000000000004</v>
      </c>
      <c r="F17" s="448">
        <v>-1.1000000000000014</v>
      </c>
      <c r="G17" s="449">
        <v>31</v>
      </c>
      <c r="H17" s="450">
        <v>4.9333333333333336</v>
      </c>
      <c r="I17" s="445">
        <v>72.100000000000009</v>
      </c>
      <c r="J17" s="451">
        <v>44.399999999999991</v>
      </c>
      <c r="K17" s="331"/>
      <c r="L17" s="396" t="s">
        <v>356</v>
      </c>
      <c r="M17" s="397">
        <f>'Galutiniai rezultatai'!I16</f>
        <v>16.407639676324671</v>
      </c>
      <c r="N17" s="398" t="s">
        <v>3</v>
      </c>
      <c r="BB17" s="370"/>
      <c r="BC17" s="370" t="s">
        <v>374</v>
      </c>
      <c r="BD17" s="370">
        <f>2*PI()*((M7/1000)/2)*$M$5</f>
        <v>62.831853071795862</v>
      </c>
      <c r="BE17" s="370" t="s">
        <v>116</v>
      </c>
      <c r="BF17" s="370"/>
      <c r="BG17" s="371">
        <v>4</v>
      </c>
      <c r="BH17" s="379"/>
      <c r="BI17" s="379">
        <f t="shared" si="9"/>
        <v>1594.3497649297933</v>
      </c>
      <c r="BJ17" s="379">
        <f t="shared" si="10"/>
        <v>919.34959497967725</v>
      </c>
      <c r="BK17" s="371"/>
      <c r="BL17" s="370"/>
      <c r="BM17" s="370"/>
      <c r="BN17" s="370"/>
      <c r="BO17" s="370"/>
      <c r="BP17" s="370">
        <f>BP16*8760</f>
        <v>0.27742517676409151</v>
      </c>
      <c r="BQ17" s="370">
        <v>280</v>
      </c>
      <c r="BR17" s="371">
        <f t="shared" si="1"/>
        <v>2.6731276962534725E-4</v>
      </c>
      <c r="BS17" s="371">
        <f t="shared" si="2"/>
        <v>1.6591908006823792</v>
      </c>
      <c r="BT17" s="371">
        <f t="shared" si="3"/>
        <v>0.12713631103384135</v>
      </c>
      <c r="BU17" s="372">
        <f t="shared" si="4"/>
        <v>1.1235955056179777E-2</v>
      </c>
      <c r="BV17" s="373">
        <f t="shared" si="11"/>
        <v>0.5562259996155684</v>
      </c>
      <c r="BW17" s="370">
        <f t="shared" si="12"/>
        <v>29.342033931720469</v>
      </c>
      <c r="BX17" s="370">
        <f t="shared" si="7"/>
        <v>2.9342033931720468E-5</v>
      </c>
      <c r="BY17" s="370">
        <f t="shared" si="8"/>
        <v>0.25703621724187131</v>
      </c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80">
        <f t="shared" si="13"/>
        <v>0.14934955157519247</v>
      </c>
      <c r="DC17" s="380">
        <f t="shared" si="14"/>
        <v>0.92953667404884055</v>
      </c>
      <c r="DD17" s="370"/>
      <c r="DE17" s="370"/>
      <c r="DF17" s="370"/>
    </row>
    <row r="18" spans="1:110" ht="32.25" customHeight="1" thickBot="1" x14ac:dyDescent="0.3">
      <c r="A18" s="323"/>
      <c r="B18" s="452" t="s">
        <v>361</v>
      </c>
      <c r="C18" s="453">
        <f>SUM(C6:C17)</f>
        <v>24905.894736842107</v>
      </c>
      <c r="D18" s="454">
        <f>SUM(D6:D17)</f>
        <v>212.94540000000006</v>
      </c>
      <c r="E18" s="455"/>
      <c r="F18" s="456"/>
      <c r="G18" s="457">
        <f>SUM(G6:G17)</f>
        <v>365</v>
      </c>
      <c r="H18" s="456"/>
      <c r="I18" s="458"/>
      <c r="J18" s="459"/>
      <c r="K18" s="323"/>
      <c r="L18" s="399" t="s">
        <v>355</v>
      </c>
      <c r="M18" s="400">
        <f>'Galutiniai rezultatai'!I22</f>
        <v>13.20357926511323</v>
      </c>
      <c r="N18" s="401" t="s">
        <v>3</v>
      </c>
      <c r="BB18" s="370"/>
      <c r="BC18" s="370" t="s">
        <v>375</v>
      </c>
      <c r="BD18" s="370">
        <f>((BD17-BD16)/(LN(BD17/BD16)))</f>
        <v>49.331433657925928</v>
      </c>
      <c r="BE18" s="370" t="s">
        <v>116</v>
      </c>
      <c r="BF18" s="370"/>
      <c r="BG18" s="371">
        <v>5</v>
      </c>
      <c r="BH18" s="379"/>
      <c r="BI18" s="379">
        <f t="shared" si="9"/>
        <v>1507.9070274652825</v>
      </c>
      <c r="BJ18" s="379">
        <f t="shared" si="10"/>
        <v>905.57731428439877</v>
      </c>
      <c r="BK18" s="371"/>
      <c r="BL18" s="371"/>
      <c r="BM18" s="379"/>
      <c r="BN18" s="379"/>
      <c r="BO18" s="379"/>
      <c r="BP18" s="370"/>
      <c r="BQ18" s="370">
        <v>290</v>
      </c>
      <c r="BR18" s="371">
        <f t="shared" si="1"/>
        <v>2.6731276962534725E-4</v>
      </c>
      <c r="BS18" s="371">
        <f t="shared" si="2"/>
        <v>1.7241747262588052</v>
      </c>
      <c r="BT18" s="371">
        <f t="shared" si="3"/>
        <v>0.12566185782071132</v>
      </c>
      <c r="BU18" s="372">
        <f t="shared" si="4"/>
        <v>1.1173184357541902E-2</v>
      </c>
      <c r="BV18" s="373">
        <f t="shared" si="11"/>
        <v>0.53726552059174892</v>
      </c>
      <c r="BW18" s="370">
        <f t="shared" si="12"/>
        <v>29.354038983050792</v>
      </c>
      <c r="BX18" s="370">
        <f t="shared" si="7"/>
        <v>2.9354038983050793E-5</v>
      </c>
      <c r="BY18" s="370">
        <f t="shared" si="8"/>
        <v>0.25714138149152493</v>
      </c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0"/>
      <c r="CM18" s="370"/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  <c r="DB18" s="380">
        <f t="shared" si="13"/>
        <v>0.17671149505929687</v>
      </c>
      <c r="DC18" s="380">
        <f t="shared" si="14"/>
        <v>1.0882777423226799</v>
      </c>
      <c r="DD18" s="370"/>
      <c r="DE18" s="370"/>
      <c r="DF18" s="370"/>
    </row>
    <row r="19" spans="1:110" ht="32.25" customHeight="1" thickBot="1" x14ac:dyDescent="0.3">
      <c r="A19" s="323"/>
      <c r="B19" s="460" t="s">
        <v>360</v>
      </c>
      <c r="C19" s="461"/>
      <c r="D19" s="462"/>
      <c r="E19" s="463">
        <f>IF(D17=0,M13,SUM(DC16:DC27))</f>
        <v>6.2983179319205771</v>
      </c>
      <c r="F19" s="461">
        <f>AVERAGE(F6:F17)</f>
        <v>8.0416666666666661</v>
      </c>
      <c r="G19" s="461"/>
      <c r="H19" s="461">
        <f t="shared" ref="H19" si="15">AVERAGE(H6:H17)</f>
        <v>8.8685328517371875</v>
      </c>
      <c r="I19" s="461">
        <f>AVERAGE(I6:I17)</f>
        <v>69.831260749913994</v>
      </c>
      <c r="J19" s="464">
        <f>AVERAGE(J6:J17)</f>
        <v>45.029802201582385</v>
      </c>
      <c r="K19" s="323"/>
      <c r="L19" s="399" t="s">
        <v>357</v>
      </c>
      <c r="M19" s="400">
        <f>SUM(M17:M18)</f>
        <v>29.611218941437901</v>
      </c>
      <c r="N19" s="401" t="s">
        <v>3</v>
      </c>
      <c r="BB19" s="370"/>
      <c r="BC19" s="370" t="s">
        <v>376</v>
      </c>
      <c r="BD19" s="370">
        <f>(((BD21/2)-(BD25/2))/1000)/(M10*BD18)</f>
        <v>2.9768413557601445E-2</v>
      </c>
      <c r="BE19" s="370" t="s">
        <v>377</v>
      </c>
      <c r="BF19" s="370"/>
      <c r="BG19" s="371">
        <v>6</v>
      </c>
      <c r="BH19" s="379"/>
      <c r="BI19" s="379">
        <f t="shared" si="9"/>
        <v>1309.307260347684</v>
      </c>
      <c r="BJ19" s="379">
        <f t="shared" si="10"/>
        <v>802.19256406770046</v>
      </c>
      <c r="BK19" s="371"/>
      <c r="BL19" s="371"/>
      <c r="BM19" s="379"/>
      <c r="BN19" s="379"/>
      <c r="BO19" s="379"/>
      <c r="BP19" s="370"/>
      <c r="BQ19" s="370">
        <v>300</v>
      </c>
      <c r="BR19" s="371">
        <f t="shared" si="1"/>
        <v>2.6731276962534725E-4</v>
      </c>
      <c r="BS19" s="371">
        <f t="shared" si="2"/>
        <v>1.7869553775100673</v>
      </c>
      <c r="BT19" s="371">
        <f t="shared" si="3"/>
        <v>0.12424533248940002</v>
      </c>
      <c r="BU19" s="372">
        <f t="shared" si="4"/>
        <v>1.1111111111111113E-2</v>
      </c>
      <c r="BV19" s="373">
        <f t="shared" si="11"/>
        <v>0.52013463704964469</v>
      </c>
      <c r="BW19" s="370">
        <f t="shared" si="12"/>
        <v>29.398009686045917</v>
      </c>
      <c r="BX19" s="370">
        <f t="shared" si="7"/>
        <v>2.9398009686045916E-5</v>
      </c>
      <c r="BY19" s="370">
        <f t="shared" si="8"/>
        <v>0.25752656484976222</v>
      </c>
      <c r="BZ19" s="370"/>
      <c r="CA19" s="370"/>
      <c r="CB19" s="370"/>
      <c r="CC19" s="370"/>
      <c r="CD19" s="370"/>
      <c r="CE19" s="370"/>
      <c r="CF19" s="370"/>
      <c r="CG19" s="370"/>
      <c r="CH19" s="370"/>
      <c r="CI19" s="370"/>
      <c r="CJ19" s="370"/>
      <c r="CK19" s="370"/>
      <c r="CL19" s="370"/>
      <c r="CM19" s="370"/>
      <c r="CN19" s="370"/>
      <c r="CO19" s="370"/>
      <c r="CP19" s="370"/>
      <c r="CQ19" s="370"/>
      <c r="CR19" s="370"/>
      <c r="CS19" s="370"/>
      <c r="CT19" s="370"/>
      <c r="CU19" s="370"/>
      <c r="CV19" s="370"/>
      <c r="CW19" s="370"/>
      <c r="CX19" s="370"/>
      <c r="CY19" s="370"/>
      <c r="CZ19" s="370"/>
      <c r="DA19" s="370"/>
      <c r="DB19" s="380">
        <f t="shared" si="13"/>
        <v>4.90858219994421E-2</v>
      </c>
      <c r="DC19" s="380">
        <f t="shared" si="14"/>
        <v>0.29961985748459458</v>
      </c>
      <c r="DD19" s="370"/>
      <c r="DE19" s="370"/>
      <c r="DF19" s="370"/>
    </row>
    <row r="20" spans="1:110" ht="29.25" customHeight="1" x14ac:dyDescent="0.25">
      <c r="G20" s="335"/>
      <c r="H20" s="335"/>
      <c r="L20" s="402" t="s">
        <v>399</v>
      </c>
      <c r="M20" s="403">
        <f>M19*M14*10</f>
        <v>592.22437882875806</v>
      </c>
      <c r="N20" s="404" t="s">
        <v>400</v>
      </c>
      <c r="BB20" s="370"/>
      <c r="BC20" s="370" t="s">
        <v>386</v>
      </c>
      <c r="BD20" s="370">
        <v>0.2</v>
      </c>
      <c r="BE20" s="370" t="s">
        <v>371</v>
      </c>
      <c r="BF20" s="370"/>
      <c r="BG20" s="371">
        <v>7</v>
      </c>
      <c r="BH20" s="379"/>
      <c r="BI20" s="379">
        <f t="shared" si="9"/>
        <v>1269.6410551696629</v>
      </c>
      <c r="BJ20" s="379">
        <f t="shared" si="10"/>
        <v>781.44574130521244</v>
      </c>
      <c r="BK20" s="371"/>
      <c r="BL20" s="371"/>
      <c r="BM20" s="379"/>
      <c r="BN20" s="379"/>
      <c r="BO20" s="379"/>
      <c r="BP20" s="370"/>
      <c r="BQ20" s="370">
        <v>310</v>
      </c>
      <c r="BR20" s="371">
        <f t="shared" si="1"/>
        <v>2.6731276962534725E-4</v>
      </c>
      <c r="BS20" s="371">
        <f t="shared" si="2"/>
        <v>1.8476772716267169</v>
      </c>
      <c r="BT20" s="371">
        <f t="shared" si="3"/>
        <v>0.12288285036703124</v>
      </c>
      <c r="BU20" s="372">
        <f t="shared" si="4"/>
        <v>1.1049723756906079E-2</v>
      </c>
      <c r="BV20" s="373">
        <f t="shared" si="11"/>
        <v>0.50457214045830456</v>
      </c>
      <c r="BW20" s="370">
        <f t="shared" si="12"/>
        <v>29.469031291326822</v>
      </c>
      <c r="BX20" s="370">
        <f t="shared" si="7"/>
        <v>2.9469031291326821E-5</v>
      </c>
      <c r="BY20" s="370">
        <f t="shared" si="8"/>
        <v>0.25814871411202295</v>
      </c>
      <c r="BZ20" s="370"/>
      <c r="CA20" s="370"/>
      <c r="CB20" s="370"/>
      <c r="CC20" s="370"/>
      <c r="CD20" s="370"/>
      <c r="CE20" s="370"/>
      <c r="CF20" s="370"/>
      <c r="CG20" s="370"/>
      <c r="CH20" s="370"/>
      <c r="CI20" s="370"/>
      <c r="CJ20" s="370"/>
      <c r="CK20" s="370"/>
      <c r="CL20" s="370"/>
      <c r="CM20" s="370"/>
      <c r="CN20" s="370"/>
      <c r="CO20" s="370"/>
      <c r="CP20" s="370"/>
      <c r="CQ20" s="370"/>
      <c r="CR20" s="370"/>
      <c r="CS20" s="370"/>
      <c r="CT20" s="370"/>
      <c r="CU20" s="370"/>
      <c r="CV20" s="370"/>
      <c r="CW20" s="370"/>
      <c r="CX20" s="370"/>
      <c r="CY20" s="370"/>
      <c r="CZ20" s="370"/>
      <c r="DA20" s="370"/>
      <c r="DB20" s="380">
        <f t="shared" si="13"/>
        <v>2.98132760792203E-2</v>
      </c>
      <c r="DC20" s="380">
        <f t="shared" si="14"/>
        <v>0.18100534305977023</v>
      </c>
      <c r="DD20" s="370"/>
      <c r="DE20" s="370"/>
      <c r="DF20" s="370"/>
    </row>
    <row r="21" spans="1:110" ht="28.9" customHeight="1" x14ac:dyDescent="0.25">
      <c r="E21" s="333"/>
      <c r="F21" s="333"/>
      <c r="G21" s="336"/>
      <c r="H21" s="336"/>
      <c r="I21" s="336"/>
      <c r="J21" s="337"/>
      <c r="K21" s="333"/>
      <c r="L21" s="399" t="s">
        <v>367</v>
      </c>
      <c r="M21" s="405">
        <f>E19*10*D18</f>
        <v>13411.978313400004</v>
      </c>
      <c r="N21" s="401" t="s">
        <v>400</v>
      </c>
      <c r="BB21" s="370"/>
      <c r="BC21" s="381" t="s">
        <v>389</v>
      </c>
      <c r="BD21" s="370">
        <f>M7-(2*M8)</f>
        <v>193.6</v>
      </c>
      <c r="BE21" s="370" t="s">
        <v>0</v>
      </c>
      <c r="BF21" s="370"/>
      <c r="BG21" s="371">
        <v>8</v>
      </c>
      <c r="BH21" s="379"/>
      <c r="BI21" s="379">
        <f t="shared" si="9"/>
        <v>1216.3227956349792</v>
      </c>
      <c r="BJ21" s="379">
        <f t="shared" si="10"/>
        <v>735.62536201759349</v>
      </c>
      <c r="BK21" s="371"/>
      <c r="BL21" s="371"/>
      <c r="BM21" s="379"/>
      <c r="BN21" s="379"/>
      <c r="BO21" s="379"/>
      <c r="BP21" s="370"/>
      <c r="BQ21" s="370">
        <v>320</v>
      </c>
      <c r="BR21" s="371">
        <f t="shared" si="1"/>
        <v>2.6731276962534725E-4</v>
      </c>
      <c r="BS21" s="371">
        <f t="shared" si="2"/>
        <v>1.9064711573944584</v>
      </c>
      <c r="BT21" s="371">
        <f t="shared" si="3"/>
        <v>0.1215708982418507</v>
      </c>
      <c r="BU21" s="372">
        <f t="shared" si="4"/>
        <v>1.098901098901099E-2</v>
      </c>
      <c r="BV21" s="373">
        <f t="shared" si="11"/>
        <v>0.49036473039158568</v>
      </c>
      <c r="BW21" s="370">
        <f t="shared" si="12"/>
        <v>29.563108865847919</v>
      </c>
      <c r="BX21" s="370">
        <f t="shared" si="7"/>
        <v>2.9563108865847921E-5</v>
      </c>
      <c r="BY21" s="370">
        <f t="shared" si="8"/>
        <v>0.25897283366482776</v>
      </c>
      <c r="BZ21" s="370"/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0"/>
      <c r="CL21" s="370"/>
      <c r="CM21" s="370"/>
      <c r="CN21" s="370"/>
      <c r="CO21" s="370"/>
      <c r="CP21" s="370"/>
      <c r="CQ21" s="370"/>
      <c r="CR21" s="370"/>
      <c r="CS21" s="370"/>
      <c r="CT21" s="370"/>
      <c r="CU21" s="370"/>
      <c r="CV21" s="370"/>
      <c r="CW21" s="370"/>
      <c r="CX21" s="370"/>
      <c r="CY21" s="371"/>
      <c r="CZ21" s="382"/>
      <c r="DA21" s="383"/>
      <c r="DB21" s="380">
        <f t="shared" si="13"/>
        <v>2.8625647701241718E-2</v>
      </c>
      <c r="DC21" s="380">
        <f t="shared" si="14"/>
        <v>0.1697386406092829</v>
      </c>
      <c r="DD21" s="370"/>
      <c r="DE21" s="370"/>
      <c r="DF21" s="370"/>
    </row>
    <row r="22" spans="1:110" s="328" customFormat="1" ht="27" customHeight="1" x14ac:dyDescent="0.2">
      <c r="E22" s="324"/>
      <c r="F22" s="329"/>
      <c r="G22" s="338"/>
      <c r="H22" s="338"/>
      <c r="I22" s="338"/>
      <c r="J22" s="338"/>
      <c r="K22" s="329"/>
      <c r="L22" s="399" t="s">
        <v>365</v>
      </c>
      <c r="M22" s="405">
        <f>M21-M20</f>
        <v>12819.753934571247</v>
      </c>
      <c r="N22" s="401" t="s">
        <v>400</v>
      </c>
      <c r="O22" s="328" t="s">
        <v>404</v>
      </c>
      <c r="BB22" s="370"/>
      <c r="BC22" s="379" t="s">
        <v>395</v>
      </c>
      <c r="BD22" s="370">
        <v>1</v>
      </c>
      <c r="BE22" s="370" t="s">
        <v>371</v>
      </c>
      <c r="BF22" s="370"/>
      <c r="BG22" s="371">
        <v>9</v>
      </c>
      <c r="BH22" s="379"/>
      <c r="BI22" s="379">
        <f t="shared" si="9"/>
        <v>1227.0724447347138</v>
      </c>
      <c r="BJ22" s="379">
        <f t="shared" si="10"/>
        <v>764.30005099113578</v>
      </c>
      <c r="BK22" s="371"/>
      <c r="BL22" s="371"/>
      <c r="BM22" s="379"/>
      <c r="BN22" s="379"/>
      <c r="BO22" s="379"/>
      <c r="BP22" s="370"/>
      <c r="BQ22" s="370">
        <v>330</v>
      </c>
      <c r="BR22" s="371">
        <f t="shared" si="1"/>
        <v>2.6731276962534725E-4</v>
      </c>
      <c r="BS22" s="371">
        <f t="shared" si="2"/>
        <v>1.9634557104810388</v>
      </c>
      <c r="BT22" s="371">
        <f t="shared" si="3"/>
        <v>0.1203062885967443</v>
      </c>
      <c r="BU22" s="372">
        <f t="shared" si="4"/>
        <v>1.092896174863388E-2</v>
      </c>
      <c r="BV22" s="373">
        <f t="shared" si="11"/>
        <v>0.47733647615018021</v>
      </c>
      <c r="BW22" s="370">
        <f t="shared" si="12"/>
        <v>29.676963395209004</v>
      </c>
      <c r="BX22" s="370">
        <f t="shared" si="7"/>
        <v>2.9676963395209005E-5</v>
      </c>
      <c r="BY22" s="370">
        <f t="shared" si="8"/>
        <v>0.25997019934203086</v>
      </c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1" t="s">
        <v>341</v>
      </c>
      <c r="CZ22" s="382">
        <v>90</v>
      </c>
      <c r="DA22" s="383" t="s">
        <v>339</v>
      </c>
      <c r="DB22" s="380">
        <f t="shared" si="13"/>
        <v>2.9272292334091267E-2</v>
      </c>
      <c r="DC22" s="380">
        <f t="shared" si="14"/>
        <v>0.17133950871913645</v>
      </c>
      <c r="DD22" s="370"/>
      <c r="DE22" s="370"/>
      <c r="DF22" s="370"/>
    </row>
    <row r="23" spans="1:110" s="328" customFormat="1" ht="27" customHeight="1" thickBot="1" x14ac:dyDescent="0.25">
      <c r="E23" s="330"/>
      <c r="F23" s="329"/>
      <c r="G23" s="330"/>
      <c r="H23" s="330"/>
      <c r="I23" s="339"/>
      <c r="J23" s="340"/>
      <c r="K23" s="329"/>
      <c r="L23" s="406" t="s">
        <v>366</v>
      </c>
      <c r="M23" s="407">
        <f>M12/M22</f>
        <v>1.4040831120368931</v>
      </c>
      <c r="N23" s="408" t="s">
        <v>11</v>
      </c>
      <c r="BB23" s="370"/>
      <c r="BC23" s="379" t="s">
        <v>396</v>
      </c>
      <c r="BD23" s="370">
        <v>0.75</v>
      </c>
      <c r="BE23" s="370" t="s">
        <v>1</v>
      </c>
      <c r="BF23" s="370"/>
      <c r="BG23" s="371">
        <v>10</v>
      </c>
      <c r="BH23" s="379"/>
      <c r="BI23" s="379">
        <f t="shared" si="9"/>
        <v>1446.5469238224719</v>
      </c>
      <c r="BJ23" s="379">
        <f t="shared" si="10"/>
        <v>793.42274739921686</v>
      </c>
      <c r="BK23" s="371"/>
      <c r="BL23" s="371"/>
      <c r="BM23" s="379"/>
      <c r="BN23" s="379"/>
      <c r="BO23" s="379"/>
      <c r="BP23" s="370"/>
      <c r="BQ23" s="370">
        <v>340</v>
      </c>
      <c r="BR23" s="371">
        <f t="shared" si="1"/>
        <v>2.6731276962534725E-4</v>
      </c>
      <c r="BS23" s="371">
        <f t="shared" si="2"/>
        <v>2.0187389755730414</v>
      </c>
      <c r="BT23" s="371">
        <f t="shared" si="3"/>
        <v>0.11908612067763846</v>
      </c>
      <c r="BU23" s="372">
        <f t="shared" si="4"/>
        <v>1.0869565217391304E-2</v>
      </c>
      <c r="BV23" s="373">
        <f t="shared" si="11"/>
        <v>0.46534094692612288</v>
      </c>
      <c r="BW23" s="370">
        <f t="shared" si="12"/>
        <v>29.807879696299732</v>
      </c>
      <c r="BX23" s="370">
        <f t="shared" si="7"/>
        <v>2.9807879696299733E-5</v>
      </c>
      <c r="BY23" s="370">
        <f t="shared" si="8"/>
        <v>0.26111702613958565</v>
      </c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1" t="s">
        <v>342</v>
      </c>
      <c r="CZ23" s="382">
        <v>9.5</v>
      </c>
      <c r="DA23" s="383" t="s">
        <v>343</v>
      </c>
      <c r="DB23" s="380">
        <f t="shared" si="13"/>
        <v>2.0016398569774219E-2</v>
      </c>
      <c r="DC23" s="380">
        <f t="shared" si="14"/>
        <v>0.11672562825963836</v>
      </c>
      <c r="DD23" s="370"/>
      <c r="DE23" s="370"/>
      <c r="DF23" s="370"/>
    </row>
    <row r="24" spans="1:110" s="328" customFormat="1" ht="27" customHeight="1" x14ac:dyDescent="0.2">
      <c r="E24" s="340"/>
      <c r="F24" s="329"/>
      <c r="G24" s="341"/>
      <c r="H24" s="341"/>
      <c r="I24" s="341"/>
      <c r="J24" s="341"/>
      <c r="K24" s="329"/>
      <c r="BB24" s="370"/>
      <c r="BC24" s="379" t="s">
        <v>398</v>
      </c>
      <c r="BD24" s="370">
        <v>5</v>
      </c>
      <c r="BE24" s="370" t="s">
        <v>397</v>
      </c>
      <c r="BF24" s="370"/>
      <c r="BG24" s="371">
        <v>11</v>
      </c>
      <c r="BH24" s="379"/>
      <c r="BI24" s="379">
        <f t="shared" si="9"/>
        <v>1507.6382862377886</v>
      </c>
      <c r="BJ24" s="379">
        <f t="shared" si="10"/>
        <v>810.25480089250141</v>
      </c>
      <c r="BK24" s="371"/>
      <c r="BL24" s="371"/>
      <c r="BM24" s="379"/>
      <c r="BN24" s="379"/>
      <c r="BO24" s="379"/>
      <c r="BP24" s="370"/>
      <c r="BQ24" s="370">
        <v>350</v>
      </c>
      <c r="BR24" s="371">
        <f t="shared" si="1"/>
        <v>2.6731276962534725E-4</v>
      </c>
      <c r="BS24" s="371">
        <f t="shared" si="2"/>
        <v>2.0724195994123971</v>
      </c>
      <c r="BT24" s="371">
        <f t="shared" si="3"/>
        <v>0.11790774720744285</v>
      </c>
      <c r="BU24" s="372">
        <f t="shared" si="4"/>
        <v>1.0810810810810811E-2</v>
      </c>
      <c r="BV24" s="373">
        <f t="shared" si="11"/>
        <v>0.4542552535353806</v>
      </c>
      <c r="BW24" s="370">
        <f t="shared" si="12"/>
        <v>29.953591418122993</v>
      </c>
      <c r="BX24" s="370">
        <f t="shared" si="7"/>
        <v>2.9953591418122994E-5</v>
      </c>
      <c r="BY24" s="370">
        <f t="shared" si="8"/>
        <v>0.26239346082275744</v>
      </c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 t="s">
        <v>352</v>
      </c>
      <c r="CY24" s="370" t="s">
        <v>347</v>
      </c>
      <c r="CZ24" s="370"/>
      <c r="DA24" s="383"/>
      <c r="DB24" s="380">
        <f t="shared" si="13"/>
        <v>3.2923932613712237E-2</v>
      </c>
      <c r="DC24" s="380">
        <f t="shared" si="14"/>
        <v>0.19845558861567325</v>
      </c>
      <c r="DD24" s="370"/>
      <c r="DE24" s="370"/>
      <c r="DF24" s="370"/>
    </row>
    <row r="25" spans="1:110" ht="27" customHeight="1" x14ac:dyDescent="0.25">
      <c r="E25" s="341"/>
      <c r="F25" s="333"/>
      <c r="G25" s="330"/>
      <c r="H25" s="330"/>
      <c r="I25" s="342"/>
      <c r="J25" s="342"/>
      <c r="K25" s="333"/>
      <c r="BB25" s="370"/>
      <c r="BC25" s="382" t="s">
        <v>385</v>
      </c>
      <c r="BD25" s="384">
        <v>114.3</v>
      </c>
      <c r="BE25" s="383" t="s">
        <v>0</v>
      </c>
      <c r="BF25" s="370"/>
      <c r="BG25" s="371">
        <v>12</v>
      </c>
      <c r="BH25" s="379"/>
      <c r="BI25" s="379">
        <f t="shared" si="9"/>
        <v>1678.6920775373171</v>
      </c>
      <c r="BJ25" s="379">
        <f t="shared" si="10"/>
        <v>986.38780139165397</v>
      </c>
      <c r="BK25" s="371"/>
      <c r="BL25" s="371"/>
      <c r="BM25" s="379"/>
      <c r="BN25" s="379"/>
      <c r="BO25" s="379"/>
      <c r="BP25" s="370"/>
      <c r="BQ25" s="370">
        <v>400</v>
      </c>
      <c r="BR25" s="371">
        <f t="shared" si="1"/>
        <v>2.6731276962534725E-4</v>
      </c>
      <c r="BS25" s="371">
        <f t="shared" si="2"/>
        <v>2.3196999561244764</v>
      </c>
      <c r="BT25" s="371">
        <f t="shared" si="3"/>
        <v>0.11256458993032475</v>
      </c>
      <c r="BU25" s="372">
        <f t="shared" si="4"/>
        <v>1.0526315789473686E-2</v>
      </c>
      <c r="BV25" s="373">
        <f t="shared" ref="BV25:BV27" si="16">(SUM(BR25:BU25))^(-1)</f>
        <v>0.4093230404380524</v>
      </c>
      <c r="BW25" s="370">
        <f t="shared" ref="BW25:BW27" si="17">BV25*(70-10)*(3.14*(BQ25/1000)*1)</f>
        <v>30.846584327411634</v>
      </c>
      <c r="BX25" s="370">
        <f t="shared" si="7"/>
        <v>3.0846584327411634E-5</v>
      </c>
      <c r="BY25" s="370">
        <f t="shared" si="8"/>
        <v>0.27021607870812592</v>
      </c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 t="s">
        <v>353</v>
      </c>
      <c r="CY25" s="370" t="s">
        <v>349</v>
      </c>
      <c r="CZ25" s="370"/>
      <c r="DA25" s="383"/>
      <c r="DB25" s="380">
        <f t="shared" si="13"/>
        <v>6.6283188084833009E-2</v>
      </c>
      <c r="DC25" s="380">
        <f t="shared" si="14"/>
        <v>0.39881268606882325</v>
      </c>
      <c r="DD25" s="370"/>
      <c r="DE25" s="370"/>
      <c r="DF25" s="370"/>
    </row>
    <row r="26" spans="1:110" s="328" customFormat="1" ht="27" customHeight="1" x14ac:dyDescent="0.25">
      <c r="E26" s="341"/>
      <c r="F26" s="329"/>
      <c r="G26" s="330"/>
      <c r="H26" s="330"/>
      <c r="I26" s="342"/>
      <c r="J26" s="342"/>
      <c r="K26" s="329"/>
      <c r="BB26" s="385"/>
      <c r="BC26" s="379"/>
      <c r="BD26" s="386">
        <f>(BI26+BJ26)/1000</f>
        <v>28.547031507338193</v>
      </c>
      <c r="BE26" s="385"/>
      <c r="BF26" s="385"/>
      <c r="BG26" s="371" t="s">
        <v>361</v>
      </c>
      <c r="BH26" s="379">
        <f>SUM(BH14:BH25)</f>
        <v>0</v>
      </c>
      <c r="BI26" s="372">
        <f>SUM(BI14:BI25)</f>
        <v>17919.408230822133</v>
      </c>
      <c r="BJ26" s="372">
        <f>SUM(BJ14:BJ25)</f>
        <v>10627.62327651606</v>
      </c>
      <c r="BK26" s="387"/>
      <c r="BL26" s="387"/>
      <c r="BM26" s="387"/>
      <c r="BN26" s="369"/>
      <c r="BO26" s="369"/>
      <c r="BP26" s="385"/>
      <c r="BQ26" s="385">
        <v>500</v>
      </c>
      <c r="BR26" s="371">
        <f t="shared" si="1"/>
        <v>2.6731276962534725E-4</v>
      </c>
      <c r="BS26" s="371">
        <f t="shared" si="2"/>
        <v>2.7329287548544943</v>
      </c>
      <c r="BT26" s="371">
        <f t="shared" si="3"/>
        <v>0.1039720770839918</v>
      </c>
      <c r="BU26" s="372">
        <f t="shared" si="4"/>
        <v>1.0000000000000002E-2</v>
      </c>
      <c r="BV26" s="373">
        <f t="shared" si="16"/>
        <v>0.35122618306145703</v>
      </c>
      <c r="BW26" s="370">
        <f t="shared" si="17"/>
        <v>33.085506444389253</v>
      </c>
      <c r="BX26" s="370">
        <f t="shared" si="7"/>
        <v>3.3085506444389253E-5</v>
      </c>
      <c r="BY26" s="370">
        <f t="shared" si="8"/>
        <v>0.28982903645284985</v>
      </c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5"/>
      <c r="CO26" s="385"/>
      <c r="CP26" s="385"/>
      <c r="CQ26" s="385"/>
      <c r="CR26" s="385"/>
      <c r="CS26" s="385"/>
      <c r="CT26" s="385"/>
      <c r="CU26" s="385"/>
      <c r="CV26" s="385"/>
      <c r="CW26" s="385"/>
      <c r="CX26" s="369"/>
      <c r="CY26" s="370" t="s">
        <v>348</v>
      </c>
      <c r="CZ26" s="369"/>
      <c r="DA26" s="385"/>
      <c r="DB26" s="380">
        <f t="shared" si="13"/>
        <v>0.11838245860206413</v>
      </c>
      <c r="DC26" s="380">
        <f t="shared" si="14"/>
        <v>0.78970570484264946</v>
      </c>
      <c r="DD26" s="385"/>
      <c r="DE26" s="385"/>
      <c r="DF26" s="385"/>
    </row>
    <row r="27" spans="1:110" s="328" customFormat="1" ht="27" customHeight="1" x14ac:dyDescent="0.25">
      <c r="E27" s="341"/>
      <c r="F27" s="329"/>
      <c r="G27" s="330"/>
      <c r="H27" s="330"/>
      <c r="I27" s="342"/>
      <c r="J27" s="342"/>
      <c r="K27" s="329"/>
      <c r="BB27" s="369"/>
      <c r="BC27" s="369"/>
      <c r="BD27" s="369">
        <f>(M19/BD26)^-1</f>
        <v>0.9640613432292553</v>
      </c>
      <c r="BE27" s="369"/>
      <c r="BF27" s="369"/>
      <c r="BG27" s="371" t="s">
        <v>360</v>
      </c>
      <c r="BH27" s="379"/>
      <c r="BI27" s="372"/>
      <c r="BJ27" s="388">
        <f>IF(BI25=0,#REF!,SUM(CH6:CH9))</f>
        <v>0</v>
      </c>
      <c r="BK27" s="371"/>
      <c r="BL27" s="371"/>
      <c r="BM27" s="371"/>
      <c r="BN27" s="379">
        <f>AVERAGE(BN14:BN25)</f>
        <v>0.14166066720281081</v>
      </c>
      <c r="BO27" s="379">
        <f>AVERAGE(BO14:BO25)</f>
        <v>1.1764705882352943E-2</v>
      </c>
      <c r="BP27" s="369"/>
      <c r="BQ27" s="369">
        <v>600</v>
      </c>
      <c r="BR27" s="371">
        <f t="shared" si="1"/>
        <v>2.6731276962534725E-4</v>
      </c>
      <c r="BS27" s="371">
        <f t="shared" si="2"/>
        <v>3.0705612674358918</v>
      </c>
      <c r="BT27" s="371">
        <f t="shared" si="3"/>
        <v>9.7295507452765675E-2</v>
      </c>
      <c r="BU27" s="372">
        <f t="shared" si="4"/>
        <v>9.5238095238095247E-3</v>
      </c>
      <c r="BV27" s="373">
        <f t="shared" si="16"/>
        <v>0.31469817687692536</v>
      </c>
      <c r="BW27" s="370">
        <f t="shared" si="17"/>
        <v>35.573481914167637</v>
      </c>
      <c r="BX27" s="370">
        <f t="shared" si="7"/>
        <v>3.5573481914167636E-5</v>
      </c>
      <c r="BY27" s="370">
        <f t="shared" si="8"/>
        <v>0.31162370156810848</v>
      </c>
      <c r="BZ27" s="369"/>
      <c r="CA27" s="369"/>
      <c r="CB27" s="369"/>
      <c r="CC27" s="369"/>
      <c r="CD27" s="369"/>
      <c r="CE27" s="369"/>
      <c r="CF27" s="369"/>
      <c r="CG27" s="369"/>
      <c r="CH27" s="369"/>
      <c r="CI27" s="369"/>
      <c r="CJ27" s="369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70"/>
      <c r="CY27" s="370" t="s">
        <v>350</v>
      </c>
      <c r="CZ27" s="370"/>
      <c r="DA27" s="369"/>
      <c r="DB27" s="380">
        <f t="shared" si="13"/>
        <v>0.14874939773293994</v>
      </c>
      <c r="DC27" s="380">
        <f t="shared" si="14"/>
        <v>1.0149766404909424</v>
      </c>
      <c r="DD27" s="369"/>
      <c r="DE27" s="369"/>
      <c r="DF27" s="369"/>
    </row>
    <row r="28" spans="1:110" s="328" customFormat="1" ht="27" customHeight="1" x14ac:dyDescent="0.25">
      <c r="E28" s="341"/>
      <c r="F28" s="329"/>
      <c r="G28" s="330"/>
      <c r="H28" s="330"/>
      <c r="I28" s="342"/>
      <c r="J28" s="342"/>
      <c r="K28" s="329"/>
      <c r="BB28" s="369"/>
      <c r="BC28" s="379"/>
      <c r="BD28" s="369"/>
      <c r="BE28" s="369"/>
      <c r="BF28" s="369"/>
      <c r="BG28" s="369"/>
      <c r="BH28" s="369"/>
      <c r="BI28" s="369">
        <f>(($I$19-$H$19)/$BD$19)*($G$18*24)/1000</f>
        <v>17939.602167736681</v>
      </c>
      <c r="BJ28" s="369">
        <f>(($J$19-$H$19)/$BD$19)*($G$18*24)/1000</f>
        <v>10641.236184511257</v>
      </c>
      <c r="BK28" s="369"/>
      <c r="BL28" s="369"/>
      <c r="BM28" s="369"/>
      <c r="BN28" s="369"/>
      <c r="BO28" s="369"/>
      <c r="BP28" s="369"/>
      <c r="BQ28" s="369"/>
      <c r="BR28" s="369"/>
      <c r="BS28" s="369"/>
      <c r="BT28" s="369"/>
      <c r="BU28" s="369"/>
      <c r="BV28" s="369"/>
      <c r="BW28" s="369"/>
      <c r="BX28" s="369"/>
      <c r="BY28" s="369"/>
      <c r="BZ28" s="369"/>
      <c r="CA28" s="369"/>
      <c r="CB28" s="369"/>
      <c r="CC28" s="369"/>
      <c r="CD28" s="369"/>
      <c r="CE28" s="369"/>
      <c r="CF28" s="369"/>
      <c r="CG28" s="369"/>
      <c r="CH28" s="369"/>
      <c r="CI28" s="369"/>
      <c r="CJ28" s="369"/>
      <c r="CK28" s="369"/>
      <c r="CL28" s="369"/>
      <c r="CM28" s="369"/>
      <c r="CN28" s="369"/>
      <c r="CO28" s="369"/>
      <c r="CP28" s="369"/>
      <c r="CQ28" s="369"/>
      <c r="CR28" s="369"/>
      <c r="CS28" s="369"/>
      <c r="CT28" s="369"/>
      <c r="CU28" s="369"/>
      <c r="CV28" s="369"/>
      <c r="CW28" s="369"/>
      <c r="CX28" s="369"/>
      <c r="CY28" s="369"/>
      <c r="CZ28" s="369"/>
      <c r="DA28" s="369"/>
      <c r="DB28" s="369"/>
      <c r="DC28" s="369"/>
      <c r="DD28" s="369"/>
      <c r="DE28" s="369"/>
      <c r="DF28" s="369"/>
    </row>
    <row r="29" spans="1:110" s="328" customFormat="1" ht="27" customHeight="1" x14ac:dyDescent="0.25">
      <c r="E29" s="341"/>
      <c r="F29" s="329"/>
      <c r="G29" s="330"/>
      <c r="H29" s="330"/>
      <c r="I29" s="342"/>
      <c r="J29" s="342"/>
      <c r="K29" s="329"/>
      <c r="BB29" s="369"/>
      <c r="BC29" s="369"/>
      <c r="BD29" s="369"/>
      <c r="BE29" s="369"/>
      <c r="BF29" s="369"/>
      <c r="BG29" s="369"/>
      <c r="BH29" s="369">
        <v>1</v>
      </c>
      <c r="BI29" s="369"/>
      <c r="BJ29" s="369"/>
      <c r="BK29" s="369" t="s">
        <v>393</v>
      </c>
      <c r="BL29" s="369"/>
      <c r="BM29" s="369">
        <v>2</v>
      </c>
      <c r="BN29" s="369"/>
      <c r="BO29" s="369" t="s">
        <v>393</v>
      </c>
      <c r="BP29" s="369"/>
      <c r="BQ29" s="369">
        <v>3</v>
      </c>
      <c r="BR29" s="369" t="s">
        <v>393</v>
      </c>
      <c r="BS29" s="369"/>
      <c r="BT29" s="369"/>
      <c r="BU29" s="369"/>
      <c r="BV29" s="369"/>
      <c r="BW29" s="369"/>
      <c r="BX29" s="369"/>
      <c r="BY29" s="369"/>
      <c r="BZ29" s="369"/>
      <c r="CA29" s="369"/>
      <c r="CB29" s="369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69"/>
      <c r="CN29" s="369"/>
      <c r="CO29" s="369"/>
      <c r="CP29" s="369"/>
      <c r="CQ29" s="369"/>
      <c r="CR29" s="369"/>
      <c r="CS29" s="369"/>
      <c r="CT29" s="369"/>
      <c r="CU29" s="369"/>
      <c r="CV29" s="369"/>
      <c r="CW29" s="370"/>
      <c r="CX29" s="370"/>
      <c r="CY29" s="369"/>
      <c r="CZ29" s="369"/>
      <c r="DA29" s="369"/>
      <c r="DB29" s="369"/>
      <c r="DC29" s="369"/>
      <c r="DD29" s="369"/>
      <c r="DE29" s="369"/>
      <c r="DF29" s="369"/>
    </row>
    <row r="30" spans="1:110" s="328" customFormat="1" ht="27" customHeight="1" x14ac:dyDescent="0.25">
      <c r="E30" s="343"/>
      <c r="F30" s="329"/>
      <c r="G30" s="330"/>
      <c r="H30" s="330"/>
      <c r="I30" s="342"/>
      <c r="J30" s="342"/>
      <c r="K30" s="329"/>
      <c r="BB30" s="369"/>
      <c r="BC30" s="389" t="s">
        <v>387</v>
      </c>
      <c r="BD30" s="390">
        <f>M6</f>
        <v>100</v>
      </c>
      <c r="BE30" s="369" t="s">
        <v>213</v>
      </c>
      <c r="BF30" s="369" t="s">
        <v>390</v>
      </c>
      <c r="BG30" s="369"/>
      <c r="BH30" s="369" t="s">
        <v>391</v>
      </c>
      <c r="BI30" s="391" t="s">
        <v>392</v>
      </c>
      <c r="BJ30" s="369" t="s">
        <v>391</v>
      </c>
      <c r="BK30" s="369"/>
      <c r="BL30" s="391" t="s">
        <v>392</v>
      </c>
      <c r="BM30" s="369" t="s">
        <v>391</v>
      </c>
      <c r="BN30" s="391" t="s">
        <v>392</v>
      </c>
      <c r="BO30" s="369"/>
      <c r="BP30" s="369"/>
      <c r="BQ30" s="370"/>
      <c r="BR30" s="370"/>
      <c r="BS30" s="369"/>
      <c r="BT30" s="369"/>
      <c r="BU30" s="369"/>
      <c r="BV30" s="369"/>
      <c r="BW30" s="369"/>
      <c r="BX30" s="369"/>
      <c r="BY30" s="369"/>
      <c r="BZ30" s="369"/>
      <c r="CA30" s="369"/>
      <c r="CB30" s="369"/>
      <c r="CC30" s="369"/>
      <c r="CD30" s="369"/>
      <c r="CE30" s="369"/>
      <c r="CF30" s="369"/>
      <c r="CG30" s="369"/>
      <c r="CH30" s="369"/>
      <c r="CI30" s="369"/>
      <c r="CJ30" s="369"/>
      <c r="CK30" s="369"/>
      <c r="CL30" s="369"/>
      <c r="CM30" s="369"/>
      <c r="CN30" s="369"/>
      <c r="CO30" s="369"/>
      <c r="CP30" s="369"/>
      <c r="CQ30" s="369"/>
      <c r="CR30" s="369"/>
      <c r="CS30" s="369"/>
      <c r="CT30" s="369"/>
      <c r="CU30" s="369"/>
      <c r="CV30" s="369"/>
      <c r="CW30" s="369"/>
      <c r="CX30" s="369"/>
      <c r="CY30" s="369"/>
      <c r="CZ30" s="369"/>
      <c r="DA30" s="369"/>
      <c r="DB30" s="369"/>
      <c r="DC30" s="392"/>
      <c r="DD30" s="369"/>
      <c r="DE30" s="369"/>
      <c r="DF30" s="369"/>
    </row>
    <row r="31" spans="1:110" s="328" customFormat="1" ht="27" customHeight="1" x14ac:dyDescent="0.25">
      <c r="B31" s="330"/>
      <c r="C31" s="339"/>
      <c r="D31" s="340"/>
      <c r="E31" s="330"/>
      <c r="F31" s="329"/>
      <c r="G31" s="330"/>
      <c r="H31" s="330"/>
      <c r="I31" s="342"/>
      <c r="J31" s="342"/>
      <c r="K31" s="329"/>
      <c r="BB31" s="370"/>
      <c r="BC31" s="370" t="s">
        <v>388</v>
      </c>
      <c r="BD31" s="370"/>
      <c r="BE31" s="370"/>
      <c r="BF31" s="370"/>
      <c r="BG31" s="370"/>
      <c r="BH31" s="370"/>
      <c r="BI31" s="370"/>
      <c r="BJ31" s="370"/>
      <c r="BK31" s="370"/>
      <c r="BL31" s="370"/>
      <c r="BM31" s="369"/>
      <c r="BN31" s="370"/>
      <c r="BO31" s="370"/>
      <c r="BP31" s="370"/>
      <c r="BQ31" s="369"/>
      <c r="BR31" s="369"/>
      <c r="BS31" s="370"/>
      <c r="BT31" s="370"/>
      <c r="BU31" s="370"/>
      <c r="BV31" s="370"/>
      <c r="BW31" s="370"/>
      <c r="BX31" s="370"/>
      <c r="BY31" s="370"/>
      <c r="BZ31" s="370"/>
      <c r="CA31" s="370"/>
      <c r="CB31" s="370"/>
      <c r="CC31" s="392"/>
      <c r="CD31" s="392"/>
      <c r="CE31" s="392"/>
      <c r="CF31" s="392"/>
      <c r="CG31" s="392"/>
      <c r="CH31" s="392"/>
      <c r="CI31" s="392"/>
      <c r="CJ31" s="392"/>
      <c r="CK31" s="392"/>
      <c r="CL31" s="392"/>
      <c r="CM31" s="392"/>
      <c r="CN31" s="392"/>
      <c r="CO31" s="392"/>
      <c r="CP31" s="370"/>
      <c r="CQ31" s="370"/>
      <c r="CR31" s="370"/>
      <c r="CS31" s="370"/>
      <c r="CT31" s="370"/>
      <c r="CU31" s="370"/>
      <c r="CV31" s="370"/>
      <c r="CW31" s="370"/>
      <c r="CX31" s="370"/>
      <c r="CY31" s="370"/>
      <c r="CZ31" s="370"/>
      <c r="DA31" s="370"/>
      <c r="DB31" s="370"/>
      <c r="DC31" s="392"/>
      <c r="DD31" s="370"/>
      <c r="DE31" s="370"/>
      <c r="DF31" s="370"/>
    </row>
    <row r="32" spans="1:110" s="328" customFormat="1" ht="27" customHeight="1" x14ac:dyDescent="0.2">
      <c r="B32" s="330"/>
      <c r="C32" s="330"/>
      <c r="D32" s="344"/>
      <c r="E32" s="341"/>
      <c r="F32" s="329"/>
      <c r="G32" s="330"/>
      <c r="H32" s="330"/>
      <c r="I32" s="342"/>
      <c r="J32" s="342"/>
      <c r="K32" s="329"/>
      <c r="BB32" s="370"/>
      <c r="BC32" s="370">
        <f>BD21</f>
        <v>193.6</v>
      </c>
      <c r="BD32" s="370"/>
      <c r="BE32" s="370">
        <v>25</v>
      </c>
      <c r="BF32" s="370">
        <v>33.700000000000003</v>
      </c>
      <c r="BG32" s="370"/>
      <c r="BH32" s="370">
        <v>3</v>
      </c>
      <c r="BI32" s="370">
        <v>90</v>
      </c>
      <c r="BJ32" s="370">
        <f>BI32-BH32*2</f>
        <v>84</v>
      </c>
      <c r="BK32" s="370">
        <f t="shared" ref="BK32:BK55" si="18">(BJ32-$BF32)/2</f>
        <v>25.15</v>
      </c>
      <c r="BL32" s="370">
        <v>3</v>
      </c>
      <c r="BM32" s="370">
        <v>110</v>
      </c>
      <c r="BN32" s="370">
        <f>BM32-2*BL32</f>
        <v>104</v>
      </c>
      <c r="BO32" s="370">
        <f t="shared" ref="BO32:BO47" si="19">(BN32-$BF32)/2</f>
        <v>35.15</v>
      </c>
      <c r="BP32" s="370">
        <v>3</v>
      </c>
      <c r="BQ32" s="370">
        <v>125</v>
      </c>
      <c r="BR32" s="370">
        <f>BQ32-2*BP32</f>
        <v>119</v>
      </c>
      <c r="BS32" s="370">
        <f t="shared" ref="BS32:BS47" si="20">(BR32-$BF32)/2</f>
        <v>42.65</v>
      </c>
      <c r="BT32" s="370"/>
      <c r="BU32" s="370"/>
      <c r="BV32" s="370"/>
      <c r="BW32" s="370"/>
      <c r="BX32" s="370"/>
      <c r="BY32" s="370"/>
      <c r="BZ32" s="370"/>
      <c r="CA32" s="370"/>
      <c r="CB32" s="370"/>
      <c r="CC32" s="392"/>
      <c r="CD32" s="392"/>
      <c r="CE32" s="392"/>
      <c r="CF32" s="392"/>
      <c r="CG32" s="392"/>
      <c r="CH32" s="392"/>
      <c r="CI32" s="392"/>
      <c r="CJ32" s="392"/>
      <c r="CK32" s="392"/>
      <c r="CL32" s="392"/>
      <c r="CM32" s="392"/>
      <c r="CN32" s="392"/>
      <c r="CO32" s="392"/>
      <c r="CP32" s="370"/>
      <c r="CQ32" s="370"/>
      <c r="CR32" s="370"/>
      <c r="CS32" s="370"/>
      <c r="CT32" s="370"/>
      <c r="CU32" s="370"/>
      <c r="CV32" s="370"/>
      <c r="CW32" s="370"/>
      <c r="CX32" s="370"/>
      <c r="CY32" s="370"/>
      <c r="CZ32" s="370"/>
      <c r="DA32" s="370"/>
      <c r="DB32" s="370"/>
      <c r="DC32" s="392"/>
      <c r="DD32" s="370"/>
      <c r="DE32" s="370"/>
      <c r="DF32" s="370"/>
    </row>
    <row r="33" spans="2:110" ht="27" customHeight="1" x14ac:dyDescent="0.25">
      <c r="B33" s="330"/>
      <c r="C33" s="330"/>
      <c r="D33" s="344"/>
      <c r="E33" s="341"/>
      <c r="F33" s="333"/>
      <c r="G33" s="330"/>
      <c r="H33" s="330"/>
      <c r="I33" s="342"/>
      <c r="J33" s="342"/>
      <c r="K33" s="333"/>
      <c r="BB33" s="370"/>
      <c r="BC33" s="370">
        <f>M7</f>
        <v>200</v>
      </c>
      <c r="BD33" s="370"/>
      <c r="BE33" s="370">
        <v>32</v>
      </c>
      <c r="BF33" s="370">
        <v>42.4</v>
      </c>
      <c r="BG33" s="370"/>
      <c r="BH33" s="370">
        <v>3</v>
      </c>
      <c r="BI33" s="370">
        <v>110</v>
      </c>
      <c r="BJ33" s="370">
        <f t="shared" ref="BJ33:BJ55" si="21">BI33-BH33*2</f>
        <v>104</v>
      </c>
      <c r="BK33" s="370">
        <f t="shared" si="18"/>
        <v>30.8</v>
      </c>
      <c r="BL33" s="370">
        <v>3</v>
      </c>
      <c r="BM33" s="370">
        <v>110</v>
      </c>
      <c r="BN33" s="370">
        <f t="shared" ref="BN33:BN49" si="22">BM33-2*BL33</f>
        <v>104</v>
      </c>
      <c r="BO33" s="370">
        <f t="shared" si="19"/>
        <v>30.8</v>
      </c>
      <c r="BP33" s="370">
        <v>3</v>
      </c>
      <c r="BQ33" s="393">
        <v>140</v>
      </c>
      <c r="BR33" s="370">
        <f t="shared" ref="BR33:BR47" si="23">BQ33-2*BP33</f>
        <v>134</v>
      </c>
      <c r="BS33" s="370">
        <f t="shared" si="20"/>
        <v>45.8</v>
      </c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92"/>
      <c r="CE33" s="392"/>
      <c r="CF33" s="392"/>
      <c r="CG33" s="392"/>
      <c r="CH33" s="392"/>
      <c r="CI33" s="392"/>
      <c r="CJ33" s="392"/>
      <c r="CK33" s="392"/>
      <c r="CL33" s="392"/>
      <c r="CM33" s="392"/>
      <c r="CN33" s="392"/>
      <c r="CO33" s="392"/>
      <c r="CP33" s="392"/>
      <c r="CQ33" s="370"/>
      <c r="CR33" s="370"/>
      <c r="CS33" s="370"/>
      <c r="CT33" s="370"/>
      <c r="CU33" s="370"/>
      <c r="CV33" s="370"/>
      <c r="CW33" s="370"/>
      <c r="CX33" s="370"/>
      <c r="CY33" s="370"/>
      <c r="CZ33" s="370"/>
      <c r="DA33" s="370"/>
      <c r="DB33" s="370"/>
      <c r="DC33" s="392"/>
      <c r="DD33" s="370"/>
      <c r="DE33" s="370"/>
      <c r="DF33" s="370"/>
    </row>
    <row r="34" spans="2:110" ht="27" customHeight="1" x14ac:dyDescent="0.25">
      <c r="B34" s="330"/>
      <c r="C34" s="330"/>
      <c r="D34" s="344"/>
      <c r="E34" s="341"/>
      <c r="F34" s="333"/>
      <c r="G34" s="330"/>
      <c r="H34" s="330"/>
      <c r="I34" s="342"/>
      <c r="J34" s="342"/>
      <c r="K34" s="333"/>
      <c r="BB34" s="369"/>
      <c r="BC34" s="369"/>
      <c r="BD34" s="369"/>
      <c r="BE34" s="369">
        <v>40</v>
      </c>
      <c r="BF34" s="370">
        <v>48.3</v>
      </c>
      <c r="BG34" s="369"/>
      <c r="BH34" s="369">
        <v>3</v>
      </c>
      <c r="BI34" s="369">
        <v>110</v>
      </c>
      <c r="BJ34" s="370">
        <f t="shared" si="21"/>
        <v>104</v>
      </c>
      <c r="BK34" s="370">
        <f t="shared" si="18"/>
        <v>27.85</v>
      </c>
      <c r="BL34" s="369">
        <v>3</v>
      </c>
      <c r="BM34" s="370">
        <v>125</v>
      </c>
      <c r="BN34" s="370">
        <f t="shared" si="22"/>
        <v>119</v>
      </c>
      <c r="BO34" s="370">
        <f t="shared" si="19"/>
        <v>35.35</v>
      </c>
      <c r="BP34" s="370">
        <v>3</v>
      </c>
      <c r="BQ34" s="370">
        <v>140</v>
      </c>
      <c r="BR34" s="370">
        <f t="shared" si="23"/>
        <v>134</v>
      </c>
      <c r="BS34" s="370">
        <f t="shared" si="20"/>
        <v>42.85</v>
      </c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92"/>
      <c r="DD34" s="369"/>
      <c r="DE34" s="369"/>
      <c r="DF34" s="369"/>
    </row>
    <row r="35" spans="2:110" ht="27" customHeight="1" x14ac:dyDescent="0.25">
      <c r="B35" s="330"/>
      <c r="C35" s="330"/>
      <c r="D35" s="344"/>
      <c r="E35" s="341"/>
      <c r="F35" s="333"/>
      <c r="G35" s="330"/>
      <c r="H35" s="330"/>
      <c r="I35" s="342"/>
      <c r="J35" s="342"/>
      <c r="K35" s="333"/>
      <c r="BB35" s="370"/>
      <c r="BC35" s="370"/>
      <c r="BD35" s="370"/>
      <c r="BE35" s="370">
        <v>50</v>
      </c>
      <c r="BF35" s="369">
        <v>60.3</v>
      </c>
      <c r="BG35" s="370"/>
      <c r="BH35" s="370">
        <v>3</v>
      </c>
      <c r="BI35" s="370">
        <v>125</v>
      </c>
      <c r="BJ35" s="370">
        <f t="shared" si="21"/>
        <v>119</v>
      </c>
      <c r="BK35" s="370">
        <f t="shared" si="18"/>
        <v>29.35</v>
      </c>
      <c r="BL35" s="370">
        <v>3</v>
      </c>
      <c r="BM35" s="370">
        <v>125</v>
      </c>
      <c r="BN35" s="370">
        <f t="shared" si="22"/>
        <v>119</v>
      </c>
      <c r="BO35" s="370">
        <f t="shared" si="19"/>
        <v>29.35</v>
      </c>
      <c r="BP35" s="370">
        <v>3</v>
      </c>
      <c r="BQ35" s="370">
        <v>160</v>
      </c>
      <c r="BR35" s="370">
        <f t="shared" si="23"/>
        <v>154</v>
      </c>
      <c r="BS35" s="370">
        <f t="shared" si="20"/>
        <v>46.85</v>
      </c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92"/>
      <c r="CE35" s="392"/>
      <c r="CF35" s="392"/>
      <c r="CG35" s="392"/>
      <c r="CH35" s="392"/>
      <c r="CI35" s="392"/>
      <c r="CJ35" s="392"/>
      <c r="CK35" s="392"/>
      <c r="CL35" s="392"/>
      <c r="CM35" s="392"/>
      <c r="CN35" s="392"/>
      <c r="CO35" s="392"/>
      <c r="CP35" s="392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92"/>
      <c r="DD35" s="370"/>
      <c r="DE35" s="370"/>
      <c r="DF35" s="370"/>
    </row>
    <row r="36" spans="2:110" ht="27" customHeight="1" x14ac:dyDescent="0.25">
      <c r="B36" s="330"/>
      <c r="C36" s="330"/>
      <c r="D36" s="344"/>
      <c r="E36" s="341"/>
      <c r="F36" s="333"/>
      <c r="G36" s="330"/>
      <c r="H36" s="330"/>
      <c r="I36" s="342"/>
      <c r="J36" s="342"/>
      <c r="K36" s="333"/>
      <c r="BB36" s="370"/>
      <c r="BC36" s="370"/>
      <c r="BD36" s="370"/>
      <c r="BE36" s="370">
        <v>65</v>
      </c>
      <c r="BF36" s="370">
        <v>76.099999999999994</v>
      </c>
      <c r="BG36" s="370"/>
      <c r="BH36" s="370">
        <v>3</v>
      </c>
      <c r="BI36" s="370">
        <v>140</v>
      </c>
      <c r="BJ36" s="370">
        <f t="shared" si="21"/>
        <v>134</v>
      </c>
      <c r="BK36" s="370">
        <f t="shared" si="18"/>
        <v>28.950000000000003</v>
      </c>
      <c r="BL36" s="370">
        <v>3</v>
      </c>
      <c r="BM36" s="370">
        <v>140</v>
      </c>
      <c r="BN36" s="370">
        <f t="shared" si="22"/>
        <v>134</v>
      </c>
      <c r="BO36" s="370">
        <f t="shared" si="19"/>
        <v>28.950000000000003</v>
      </c>
      <c r="BP36" s="370">
        <v>3</v>
      </c>
      <c r="BQ36" s="370">
        <v>180</v>
      </c>
      <c r="BR36" s="370">
        <f t="shared" si="23"/>
        <v>174</v>
      </c>
      <c r="BS36" s="370">
        <f t="shared" si="20"/>
        <v>48.95</v>
      </c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92"/>
      <c r="CE36" s="392"/>
      <c r="CF36" s="392"/>
      <c r="CG36" s="392"/>
      <c r="CH36" s="392"/>
      <c r="CI36" s="392"/>
      <c r="CJ36" s="392"/>
      <c r="CK36" s="392"/>
      <c r="CL36" s="392"/>
      <c r="CM36" s="392"/>
      <c r="CN36" s="392"/>
      <c r="CO36" s="392"/>
      <c r="CP36" s="392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92"/>
      <c r="DD36" s="370"/>
      <c r="DE36" s="370"/>
      <c r="DF36" s="370"/>
    </row>
    <row r="37" spans="2:110" ht="27" customHeight="1" x14ac:dyDescent="0.25">
      <c r="B37" s="340"/>
      <c r="C37" s="330"/>
      <c r="D37" s="344"/>
      <c r="E37" s="341"/>
      <c r="F37" s="333"/>
      <c r="G37" s="330"/>
      <c r="H37" s="330"/>
      <c r="I37" s="339"/>
      <c r="J37" s="339"/>
      <c r="K37" s="333"/>
      <c r="BB37" s="370"/>
      <c r="BC37" s="370"/>
      <c r="BD37" s="370"/>
      <c r="BE37" s="370">
        <v>80</v>
      </c>
      <c r="BF37" s="370">
        <v>88.9</v>
      </c>
      <c r="BG37" s="370"/>
      <c r="BH37" s="370">
        <v>3</v>
      </c>
      <c r="BI37" s="370">
        <v>160</v>
      </c>
      <c r="BJ37" s="370">
        <f t="shared" si="21"/>
        <v>154</v>
      </c>
      <c r="BK37" s="370">
        <f t="shared" si="18"/>
        <v>32.549999999999997</v>
      </c>
      <c r="BL37" s="370">
        <v>3</v>
      </c>
      <c r="BM37" s="370">
        <v>160</v>
      </c>
      <c r="BN37" s="370">
        <f t="shared" si="22"/>
        <v>154</v>
      </c>
      <c r="BO37" s="370">
        <f t="shared" si="19"/>
        <v>32.549999999999997</v>
      </c>
      <c r="BP37" s="370">
        <v>3.2</v>
      </c>
      <c r="BQ37" s="370">
        <v>200</v>
      </c>
      <c r="BR37" s="370">
        <f t="shared" si="23"/>
        <v>193.6</v>
      </c>
      <c r="BS37" s="370">
        <f t="shared" si="20"/>
        <v>52.349999999999994</v>
      </c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92"/>
      <c r="CE37" s="392"/>
      <c r="CF37" s="392"/>
      <c r="CG37" s="392"/>
      <c r="CH37" s="392"/>
      <c r="CI37" s="392"/>
      <c r="CJ37" s="392"/>
      <c r="CK37" s="392"/>
      <c r="CL37" s="392"/>
      <c r="CM37" s="392"/>
      <c r="CN37" s="392"/>
      <c r="CO37" s="392"/>
      <c r="CP37" s="392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92"/>
      <c r="DD37" s="370"/>
      <c r="DE37" s="370"/>
      <c r="DF37" s="370"/>
    </row>
    <row r="38" spans="2:110" ht="27" customHeight="1" x14ac:dyDescent="0.25">
      <c r="B38" s="345"/>
      <c r="C38" s="346"/>
      <c r="D38" s="346"/>
      <c r="E38" s="347"/>
      <c r="F38" s="333"/>
      <c r="G38" s="348"/>
      <c r="H38" s="348"/>
      <c r="I38" s="349"/>
      <c r="J38" s="349"/>
      <c r="K38" s="333"/>
      <c r="BB38" s="370"/>
      <c r="BC38" s="370"/>
      <c r="BD38" s="370"/>
      <c r="BE38" s="370">
        <v>100</v>
      </c>
      <c r="BF38" s="370">
        <v>114.3</v>
      </c>
      <c r="BG38" s="370"/>
      <c r="BH38" s="370">
        <v>3.2</v>
      </c>
      <c r="BI38" s="370">
        <v>200</v>
      </c>
      <c r="BJ38" s="370">
        <f>BI38-BH38*2</f>
        <v>193.6</v>
      </c>
      <c r="BK38" s="370">
        <f t="shared" si="18"/>
        <v>39.65</v>
      </c>
      <c r="BL38" s="370">
        <v>3.4</v>
      </c>
      <c r="BM38" s="370">
        <v>180</v>
      </c>
      <c r="BN38" s="370">
        <f t="shared" si="22"/>
        <v>173.2</v>
      </c>
      <c r="BO38" s="370">
        <f t="shared" si="19"/>
        <v>29.449999999999996</v>
      </c>
      <c r="BP38" s="370">
        <v>3.6</v>
      </c>
      <c r="BQ38" s="370">
        <v>250</v>
      </c>
      <c r="BR38" s="370">
        <f t="shared" si="23"/>
        <v>242.8</v>
      </c>
      <c r="BS38" s="370">
        <f t="shared" si="20"/>
        <v>64.25</v>
      </c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92"/>
      <c r="CE38" s="392"/>
      <c r="CF38" s="392"/>
      <c r="CG38" s="392"/>
      <c r="CH38" s="392"/>
      <c r="CI38" s="392"/>
      <c r="CJ38" s="392"/>
      <c r="CK38" s="392"/>
      <c r="CL38" s="392"/>
      <c r="CM38" s="392"/>
      <c r="CN38" s="392"/>
      <c r="CO38" s="392"/>
      <c r="CP38" s="392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92"/>
      <c r="DD38" s="370"/>
      <c r="DE38" s="370"/>
      <c r="DF38" s="370"/>
    </row>
    <row r="39" spans="2:110" ht="27" customHeight="1" x14ac:dyDescent="0.25">
      <c r="B39" s="330"/>
      <c r="C39" s="330"/>
      <c r="D39" s="344"/>
      <c r="E39" s="333"/>
      <c r="F39" s="333"/>
      <c r="G39" s="333"/>
      <c r="H39" s="333"/>
      <c r="I39" s="333"/>
      <c r="J39" s="333"/>
      <c r="K39" s="333"/>
      <c r="BB39" s="370"/>
      <c r="BC39" s="370"/>
      <c r="BD39" s="370"/>
      <c r="BE39" s="370">
        <v>125</v>
      </c>
      <c r="BF39" s="370">
        <v>139.69999999999999</v>
      </c>
      <c r="BG39" s="370"/>
      <c r="BH39" s="370">
        <v>3.4</v>
      </c>
      <c r="BI39" s="370">
        <v>225</v>
      </c>
      <c r="BJ39" s="370">
        <f t="shared" si="21"/>
        <v>218.2</v>
      </c>
      <c r="BK39" s="370">
        <f t="shared" si="18"/>
        <v>39.25</v>
      </c>
      <c r="BL39" s="370">
        <v>3.6</v>
      </c>
      <c r="BM39" s="370">
        <v>225</v>
      </c>
      <c r="BN39" s="370">
        <f t="shared" si="22"/>
        <v>217.8</v>
      </c>
      <c r="BO39" s="370">
        <f t="shared" si="19"/>
        <v>39.050000000000011</v>
      </c>
      <c r="BP39" s="370">
        <v>3.9</v>
      </c>
      <c r="BQ39" s="370">
        <v>280</v>
      </c>
      <c r="BR39" s="370">
        <f t="shared" si="23"/>
        <v>272.2</v>
      </c>
      <c r="BS39" s="370">
        <f t="shared" si="20"/>
        <v>66.25</v>
      </c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  <c r="DA39" s="370"/>
      <c r="DB39" s="370"/>
      <c r="DC39" s="392"/>
      <c r="DD39" s="370"/>
      <c r="DE39" s="370"/>
      <c r="DF39" s="370"/>
    </row>
    <row r="40" spans="2:110" ht="27" customHeight="1" x14ac:dyDescent="0.25">
      <c r="B40" s="350"/>
      <c r="C40" s="350"/>
      <c r="D40" s="351"/>
      <c r="E40" s="351"/>
      <c r="F40" s="350"/>
      <c r="BB40" s="370"/>
      <c r="BC40" s="370"/>
      <c r="BD40" s="370"/>
      <c r="BE40" s="370">
        <v>150</v>
      </c>
      <c r="BF40" s="370">
        <v>168.3</v>
      </c>
      <c r="BG40" s="370"/>
      <c r="BH40" s="370">
        <v>3.6</v>
      </c>
      <c r="BI40" s="370">
        <v>250</v>
      </c>
      <c r="BJ40" s="370">
        <f t="shared" si="21"/>
        <v>242.8</v>
      </c>
      <c r="BK40" s="370">
        <f t="shared" si="18"/>
        <v>37.25</v>
      </c>
      <c r="BL40" s="370">
        <v>3.9</v>
      </c>
      <c r="BM40" s="370">
        <v>250</v>
      </c>
      <c r="BN40" s="370">
        <f t="shared" si="22"/>
        <v>242.2</v>
      </c>
      <c r="BO40" s="370">
        <f t="shared" si="19"/>
        <v>36.949999999999989</v>
      </c>
      <c r="BP40" s="392">
        <v>4.0999999999999996</v>
      </c>
      <c r="BQ40" s="393">
        <v>315</v>
      </c>
      <c r="BR40" s="370">
        <f t="shared" si="23"/>
        <v>306.8</v>
      </c>
      <c r="BS40" s="370">
        <f t="shared" si="20"/>
        <v>69.25</v>
      </c>
      <c r="BT40" s="393"/>
      <c r="BU40" s="393"/>
      <c r="BV40" s="393"/>
      <c r="BW40" s="393"/>
      <c r="BX40" s="370"/>
      <c r="BY40" s="370"/>
      <c r="BZ40" s="370"/>
      <c r="CA40" s="370"/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  <c r="DA40" s="370"/>
      <c r="DB40" s="370"/>
      <c r="DC40" s="392"/>
      <c r="DD40" s="370"/>
      <c r="DE40" s="370"/>
      <c r="DF40" s="370"/>
    </row>
    <row r="41" spans="2:110" ht="27" customHeight="1" x14ac:dyDescent="0.25">
      <c r="B41" s="350"/>
      <c r="C41" s="350"/>
      <c r="D41" s="351"/>
      <c r="E41" s="351"/>
      <c r="F41" s="350"/>
      <c r="BB41" s="370"/>
      <c r="BC41" s="370"/>
      <c r="BD41" s="370"/>
      <c r="BE41" s="370">
        <v>200</v>
      </c>
      <c r="BF41" s="370">
        <v>219.1</v>
      </c>
      <c r="BG41" s="370"/>
      <c r="BH41" s="370">
        <v>4.0999999999999996</v>
      </c>
      <c r="BI41" s="370">
        <v>315</v>
      </c>
      <c r="BJ41" s="370">
        <f t="shared" si="21"/>
        <v>306.8</v>
      </c>
      <c r="BK41" s="370">
        <f t="shared" si="18"/>
        <v>43.850000000000009</v>
      </c>
      <c r="BL41" s="369">
        <v>4.5</v>
      </c>
      <c r="BM41" s="370">
        <v>280</v>
      </c>
      <c r="BN41" s="370">
        <f t="shared" si="22"/>
        <v>271</v>
      </c>
      <c r="BO41" s="370">
        <f t="shared" si="19"/>
        <v>25.950000000000003</v>
      </c>
      <c r="BP41" s="394">
        <v>4.8</v>
      </c>
      <c r="BQ41" s="380">
        <v>400</v>
      </c>
      <c r="BR41" s="370">
        <f t="shared" si="23"/>
        <v>390.4</v>
      </c>
      <c r="BS41" s="370">
        <f t="shared" si="20"/>
        <v>85.649999999999991</v>
      </c>
      <c r="BT41" s="380"/>
      <c r="BU41" s="380"/>
      <c r="BV41" s="380"/>
      <c r="BW41" s="380"/>
      <c r="BX41" s="370"/>
      <c r="BY41" s="370"/>
      <c r="BZ41" s="370"/>
      <c r="CA41" s="370"/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370"/>
      <c r="CM41" s="370"/>
      <c r="CN41" s="370"/>
      <c r="CO41" s="370"/>
      <c r="CP41" s="370"/>
      <c r="CQ41" s="370"/>
      <c r="CR41" s="370"/>
      <c r="CS41" s="370"/>
      <c r="CT41" s="370"/>
      <c r="CU41" s="370"/>
      <c r="CV41" s="370"/>
      <c r="CW41" s="370"/>
      <c r="CX41" s="370"/>
      <c r="CY41" s="370"/>
      <c r="CZ41" s="370"/>
      <c r="DA41" s="370"/>
      <c r="DB41" s="370"/>
      <c r="DC41" s="392"/>
      <c r="DD41" s="370"/>
      <c r="DE41" s="370"/>
      <c r="DF41" s="370"/>
    </row>
    <row r="42" spans="2:110" ht="27" customHeight="1" x14ac:dyDescent="0.25">
      <c r="B42" s="350"/>
      <c r="C42" s="350"/>
      <c r="D42" s="351"/>
      <c r="E42" s="351"/>
      <c r="F42" s="350"/>
      <c r="BB42" s="369"/>
      <c r="BC42" s="369"/>
      <c r="BD42" s="369"/>
      <c r="BE42" s="369">
        <v>250</v>
      </c>
      <c r="BF42" s="370">
        <v>273</v>
      </c>
      <c r="BG42" s="369"/>
      <c r="BH42" s="369">
        <v>4.8</v>
      </c>
      <c r="BI42" s="369">
        <v>400</v>
      </c>
      <c r="BJ42" s="370">
        <f t="shared" si="21"/>
        <v>390.4</v>
      </c>
      <c r="BK42" s="370">
        <f t="shared" si="18"/>
        <v>58.699999999999989</v>
      </c>
      <c r="BL42" s="369">
        <v>5.2</v>
      </c>
      <c r="BM42" s="369">
        <v>355</v>
      </c>
      <c r="BN42" s="370">
        <f t="shared" si="22"/>
        <v>344.6</v>
      </c>
      <c r="BO42" s="370">
        <f t="shared" si="19"/>
        <v>35.800000000000011</v>
      </c>
      <c r="BP42" s="394">
        <v>5.6</v>
      </c>
      <c r="BQ42" s="380">
        <v>500</v>
      </c>
      <c r="BR42" s="370">
        <f t="shared" si="23"/>
        <v>488.8</v>
      </c>
      <c r="BS42" s="370">
        <f t="shared" si="20"/>
        <v>107.9</v>
      </c>
      <c r="BT42" s="395"/>
      <c r="BU42" s="380"/>
      <c r="BV42" s="380"/>
      <c r="BW42" s="380"/>
      <c r="BX42" s="369"/>
      <c r="BY42" s="369"/>
      <c r="BZ42" s="369"/>
      <c r="CA42" s="369"/>
      <c r="CB42" s="369"/>
      <c r="CC42" s="369"/>
      <c r="CD42" s="369"/>
      <c r="CE42" s="369"/>
      <c r="CF42" s="369"/>
      <c r="CG42" s="369"/>
      <c r="CH42" s="369"/>
      <c r="CI42" s="369"/>
      <c r="CJ42" s="369"/>
      <c r="CK42" s="369"/>
      <c r="CL42" s="369"/>
      <c r="CM42" s="369"/>
      <c r="CN42" s="369"/>
      <c r="CO42" s="369"/>
      <c r="CP42" s="369"/>
      <c r="CQ42" s="369"/>
      <c r="CR42" s="369"/>
      <c r="CS42" s="369"/>
      <c r="CT42" s="369"/>
      <c r="CU42" s="369"/>
      <c r="CV42" s="369"/>
      <c r="CW42" s="369"/>
      <c r="CX42" s="369"/>
      <c r="CY42" s="369"/>
      <c r="CZ42" s="369"/>
      <c r="DA42" s="369"/>
      <c r="DB42" s="369"/>
      <c r="DC42" s="392"/>
      <c r="DD42" s="369"/>
      <c r="DE42" s="369"/>
      <c r="DF42" s="369"/>
    </row>
    <row r="43" spans="2:110" ht="27" customHeight="1" x14ac:dyDescent="0.25">
      <c r="B43" s="350"/>
      <c r="C43" s="350"/>
      <c r="D43" s="351"/>
      <c r="E43" s="351"/>
      <c r="F43" s="350"/>
      <c r="BB43" s="369"/>
      <c r="BC43" s="369"/>
      <c r="BD43" s="369"/>
      <c r="BE43" s="369">
        <v>300</v>
      </c>
      <c r="BF43" s="369">
        <v>323.89999999999998</v>
      </c>
      <c r="BG43" s="369"/>
      <c r="BH43" s="369">
        <v>5.2</v>
      </c>
      <c r="BI43" s="369">
        <v>449.99999999999994</v>
      </c>
      <c r="BJ43" s="370">
        <f t="shared" si="21"/>
        <v>439.59999999999997</v>
      </c>
      <c r="BK43" s="370">
        <f t="shared" si="18"/>
        <v>57.849999999999994</v>
      </c>
      <c r="BL43" s="369">
        <v>5.6</v>
      </c>
      <c r="BM43" s="369">
        <v>450</v>
      </c>
      <c r="BN43" s="370">
        <f t="shared" si="22"/>
        <v>438.8</v>
      </c>
      <c r="BO43" s="370">
        <f t="shared" si="19"/>
        <v>57.450000000000017</v>
      </c>
      <c r="BP43" s="394">
        <v>6</v>
      </c>
      <c r="BQ43" s="380">
        <v>560</v>
      </c>
      <c r="BR43" s="370">
        <f t="shared" si="23"/>
        <v>548</v>
      </c>
      <c r="BS43" s="370">
        <f t="shared" si="20"/>
        <v>112.05000000000001</v>
      </c>
      <c r="BT43" s="395"/>
      <c r="BU43" s="380"/>
      <c r="BV43" s="380"/>
      <c r="BW43" s="380"/>
      <c r="BX43" s="369"/>
      <c r="BY43" s="369"/>
      <c r="BZ43" s="369"/>
      <c r="CA43" s="369"/>
      <c r="CB43" s="369"/>
      <c r="CC43" s="369"/>
      <c r="CD43" s="369"/>
      <c r="CE43" s="369"/>
      <c r="CF43" s="369"/>
      <c r="CG43" s="369"/>
      <c r="CH43" s="369"/>
      <c r="CI43" s="369"/>
      <c r="CJ43" s="369"/>
      <c r="CK43" s="369"/>
      <c r="CL43" s="369"/>
      <c r="CM43" s="369"/>
      <c r="CN43" s="369"/>
      <c r="CO43" s="369"/>
      <c r="CP43" s="369"/>
      <c r="CQ43" s="369"/>
      <c r="CR43" s="369"/>
      <c r="CS43" s="369"/>
      <c r="CT43" s="369"/>
      <c r="CU43" s="369"/>
      <c r="CV43" s="369"/>
      <c r="CW43" s="369"/>
      <c r="CX43" s="369"/>
      <c r="CY43" s="369"/>
      <c r="CZ43" s="369"/>
      <c r="DA43" s="369"/>
      <c r="DB43" s="369"/>
      <c r="DC43" s="392"/>
      <c r="DD43" s="369"/>
      <c r="DE43" s="369"/>
      <c r="DF43" s="369"/>
    </row>
    <row r="44" spans="2:110" ht="27" customHeight="1" x14ac:dyDescent="0.25">
      <c r="B44" s="352"/>
      <c r="C44" s="350"/>
      <c r="D44" s="351"/>
      <c r="E44" s="351"/>
      <c r="F44" s="350"/>
      <c r="BB44" s="369"/>
      <c r="BC44" s="369"/>
      <c r="BD44" s="369"/>
      <c r="BE44" s="369">
        <v>350</v>
      </c>
      <c r="BF44" s="369">
        <v>355.6</v>
      </c>
      <c r="BG44" s="369"/>
      <c r="BH44" s="369">
        <v>5.6</v>
      </c>
      <c r="BI44" s="369">
        <v>500</v>
      </c>
      <c r="BJ44" s="370">
        <f t="shared" si="21"/>
        <v>488.8</v>
      </c>
      <c r="BK44" s="370">
        <f t="shared" si="18"/>
        <v>66.599999999999994</v>
      </c>
      <c r="BL44" s="369">
        <v>6</v>
      </c>
      <c r="BM44" s="369">
        <v>500</v>
      </c>
      <c r="BN44" s="370">
        <f t="shared" si="22"/>
        <v>488</v>
      </c>
      <c r="BO44" s="370">
        <f t="shared" si="19"/>
        <v>66.199999999999989</v>
      </c>
      <c r="BP44" s="394">
        <v>6.6</v>
      </c>
      <c r="BQ44" s="380">
        <v>630</v>
      </c>
      <c r="BR44" s="370">
        <f t="shared" si="23"/>
        <v>616.79999999999995</v>
      </c>
      <c r="BS44" s="370">
        <f t="shared" si="20"/>
        <v>130.59999999999997</v>
      </c>
      <c r="BT44" s="395"/>
      <c r="BU44" s="380"/>
      <c r="BV44" s="380"/>
      <c r="BW44" s="380"/>
      <c r="BX44" s="369"/>
      <c r="BY44" s="369"/>
      <c r="BZ44" s="369"/>
      <c r="CA44" s="369"/>
      <c r="CB44" s="369"/>
      <c r="CC44" s="369"/>
      <c r="CD44" s="369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369"/>
      <c r="CS44" s="369"/>
      <c r="CT44" s="369"/>
      <c r="CU44" s="369"/>
      <c r="CV44" s="369"/>
      <c r="CW44" s="369"/>
      <c r="CX44" s="369"/>
      <c r="CY44" s="369"/>
      <c r="CZ44" s="369"/>
      <c r="DA44" s="369"/>
      <c r="DB44" s="369"/>
      <c r="DC44" s="392"/>
      <c r="DD44" s="369"/>
      <c r="DE44" s="369"/>
      <c r="DF44" s="369"/>
    </row>
    <row r="45" spans="2:110" ht="27" customHeight="1" x14ac:dyDescent="0.25">
      <c r="B45" s="353"/>
      <c r="C45" s="354"/>
      <c r="D45" s="354"/>
      <c r="E45" s="354"/>
      <c r="F45" s="353"/>
      <c r="BB45" s="369"/>
      <c r="BC45" s="369"/>
      <c r="BD45" s="369"/>
      <c r="BE45" s="369">
        <v>400</v>
      </c>
      <c r="BF45" s="369">
        <v>406.4</v>
      </c>
      <c r="BG45" s="369"/>
      <c r="BH45" s="369">
        <v>5.7</v>
      </c>
      <c r="BI45" s="369">
        <v>520</v>
      </c>
      <c r="BJ45" s="370">
        <f t="shared" si="21"/>
        <v>508.6</v>
      </c>
      <c r="BK45" s="370">
        <f t="shared" si="18"/>
        <v>51.100000000000023</v>
      </c>
      <c r="BL45" s="369">
        <v>6.6</v>
      </c>
      <c r="BM45" s="369">
        <v>560</v>
      </c>
      <c r="BN45" s="370">
        <f t="shared" si="22"/>
        <v>546.79999999999995</v>
      </c>
      <c r="BO45" s="370">
        <f t="shared" si="19"/>
        <v>70.199999999999989</v>
      </c>
      <c r="BP45" s="394">
        <v>7.2</v>
      </c>
      <c r="BQ45" s="380">
        <v>710</v>
      </c>
      <c r="BR45" s="370">
        <f t="shared" si="23"/>
        <v>695.6</v>
      </c>
      <c r="BS45" s="370">
        <f t="shared" si="20"/>
        <v>144.60000000000002</v>
      </c>
      <c r="BT45" s="395"/>
      <c r="BU45" s="380"/>
      <c r="BV45" s="380"/>
      <c r="BW45" s="380"/>
      <c r="BX45" s="369"/>
      <c r="BY45" s="369"/>
      <c r="BZ45" s="369"/>
      <c r="CA45" s="369"/>
      <c r="CB45" s="369"/>
      <c r="CC45" s="369"/>
      <c r="CD45" s="369"/>
      <c r="CE45" s="369"/>
      <c r="CF45" s="369"/>
      <c r="CG45" s="369"/>
      <c r="CH45" s="369"/>
      <c r="CI45" s="369"/>
      <c r="CJ45" s="369"/>
      <c r="CK45" s="369"/>
      <c r="CL45" s="369"/>
      <c r="CM45" s="369"/>
      <c r="CN45" s="369"/>
      <c r="CO45" s="369"/>
      <c r="CP45" s="369"/>
      <c r="CQ45" s="369"/>
      <c r="CR45" s="369"/>
      <c r="CS45" s="369"/>
      <c r="CT45" s="369"/>
      <c r="CU45" s="369"/>
      <c r="CV45" s="369"/>
      <c r="CW45" s="369"/>
      <c r="CX45" s="369"/>
      <c r="CY45" s="369"/>
      <c r="CZ45" s="369"/>
      <c r="DA45" s="369"/>
      <c r="DB45" s="369"/>
      <c r="DC45" s="392"/>
      <c r="DD45" s="369"/>
      <c r="DE45" s="369"/>
      <c r="DF45" s="369"/>
    </row>
    <row r="46" spans="2:110" ht="15.75" x14ac:dyDescent="0.25">
      <c r="BB46" s="369"/>
      <c r="BC46" s="369"/>
      <c r="BD46" s="369"/>
      <c r="BE46" s="369">
        <v>450</v>
      </c>
      <c r="BF46" s="369">
        <v>457.2</v>
      </c>
      <c r="BG46" s="369"/>
      <c r="BH46" s="369">
        <v>6</v>
      </c>
      <c r="BI46" s="369">
        <v>560</v>
      </c>
      <c r="BJ46" s="370">
        <f t="shared" si="21"/>
        <v>548</v>
      </c>
      <c r="BK46" s="370">
        <f t="shared" si="18"/>
        <v>45.400000000000006</v>
      </c>
      <c r="BL46" s="369">
        <v>7.2</v>
      </c>
      <c r="BM46" s="369">
        <v>630</v>
      </c>
      <c r="BN46" s="370">
        <f t="shared" si="22"/>
        <v>615.6</v>
      </c>
      <c r="BO46" s="370">
        <f t="shared" si="19"/>
        <v>79.200000000000017</v>
      </c>
      <c r="BP46" s="369">
        <v>7.9</v>
      </c>
      <c r="BQ46" s="369">
        <v>800</v>
      </c>
      <c r="BR46" s="370">
        <f t="shared" si="23"/>
        <v>784.2</v>
      </c>
      <c r="BS46" s="370">
        <f t="shared" si="20"/>
        <v>163.50000000000003</v>
      </c>
      <c r="BT46" s="393"/>
      <c r="BU46" s="393"/>
      <c r="BV46" s="393"/>
      <c r="BW46" s="393"/>
      <c r="BX46" s="369"/>
      <c r="BY46" s="369"/>
      <c r="BZ46" s="369"/>
      <c r="CA46" s="369"/>
      <c r="CB46" s="369"/>
      <c r="CC46" s="369"/>
      <c r="CD46" s="369"/>
      <c r="CE46" s="369"/>
      <c r="CF46" s="369"/>
      <c r="CG46" s="369"/>
      <c r="CH46" s="369"/>
      <c r="CI46" s="369"/>
      <c r="CJ46" s="369"/>
      <c r="CK46" s="369"/>
      <c r="CL46" s="369"/>
      <c r="CM46" s="369"/>
      <c r="CN46" s="369"/>
      <c r="CO46" s="369"/>
      <c r="CP46" s="369"/>
      <c r="CQ46" s="369"/>
      <c r="CR46" s="369"/>
      <c r="CS46" s="369"/>
      <c r="CT46" s="369"/>
      <c r="CU46" s="369"/>
      <c r="CV46" s="369"/>
      <c r="CW46" s="369"/>
      <c r="CX46" s="369"/>
      <c r="CY46" s="369"/>
      <c r="CZ46" s="369"/>
      <c r="DA46" s="369"/>
      <c r="DB46" s="369"/>
      <c r="DC46" s="392"/>
      <c r="DD46" s="369"/>
      <c r="DE46" s="369"/>
      <c r="DF46" s="369"/>
    </row>
    <row r="47" spans="2:110" ht="15.75" x14ac:dyDescent="0.25">
      <c r="BB47" s="369"/>
      <c r="BC47" s="369"/>
      <c r="BD47" s="369"/>
      <c r="BE47" s="369">
        <v>500</v>
      </c>
      <c r="BF47" s="369">
        <v>508</v>
      </c>
      <c r="BG47" s="369"/>
      <c r="BH47" s="369">
        <v>6.6</v>
      </c>
      <c r="BI47" s="369">
        <v>630</v>
      </c>
      <c r="BJ47" s="370">
        <f t="shared" si="21"/>
        <v>616.79999999999995</v>
      </c>
      <c r="BK47" s="370">
        <f t="shared" si="18"/>
        <v>54.399999999999977</v>
      </c>
      <c r="BL47" s="369">
        <v>7.9</v>
      </c>
      <c r="BM47" s="369">
        <v>800</v>
      </c>
      <c r="BN47" s="370">
        <f t="shared" si="22"/>
        <v>784.2</v>
      </c>
      <c r="BO47" s="370">
        <f t="shared" si="19"/>
        <v>138.10000000000002</v>
      </c>
      <c r="BP47" s="369">
        <v>8.6999999999999993</v>
      </c>
      <c r="BQ47" s="369">
        <v>900</v>
      </c>
      <c r="BR47" s="370">
        <f t="shared" si="23"/>
        <v>882.6</v>
      </c>
      <c r="BS47" s="370">
        <f t="shared" si="20"/>
        <v>187.3</v>
      </c>
      <c r="BT47" s="380"/>
      <c r="BU47" s="380"/>
      <c r="BV47" s="380"/>
      <c r="BW47" s="380"/>
      <c r="BX47" s="369"/>
      <c r="BY47" s="369"/>
      <c r="BZ47" s="369"/>
      <c r="CA47" s="369"/>
      <c r="CB47" s="369"/>
      <c r="CC47" s="369"/>
      <c r="CD47" s="369"/>
      <c r="CE47" s="369"/>
      <c r="CF47" s="369"/>
      <c r="CG47" s="369"/>
      <c r="CH47" s="369"/>
      <c r="CI47" s="369"/>
      <c r="CJ47" s="369"/>
      <c r="CK47" s="369"/>
      <c r="CL47" s="369"/>
      <c r="CM47" s="369"/>
      <c r="CN47" s="369"/>
      <c r="CO47" s="369"/>
      <c r="CP47" s="369"/>
      <c r="CQ47" s="369"/>
      <c r="CR47" s="369"/>
      <c r="CS47" s="369"/>
      <c r="CT47" s="369"/>
      <c r="CU47" s="369"/>
      <c r="CV47" s="369"/>
      <c r="CW47" s="369"/>
      <c r="CX47" s="369"/>
      <c r="CY47" s="369"/>
      <c r="CZ47" s="369"/>
      <c r="DA47" s="369"/>
      <c r="DB47" s="369"/>
      <c r="DC47" s="392"/>
      <c r="DD47" s="369"/>
      <c r="DE47" s="369"/>
      <c r="DF47" s="369"/>
    </row>
    <row r="48" spans="2:110" ht="15.75" x14ac:dyDescent="0.25">
      <c r="BB48" s="369"/>
      <c r="BC48" s="369"/>
      <c r="BD48" s="369"/>
      <c r="BE48" s="369">
        <v>550</v>
      </c>
      <c r="BF48" s="369">
        <v>558.79999999999995</v>
      </c>
      <c r="BG48" s="369"/>
      <c r="BH48" s="369">
        <v>7.2</v>
      </c>
      <c r="BI48" s="369">
        <v>709.99999999999989</v>
      </c>
      <c r="BJ48" s="370">
        <f t="shared" si="21"/>
        <v>695.59999999999991</v>
      </c>
      <c r="BK48" s="370">
        <f t="shared" si="18"/>
        <v>68.399999999999977</v>
      </c>
      <c r="BL48" s="369"/>
      <c r="BM48" s="369"/>
      <c r="BN48" s="370"/>
      <c r="BO48" s="370"/>
      <c r="BP48" s="369"/>
      <c r="BQ48" s="369"/>
      <c r="BR48" s="393"/>
      <c r="BS48" s="380"/>
      <c r="BT48" s="380"/>
      <c r="BU48" s="380"/>
      <c r="BV48" s="380"/>
      <c r="BW48" s="380"/>
      <c r="BX48" s="369"/>
      <c r="BY48" s="369"/>
      <c r="BZ48" s="369"/>
      <c r="CA48" s="369"/>
      <c r="CB48" s="369"/>
      <c r="CC48" s="369"/>
      <c r="CD48" s="369"/>
      <c r="CE48" s="369"/>
      <c r="CF48" s="369"/>
      <c r="CG48" s="369"/>
      <c r="CH48" s="369"/>
      <c r="CI48" s="369"/>
      <c r="CJ48" s="369"/>
      <c r="CK48" s="369"/>
      <c r="CL48" s="369"/>
      <c r="CM48" s="369"/>
      <c r="CN48" s="369"/>
      <c r="CO48" s="369"/>
      <c r="CP48" s="369"/>
      <c r="CQ48" s="369"/>
      <c r="CR48" s="369"/>
      <c r="CS48" s="369"/>
      <c r="CT48" s="369"/>
      <c r="CU48" s="369"/>
      <c r="CV48" s="369"/>
      <c r="CW48" s="369"/>
      <c r="CX48" s="369"/>
      <c r="CY48" s="369"/>
      <c r="CZ48" s="369"/>
      <c r="DA48" s="369"/>
      <c r="DB48" s="369"/>
      <c r="DC48" s="392"/>
      <c r="DD48" s="369"/>
      <c r="DE48" s="369"/>
      <c r="DF48" s="369"/>
    </row>
    <row r="49" spans="54:110" ht="15.75" x14ac:dyDescent="0.25">
      <c r="BB49" s="369"/>
      <c r="BC49" s="369"/>
      <c r="BD49" s="369"/>
      <c r="BE49" s="369">
        <v>600</v>
      </c>
      <c r="BF49" s="369">
        <v>609.6</v>
      </c>
      <c r="BG49" s="369"/>
      <c r="BH49" s="369">
        <v>7.8</v>
      </c>
      <c r="BI49" s="369">
        <v>780.00000000000011</v>
      </c>
      <c r="BJ49" s="370">
        <f t="shared" si="21"/>
        <v>764.40000000000009</v>
      </c>
      <c r="BK49" s="370">
        <f t="shared" si="18"/>
        <v>77.400000000000034</v>
      </c>
      <c r="BL49" s="369">
        <v>8.6999999999999993</v>
      </c>
      <c r="BM49" s="369">
        <v>900</v>
      </c>
      <c r="BN49" s="370">
        <f t="shared" si="22"/>
        <v>882.6</v>
      </c>
      <c r="BO49" s="370">
        <f>(BN49-$BF49)/2</f>
        <v>136.5</v>
      </c>
      <c r="BP49" s="369"/>
      <c r="BQ49" s="369"/>
      <c r="BR49" s="393"/>
      <c r="BS49" s="380"/>
      <c r="BT49" s="380"/>
      <c r="BU49" s="380"/>
      <c r="BV49" s="380"/>
      <c r="BW49" s="380"/>
      <c r="BX49" s="369"/>
      <c r="BY49" s="369"/>
      <c r="BZ49" s="369"/>
      <c r="CA49" s="369"/>
      <c r="CB49" s="369"/>
      <c r="CC49" s="369"/>
      <c r="CD49" s="369"/>
      <c r="CE49" s="369"/>
      <c r="CF49" s="369"/>
      <c r="CG49" s="369"/>
      <c r="CH49" s="369"/>
      <c r="CI49" s="369"/>
      <c r="CJ49" s="369"/>
      <c r="CK49" s="369"/>
      <c r="CL49" s="369"/>
      <c r="CM49" s="369"/>
      <c r="CN49" s="369"/>
      <c r="CO49" s="369"/>
      <c r="CP49" s="369"/>
      <c r="CQ49" s="369"/>
      <c r="CR49" s="369"/>
      <c r="CS49" s="369"/>
      <c r="CT49" s="369"/>
      <c r="CU49" s="369"/>
      <c r="CV49" s="369"/>
      <c r="CW49" s="369"/>
      <c r="CX49" s="369"/>
      <c r="CY49" s="369"/>
      <c r="CZ49" s="369"/>
      <c r="DA49" s="369"/>
      <c r="DB49" s="369"/>
      <c r="DC49" s="392"/>
      <c r="DD49" s="369"/>
      <c r="DE49" s="369"/>
      <c r="DF49" s="369"/>
    </row>
    <row r="50" spans="54:110" ht="15.75" x14ac:dyDescent="0.25">
      <c r="BB50" s="369"/>
      <c r="BC50" s="369"/>
      <c r="BD50" s="369"/>
      <c r="BE50" s="369">
        <v>700</v>
      </c>
      <c r="BF50" s="369">
        <v>711</v>
      </c>
      <c r="BG50" s="369"/>
      <c r="BH50" s="369">
        <v>8.6999999999999993</v>
      </c>
      <c r="BI50" s="369">
        <v>900</v>
      </c>
      <c r="BJ50" s="370">
        <f t="shared" si="21"/>
        <v>882.6</v>
      </c>
      <c r="BK50" s="370">
        <f t="shared" si="18"/>
        <v>85.800000000000011</v>
      </c>
      <c r="BL50" s="369"/>
      <c r="BM50" s="369"/>
      <c r="BN50" s="369"/>
      <c r="BO50" s="369"/>
      <c r="BP50" s="369"/>
      <c r="BQ50" s="369"/>
      <c r="BR50" s="393"/>
      <c r="BS50" s="380"/>
      <c r="BT50" s="380"/>
      <c r="BU50" s="380"/>
      <c r="BV50" s="380"/>
      <c r="BW50" s="380"/>
      <c r="BX50" s="369"/>
      <c r="BY50" s="369"/>
      <c r="BZ50" s="369"/>
      <c r="CA50" s="369"/>
      <c r="CB50" s="369"/>
      <c r="CC50" s="369"/>
      <c r="CD50" s="369"/>
      <c r="CE50" s="369"/>
      <c r="CF50" s="369"/>
      <c r="CG50" s="369"/>
      <c r="CH50" s="369"/>
      <c r="CI50" s="369"/>
      <c r="CJ50" s="369"/>
      <c r="CK50" s="369"/>
      <c r="CL50" s="369"/>
      <c r="CM50" s="369"/>
      <c r="CN50" s="369"/>
      <c r="CO50" s="369"/>
      <c r="CP50" s="369"/>
      <c r="CQ50" s="369"/>
      <c r="CR50" s="369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92"/>
      <c r="DD50" s="369"/>
      <c r="DE50" s="369"/>
      <c r="DF50" s="369"/>
    </row>
    <row r="51" spans="54:110" ht="15.75" x14ac:dyDescent="0.25">
      <c r="BB51" s="369"/>
      <c r="BC51" s="369"/>
      <c r="BD51" s="369"/>
      <c r="BE51" s="369">
        <v>800</v>
      </c>
      <c r="BF51" s="369">
        <v>820</v>
      </c>
      <c r="BG51" s="369"/>
      <c r="BH51" s="369">
        <v>9.4</v>
      </c>
      <c r="BI51" s="369">
        <v>1000</v>
      </c>
      <c r="BJ51" s="370">
        <f t="shared" si="21"/>
        <v>981.2</v>
      </c>
      <c r="BK51" s="370">
        <f t="shared" si="18"/>
        <v>80.600000000000023</v>
      </c>
      <c r="BL51" s="369"/>
      <c r="BM51" s="369"/>
      <c r="BN51" s="369"/>
      <c r="BO51" s="369"/>
      <c r="BP51" s="369"/>
      <c r="BQ51" s="369"/>
      <c r="BR51" s="393"/>
      <c r="BS51" s="380"/>
      <c r="BT51" s="380"/>
      <c r="BU51" s="380"/>
      <c r="BV51" s="380"/>
      <c r="BW51" s="380"/>
      <c r="BX51" s="369"/>
      <c r="BY51" s="369"/>
      <c r="BZ51" s="369"/>
      <c r="CA51" s="369"/>
      <c r="CB51" s="369"/>
      <c r="CC51" s="369"/>
      <c r="CD51" s="369"/>
      <c r="CE51" s="369"/>
      <c r="CF51" s="369"/>
      <c r="CG51" s="369"/>
      <c r="CH51" s="369"/>
      <c r="CI51" s="369"/>
      <c r="CJ51" s="369"/>
      <c r="CK51" s="369"/>
      <c r="CL51" s="369"/>
      <c r="CM51" s="369"/>
      <c r="CN51" s="369"/>
      <c r="CO51" s="369"/>
      <c r="CP51" s="369"/>
      <c r="CQ51" s="369"/>
      <c r="CR51" s="369"/>
      <c r="CS51" s="369"/>
      <c r="CT51" s="369"/>
      <c r="CU51" s="369"/>
      <c r="CV51" s="369"/>
      <c r="CW51" s="369"/>
      <c r="CX51" s="369"/>
      <c r="CY51" s="369"/>
      <c r="CZ51" s="369"/>
      <c r="DA51" s="369"/>
      <c r="DB51" s="369"/>
      <c r="DC51" s="392"/>
      <c r="DD51" s="369"/>
      <c r="DE51" s="369"/>
      <c r="DF51" s="369"/>
    </row>
    <row r="52" spans="54:110" ht="15.75" x14ac:dyDescent="0.25">
      <c r="BB52" s="369"/>
      <c r="BC52" s="369"/>
      <c r="BD52" s="369"/>
      <c r="BE52" s="369">
        <v>900</v>
      </c>
      <c r="BF52" s="369">
        <v>914</v>
      </c>
      <c r="BG52" s="369"/>
      <c r="BH52" s="369">
        <v>10.199999999999999</v>
      </c>
      <c r="BI52" s="369">
        <v>1100</v>
      </c>
      <c r="BJ52" s="370">
        <f t="shared" si="21"/>
        <v>1079.5999999999999</v>
      </c>
      <c r="BK52" s="370">
        <f t="shared" si="18"/>
        <v>82.799999999999955</v>
      </c>
      <c r="BL52" s="369"/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69"/>
      <c r="CN52" s="369"/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369"/>
      <c r="CZ52" s="369"/>
      <c r="DA52" s="369"/>
      <c r="DB52" s="369"/>
      <c r="DC52" s="392"/>
      <c r="DD52" s="369"/>
      <c r="DE52" s="369"/>
      <c r="DF52" s="369"/>
    </row>
    <row r="53" spans="54:110" ht="15.75" x14ac:dyDescent="0.25">
      <c r="BB53" s="369"/>
      <c r="BC53" s="369"/>
      <c r="BD53" s="369"/>
      <c r="BE53" s="369">
        <v>1000</v>
      </c>
      <c r="BF53" s="369">
        <v>1016</v>
      </c>
      <c r="BG53" s="369"/>
      <c r="BH53" s="369">
        <v>11</v>
      </c>
      <c r="BI53" s="369">
        <v>1200</v>
      </c>
      <c r="BJ53" s="370">
        <f t="shared" si="21"/>
        <v>1178</v>
      </c>
      <c r="BK53" s="370">
        <f t="shared" si="18"/>
        <v>81</v>
      </c>
      <c r="BL53" s="369"/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69"/>
      <c r="BZ53" s="369"/>
      <c r="CA53" s="369"/>
      <c r="CB53" s="369"/>
      <c r="CC53" s="369"/>
      <c r="CD53" s="369"/>
      <c r="CE53" s="369"/>
      <c r="CF53" s="369"/>
      <c r="CG53" s="369"/>
      <c r="CH53" s="369"/>
      <c r="CI53" s="369"/>
      <c r="CJ53" s="369"/>
      <c r="CK53" s="369"/>
      <c r="CL53" s="369"/>
      <c r="CM53" s="369"/>
      <c r="CN53" s="369"/>
      <c r="CO53" s="369"/>
      <c r="CP53" s="369"/>
      <c r="CQ53" s="369"/>
      <c r="CR53" s="369"/>
      <c r="CS53" s="369"/>
      <c r="CT53" s="369"/>
      <c r="CU53" s="369"/>
      <c r="CV53" s="369"/>
      <c r="CW53" s="369"/>
      <c r="CX53" s="369"/>
      <c r="CY53" s="369"/>
      <c r="CZ53" s="369"/>
      <c r="DA53" s="369"/>
      <c r="DB53" s="369"/>
      <c r="DC53" s="392"/>
      <c r="DD53" s="369"/>
      <c r="DE53" s="369"/>
      <c r="DF53" s="369"/>
    </row>
    <row r="54" spans="54:110" ht="15.75" x14ac:dyDescent="0.25">
      <c r="BB54" s="369"/>
      <c r="BC54" s="369"/>
      <c r="BD54" s="369"/>
      <c r="BE54" s="369">
        <v>1100</v>
      </c>
      <c r="BF54" s="369">
        <v>1118</v>
      </c>
      <c r="BG54" s="369"/>
      <c r="BH54" s="369">
        <v>11.8</v>
      </c>
      <c r="BI54" s="369">
        <v>1300</v>
      </c>
      <c r="BJ54" s="370">
        <f t="shared" si="21"/>
        <v>1276.4000000000001</v>
      </c>
      <c r="BK54" s="370">
        <f t="shared" si="18"/>
        <v>79.200000000000045</v>
      </c>
      <c r="BL54" s="369"/>
      <c r="BM54" s="369"/>
      <c r="BN54" s="369"/>
      <c r="BO54" s="369"/>
      <c r="BP54" s="369"/>
      <c r="BQ54" s="369"/>
      <c r="BR54" s="369"/>
      <c r="BS54" s="369"/>
      <c r="BT54" s="369"/>
      <c r="BU54" s="369"/>
      <c r="BV54" s="369"/>
      <c r="BW54" s="369"/>
      <c r="BX54" s="369"/>
      <c r="BY54" s="369"/>
      <c r="BZ54" s="369"/>
      <c r="CA54" s="369"/>
      <c r="CB54" s="369"/>
      <c r="CC54" s="369"/>
      <c r="CD54" s="369"/>
      <c r="CE54" s="369"/>
      <c r="CF54" s="369"/>
      <c r="CG54" s="369"/>
      <c r="CH54" s="369"/>
      <c r="CI54" s="369"/>
      <c r="CJ54" s="369"/>
      <c r="CK54" s="369"/>
      <c r="CL54" s="369"/>
      <c r="CM54" s="369"/>
      <c r="CN54" s="369"/>
      <c r="CO54" s="369"/>
      <c r="CP54" s="369"/>
      <c r="CQ54" s="369"/>
      <c r="CR54" s="369"/>
      <c r="CS54" s="369"/>
      <c r="CT54" s="369"/>
      <c r="CU54" s="369"/>
      <c r="CV54" s="369"/>
      <c r="CW54" s="369"/>
      <c r="CX54" s="369"/>
      <c r="CY54" s="369"/>
      <c r="CZ54" s="369"/>
      <c r="DA54" s="369"/>
      <c r="DB54" s="369"/>
      <c r="DC54" s="392"/>
      <c r="DD54" s="369"/>
      <c r="DE54" s="369"/>
      <c r="DF54" s="369"/>
    </row>
    <row r="55" spans="54:110" ht="15.75" x14ac:dyDescent="0.25">
      <c r="BB55" s="369"/>
      <c r="BC55" s="369"/>
      <c r="BD55" s="369"/>
      <c r="BE55" s="369">
        <v>1200</v>
      </c>
      <c r="BF55" s="369">
        <v>1219</v>
      </c>
      <c r="BG55" s="369"/>
      <c r="BH55" s="369">
        <v>12.5</v>
      </c>
      <c r="BI55" s="369">
        <v>1400</v>
      </c>
      <c r="BJ55" s="370">
        <f t="shared" si="21"/>
        <v>1375</v>
      </c>
      <c r="BK55" s="370">
        <f t="shared" si="18"/>
        <v>78</v>
      </c>
      <c r="BL55" s="369"/>
      <c r="BM55" s="369"/>
      <c r="BN55" s="369"/>
      <c r="BO55" s="369"/>
      <c r="BP55" s="369"/>
      <c r="BQ55" s="369"/>
      <c r="BR55" s="369"/>
      <c r="BS55" s="369"/>
      <c r="BT55" s="369"/>
      <c r="BU55" s="369"/>
      <c r="BV55" s="369"/>
      <c r="BW55" s="369"/>
      <c r="BX55" s="369"/>
      <c r="BY55" s="369"/>
      <c r="BZ55" s="369"/>
      <c r="CA55" s="369"/>
      <c r="CB55" s="369"/>
      <c r="CC55" s="369"/>
      <c r="CD55" s="369"/>
      <c r="CE55" s="369"/>
      <c r="CF55" s="369"/>
      <c r="CG55" s="369"/>
      <c r="CH55" s="369"/>
      <c r="CI55" s="369"/>
      <c r="CJ55" s="369"/>
      <c r="CK55" s="369"/>
      <c r="CL55" s="369"/>
      <c r="CM55" s="369"/>
      <c r="CN55" s="369"/>
      <c r="CO55" s="369"/>
      <c r="CP55" s="369"/>
      <c r="CQ55" s="369"/>
      <c r="CR55" s="369"/>
      <c r="CS55" s="369"/>
      <c r="CT55" s="369"/>
      <c r="CU55" s="369"/>
      <c r="CV55" s="369"/>
      <c r="CW55" s="369"/>
      <c r="CX55" s="369"/>
      <c r="CY55" s="369"/>
      <c r="CZ55" s="369"/>
      <c r="DA55" s="369"/>
      <c r="DB55" s="369"/>
      <c r="DC55" s="392"/>
      <c r="DD55" s="369"/>
      <c r="DE55" s="369"/>
      <c r="DF55" s="369"/>
    </row>
    <row r="56" spans="54:110" ht="15.75" x14ac:dyDescent="0.25">
      <c r="BB56" s="369"/>
      <c r="BC56" s="369"/>
      <c r="BD56" s="369"/>
      <c r="BE56" s="369"/>
      <c r="BF56" s="369"/>
      <c r="BG56" s="369"/>
      <c r="BH56" s="369"/>
      <c r="BI56" s="369"/>
      <c r="BJ56" s="369"/>
      <c r="BK56" s="369"/>
      <c r="BL56" s="369"/>
      <c r="BM56" s="369"/>
      <c r="BN56" s="369"/>
      <c r="BO56" s="369"/>
      <c r="BP56" s="369"/>
      <c r="BQ56" s="369"/>
      <c r="BR56" s="369"/>
      <c r="BS56" s="369"/>
      <c r="BT56" s="369"/>
      <c r="BU56" s="369"/>
      <c r="BV56" s="369"/>
      <c r="BW56" s="369"/>
      <c r="BX56" s="369"/>
      <c r="BY56" s="369"/>
      <c r="BZ56" s="369"/>
      <c r="CA56" s="369"/>
      <c r="CB56" s="369"/>
      <c r="CC56" s="369"/>
      <c r="CD56" s="369"/>
      <c r="CE56" s="369"/>
      <c r="CF56" s="369"/>
      <c r="CG56" s="369"/>
      <c r="CH56" s="369"/>
      <c r="CI56" s="369"/>
      <c r="CJ56" s="369"/>
      <c r="CK56" s="369"/>
      <c r="CL56" s="369"/>
      <c r="CM56" s="369"/>
      <c r="CN56" s="369"/>
      <c r="CO56" s="369"/>
      <c r="CP56" s="369"/>
      <c r="CQ56" s="369"/>
      <c r="CR56" s="369"/>
      <c r="CS56" s="369"/>
      <c r="CT56" s="369"/>
      <c r="CU56" s="369"/>
      <c r="CV56" s="369"/>
      <c r="CW56" s="369"/>
      <c r="CX56" s="369"/>
      <c r="CY56" s="369"/>
      <c r="CZ56" s="369"/>
      <c r="DA56" s="369"/>
      <c r="DB56" s="369"/>
      <c r="DC56" s="392"/>
      <c r="DD56" s="369"/>
      <c r="DE56" s="369"/>
      <c r="DF56" s="369"/>
    </row>
    <row r="57" spans="54:110" ht="15.75" x14ac:dyDescent="0.25">
      <c r="BB57" s="369"/>
      <c r="BC57" s="369"/>
      <c r="BD57" s="369"/>
      <c r="BE57" s="369"/>
      <c r="BF57" s="369"/>
      <c r="BG57" s="369"/>
      <c r="BH57" s="369"/>
      <c r="BI57" s="369"/>
      <c r="BJ57" s="369"/>
      <c r="BK57" s="370">
        <f>(((BD21/2)-(BF32/2))/1000)/($M$10*$BD$18)</f>
        <v>6.0024833894835698E-2</v>
      </c>
      <c r="BL57" s="369"/>
      <c r="BM57" s="369"/>
      <c r="BN57" s="369"/>
      <c r="BO57" s="369"/>
      <c r="BP57" s="369"/>
      <c r="BQ57" s="369"/>
      <c r="BR57" s="369"/>
      <c r="BS57" s="369"/>
      <c r="BT57" s="369"/>
      <c r="BU57" s="369"/>
      <c r="BV57" s="369"/>
      <c r="BW57" s="369"/>
      <c r="BX57" s="369"/>
      <c r="BY57" s="369"/>
      <c r="BZ57" s="369"/>
      <c r="CA57" s="369"/>
      <c r="CB57" s="369"/>
      <c r="CC57" s="369"/>
      <c r="CD57" s="369"/>
      <c r="CE57" s="369"/>
      <c r="CF57" s="369"/>
      <c r="CG57" s="369"/>
      <c r="CH57" s="369"/>
      <c r="CI57" s="369"/>
      <c r="CJ57" s="369"/>
      <c r="CK57" s="369"/>
      <c r="CL57" s="369"/>
      <c r="CM57" s="369"/>
      <c r="CN57" s="369"/>
      <c r="CO57" s="369"/>
      <c r="CP57" s="369"/>
      <c r="CQ57" s="369"/>
      <c r="CR57" s="369"/>
      <c r="CS57" s="369"/>
      <c r="CT57" s="369"/>
      <c r="CU57" s="369"/>
      <c r="CV57" s="369"/>
      <c r="CW57" s="369"/>
      <c r="CX57" s="369"/>
      <c r="CY57" s="369"/>
      <c r="CZ57" s="369"/>
      <c r="DA57" s="369"/>
      <c r="DB57" s="369"/>
      <c r="DC57" s="392"/>
      <c r="DD57" s="369"/>
      <c r="DE57" s="369"/>
      <c r="DF57" s="369"/>
    </row>
    <row r="58" spans="54:110" ht="15.75" x14ac:dyDescent="0.25">
      <c r="BB58" s="369"/>
      <c r="BC58" s="369"/>
      <c r="BD58" s="369"/>
      <c r="BE58" s="369"/>
      <c r="BF58" s="369"/>
      <c r="BG58" s="369"/>
      <c r="BH58" s="369"/>
      <c r="BI58" s="369"/>
      <c r="BJ58" s="369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369"/>
      <c r="CP58" s="369"/>
      <c r="CQ58" s="369"/>
      <c r="CR58" s="369"/>
      <c r="CS58" s="369"/>
      <c r="CT58" s="369"/>
      <c r="CU58" s="369"/>
      <c r="CV58" s="369"/>
      <c r="CW58" s="369"/>
      <c r="CX58" s="369"/>
      <c r="CY58" s="369"/>
      <c r="CZ58" s="369"/>
      <c r="DA58" s="369"/>
      <c r="DB58" s="369"/>
      <c r="DC58" s="392"/>
      <c r="DD58" s="369"/>
      <c r="DE58" s="369"/>
      <c r="DF58" s="369"/>
    </row>
    <row r="59" spans="54:110" ht="15.75" x14ac:dyDescent="0.25">
      <c r="BB59" s="369"/>
      <c r="BC59" s="369"/>
      <c r="BD59" s="369"/>
      <c r="BE59" s="369"/>
      <c r="BF59" s="369"/>
      <c r="BG59" s="369"/>
      <c r="BH59" s="369"/>
      <c r="BI59" s="369"/>
      <c r="BJ59" s="369"/>
      <c r="BK59" s="369"/>
      <c r="BL59" s="369"/>
      <c r="BM59" s="369"/>
      <c r="BN59" s="369"/>
      <c r="BO59" s="369"/>
      <c r="BP59" s="369"/>
      <c r="BQ59" s="369"/>
      <c r="BR59" s="369"/>
      <c r="BS59" s="369"/>
      <c r="BT59" s="369"/>
      <c r="BU59" s="369"/>
      <c r="BV59" s="369"/>
      <c r="BW59" s="369"/>
      <c r="BX59" s="369"/>
      <c r="BY59" s="369"/>
      <c r="BZ59" s="369"/>
      <c r="CA59" s="369"/>
      <c r="CB59" s="369"/>
      <c r="CC59" s="369"/>
      <c r="CD59" s="369"/>
      <c r="CE59" s="369"/>
      <c r="CF59" s="369"/>
      <c r="CG59" s="369"/>
      <c r="CH59" s="369"/>
      <c r="CI59" s="369"/>
      <c r="CJ59" s="369"/>
      <c r="CK59" s="369"/>
      <c r="CL59" s="369"/>
      <c r="CM59" s="369"/>
      <c r="CN59" s="369"/>
      <c r="CO59" s="369"/>
      <c r="CP59" s="369"/>
      <c r="CQ59" s="369"/>
      <c r="CR59" s="369"/>
      <c r="CS59" s="369"/>
      <c r="CT59" s="369"/>
      <c r="CU59" s="369"/>
      <c r="CV59" s="369"/>
      <c r="CW59" s="369"/>
      <c r="CX59" s="369"/>
      <c r="CY59" s="369"/>
      <c r="CZ59" s="369"/>
      <c r="DA59" s="369"/>
      <c r="DB59" s="369"/>
      <c r="DC59" s="392"/>
      <c r="DD59" s="369"/>
      <c r="DE59" s="369"/>
      <c r="DF59" s="369"/>
    </row>
    <row r="60" spans="54:110" ht="15.75" x14ac:dyDescent="0.25">
      <c r="BB60" s="369"/>
      <c r="BC60" s="369"/>
      <c r="BD60" s="369"/>
      <c r="BE60" s="369"/>
      <c r="BF60" s="369"/>
      <c r="BG60" s="369"/>
      <c r="BH60" s="369"/>
      <c r="BI60" s="369"/>
      <c r="BJ60" s="369"/>
      <c r="BK60" s="369"/>
      <c r="BL60" s="369"/>
      <c r="BM60" s="369"/>
      <c r="BN60" s="369"/>
      <c r="BO60" s="369"/>
      <c r="BP60" s="369"/>
      <c r="BQ60" s="369"/>
      <c r="BR60" s="369"/>
      <c r="BS60" s="369"/>
      <c r="BT60" s="369"/>
      <c r="BU60" s="369"/>
      <c r="BV60" s="369"/>
      <c r="BW60" s="369"/>
      <c r="BX60" s="369"/>
      <c r="BY60" s="369"/>
      <c r="BZ60" s="369"/>
      <c r="CA60" s="369"/>
      <c r="CB60" s="369"/>
      <c r="CC60" s="369"/>
      <c r="CD60" s="369"/>
      <c r="CE60" s="369"/>
      <c r="CF60" s="369"/>
      <c r="CG60" s="369"/>
      <c r="CH60" s="369"/>
      <c r="CI60" s="369"/>
      <c r="CJ60" s="369"/>
      <c r="CK60" s="369"/>
      <c r="CL60" s="369"/>
      <c r="CM60" s="369"/>
      <c r="CN60" s="369"/>
      <c r="CO60" s="369"/>
      <c r="CP60" s="369"/>
      <c r="CQ60" s="369"/>
      <c r="CR60" s="369"/>
      <c r="CS60" s="369"/>
      <c r="CT60" s="369"/>
      <c r="CU60" s="369"/>
      <c r="CV60" s="369"/>
      <c r="CW60" s="369"/>
      <c r="CX60" s="369"/>
      <c r="CY60" s="369"/>
      <c r="CZ60" s="369"/>
      <c r="DA60" s="369"/>
      <c r="DB60" s="369"/>
      <c r="DC60" s="392"/>
      <c r="DD60" s="369"/>
      <c r="DE60" s="369"/>
      <c r="DF60" s="369"/>
    </row>
    <row r="61" spans="54:110" ht="15.75" x14ac:dyDescent="0.25">
      <c r="BB61" s="369"/>
      <c r="BC61" s="369"/>
      <c r="BD61" s="369"/>
      <c r="BE61" s="369"/>
      <c r="BF61" s="369"/>
      <c r="BG61" s="369"/>
      <c r="BH61" s="369"/>
      <c r="BI61" s="369"/>
      <c r="BJ61" s="369"/>
      <c r="BK61" s="369"/>
      <c r="BL61" s="369"/>
      <c r="BM61" s="369"/>
      <c r="BN61" s="369"/>
      <c r="BO61" s="369"/>
      <c r="BP61" s="369"/>
      <c r="BQ61" s="369"/>
      <c r="BR61" s="369"/>
      <c r="BS61" s="369"/>
      <c r="BT61" s="369"/>
      <c r="BU61" s="369"/>
      <c r="BV61" s="369"/>
      <c r="BW61" s="369"/>
      <c r="BX61" s="369"/>
      <c r="BY61" s="369"/>
      <c r="BZ61" s="369"/>
      <c r="CA61" s="369"/>
      <c r="CB61" s="369"/>
      <c r="CC61" s="369"/>
      <c r="CD61" s="369"/>
      <c r="CE61" s="369"/>
      <c r="CF61" s="369"/>
      <c r="CG61" s="369"/>
      <c r="CH61" s="369"/>
      <c r="CI61" s="369"/>
      <c r="CJ61" s="369"/>
      <c r="CK61" s="369"/>
      <c r="CL61" s="369"/>
      <c r="CM61" s="369"/>
      <c r="CN61" s="369"/>
      <c r="CO61" s="369"/>
      <c r="CP61" s="369"/>
      <c r="CQ61" s="369"/>
      <c r="CR61" s="369"/>
      <c r="CS61" s="369"/>
      <c r="CT61" s="369"/>
      <c r="CU61" s="369"/>
      <c r="CV61" s="369"/>
      <c r="CW61" s="369"/>
      <c r="CX61" s="369"/>
      <c r="CY61" s="369"/>
      <c r="CZ61" s="369"/>
      <c r="DA61" s="369"/>
      <c r="DB61" s="369"/>
      <c r="DC61" s="392"/>
      <c r="DD61" s="369"/>
      <c r="DE61" s="369"/>
      <c r="DF61" s="369"/>
    </row>
    <row r="62" spans="54:110" ht="15.75" x14ac:dyDescent="0.25">
      <c r="BB62" s="369"/>
      <c r="BC62" s="369"/>
      <c r="BD62" s="369"/>
      <c r="BE62" s="369"/>
      <c r="BF62" s="369"/>
      <c r="BG62" s="369"/>
      <c r="BH62" s="369"/>
      <c r="BI62" s="369"/>
      <c r="BJ62" s="369"/>
      <c r="BK62" s="369"/>
      <c r="BL62" s="369"/>
      <c r="BM62" s="369"/>
      <c r="BN62" s="369"/>
      <c r="BO62" s="369"/>
      <c r="BP62" s="369"/>
      <c r="BQ62" s="369"/>
      <c r="BR62" s="369"/>
      <c r="BS62" s="369"/>
      <c r="BT62" s="369"/>
      <c r="BU62" s="369"/>
      <c r="BV62" s="369"/>
      <c r="BW62" s="369"/>
      <c r="BX62" s="369"/>
      <c r="BY62" s="369"/>
      <c r="BZ62" s="369"/>
      <c r="CA62" s="369"/>
      <c r="CB62" s="369"/>
      <c r="CC62" s="369"/>
      <c r="CD62" s="369"/>
      <c r="CE62" s="369"/>
      <c r="CF62" s="369"/>
      <c r="CG62" s="369"/>
      <c r="CH62" s="369"/>
      <c r="CI62" s="369"/>
      <c r="CJ62" s="369"/>
      <c r="CK62" s="369"/>
      <c r="CL62" s="369"/>
      <c r="CM62" s="369"/>
      <c r="CN62" s="369"/>
      <c r="CO62" s="369"/>
      <c r="CP62" s="369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69"/>
      <c r="DB62" s="369"/>
      <c r="DC62" s="392"/>
      <c r="DD62" s="369"/>
      <c r="DE62" s="369"/>
      <c r="DF62" s="369"/>
    </row>
    <row r="63" spans="54:110" ht="15.75" x14ac:dyDescent="0.25">
      <c r="BB63" s="369"/>
      <c r="BC63" s="369"/>
      <c r="BD63" s="369"/>
      <c r="BE63" s="369"/>
      <c r="BF63" s="369"/>
      <c r="BG63" s="369"/>
      <c r="BH63" s="369"/>
      <c r="BI63" s="369"/>
      <c r="BJ63" s="369"/>
      <c r="BK63" s="369"/>
      <c r="BL63" s="369"/>
      <c r="BM63" s="369"/>
      <c r="BN63" s="369"/>
      <c r="BO63" s="369"/>
      <c r="BP63" s="369"/>
      <c r="BQ63" s="369"/>
      <c r="BR63" s="369"/>
      <c r="BS63" s="369"/>
      <c r="BT63" s="369"/>
      <c r="BU63" s="369"/>
      <c r="BV63" s="369"/>
      <c r="BW63" s="369"/>
      <c r="BX63" s="369"/>
      <c r="BY63" s="369"/>
      <c r="BZ63" s="369"/>
      <c r="CA63" s="369"/>
      <c r="CB63" s="369"/>
      <c r="CC63" s="369"/>
      <c r="CD63" s="369"/>
      <c r="CE63" s="369"/>
      <c r="CF63" s="369"/>
      <c r="CG63" s="369"/>
      <c r="CH63" s="369"/>
      <c r="CI63" s="369"/>
      <c r="CJ63" s="369"/>
      <c r="CK63" s="369"/>
      <c r="CL63" s="369"/>
      <c r="CM63" s="369"/>
      <c r="CN63" s="369"/>
      <c r="CO63" s="369"/>
      <c r="CP63" s="369"/>
      <c r="CQ63" s="369"/>
      <c r="CR63" s="369"/>
      <c r="CS63" s="369"/>
      <c r="CT63" s="369"/>
      <c r="CU63" s="369"/>
      <c r="CV63" s="369"/>
      <c r="CW63" s="369"/>
      <c r="CX63" s="369"/>
      <c r="CY63" s="369"/>
      <c r="CZ63" s="369"/>
      <c r="DA63" s="369"/>
      <c r="DB63" s="369"/>
      <c r="DC63" s="392"/>
      <c r="DD63" s="369"/>
      <c r="DE63" s="369"/>
      <c r="DF63" s="369"/>
    </row>
    <row r="64" spans="54:110" ht="15.75" x14ac:dyDescent="0.25">
      <c r="BB64" s="369"/>
      <c r="BC64" s="369"/>
      <c r="BD64" s="369"/>
      <c r="BE64" s="369"/>
      <c r="BF64" s="369"/>
      <c r="BG64" s="369"/>
      <c r="BH64" s="369"/>
      <c r="BI64" s="369"/>
      <c r="BJ64" s="369"/>
      <c r="BK64" s="369"/>
      <c r="BL64" s="369"/>
      <c r="BM64" s="369"/>
      <c r="BN64" s="369"/>
      <c r="BO64" s="369"/>
      <c r="BP64" s="369"/>
      <c r="BQ64" s="369"/>
      <c r="BR64" s="369"/>
      <c r="BS64" s="369"/>
      <c r="BT64" s="369"/>
      <c r="BU64" s="369"/>
      <c r="BV64" s="369"/>
      <c r="BW64" s="369"/>
      <c r="BX64" s="369"/>
      <c r="BY64" s="369"/>
      <c r="BZ64" s="369"/>
      <c r="CA64" s="369"/>
      <c r="CB64" s="369"/>
      <c r="CC64" s="369"/>
      <c r="CD64" s="369"/>
      <c r="CE64" s="369"/>
      <c r="CF64" s="369"/>
      <c r="CG64" s="369"/>
      <c r="CH64" s="369"/>
      <c r="CI64" s="369"/>
      <c r="CJ64" s="369"/>
      <c r="CK64" s="369"/>
      <c r="CL64" s="369"/>
      <c r="CM64" s="369"/>
      <c r="CN64" s="369"/>
      <c r="CO64" s="369"/>
      <c r="CP64" s="369"/>
      <c r="CQ64" s="369"/>
      <c r="CR64" s="369"/>
      <c r="CS64" s="369"/>
      <c r="CT64" s="369"/>
      <c r="CU64" s="369"/>
      <c r="CV64" s="369"/>
      <c r="CW64" s="369"/>
      <c r="CX64" s="369"/>
      <c r="CY64" s="369"/>
      <c r="CZ64" s="369"/>
      <c r="DA64" s="369"/>
      <c r="DB64" s="369"/>
      <c r="DC64" s="392"/>
      <c r="DD64" s="369"/>
      <c r="DE64" s="369"/>
      <c r="DF64" s="369"/>
    </row>
    <row r="65" spans="54:110" ht="15.75" x14ac:dyDescent="0.25">
      <c r="BB65" s="369"/>
      <c r="BC65" s="369"/>
      <c r="BD65" s="369"/>
      <c r="BE65" s="369"/>
      <c r="BF65" s="369"/>
      <c r="BG65" s="369"/>
      <c r="BH65" s="369"/>
      <c r="BI65" s="369"/>
      <c r="BJ65" s="369"/>
      <c r="BK65" s="369"/>
      <c r="BL65" s="369"/>
      <c r="BM65" s="369"/>
      <c r="BN65" s="369"/>
      <c r="BO65" s="369"/>
      <c r="BP65" s="369"/>
      <c r="BQ65" s="369"/>
      <c r="BR65" s="369"/>
      <c r="BS65" s="369"/>
      <c r="BT65" s="369"/>
      <c r="BU65" s="369"/>
      <c r="BV65" s="369"/>
      <c r="BW65" s="369"/>
      <c r="BX65" s="369"/>
      <c r="BY65" s="369"/>
      <c r="BZ65" s="369"/>
      <c r="CA65" s="369"/>
      <c r="CB65" s="369"/>
      <c r="CC65" s="369"/>
      <c r="CD65" s="369"/>
      <c r="CE65" s="369"/>
      <c r="CF65" s="369"/>
      <c r="CG65" s="369"/>
      <c r="CH65" s="369"/>
      <c r="CI65" s="369"/>
      <c r="CJ65" s="369"/>
      <c r="CK65" s="369"/>
      <c r="CL65" s="369"/>
      <c r="CM65" s="369"/>
      <c r="CN65" s="369"/>
      <c r="CO65" s="369"/>
      <c r="CP65" s="369"/>
      <c r="CQ65" s="369"/>
      <c r="CR65" s="369"/>
      <c r="CS65" s="369"/>
      <c r="CT65" s="369"/>
      <c r="CU65" s="369"/>
      <c r="CV65" s="369"/>
      <c r="CW65" s="369"/>
      <c r="CX65" s="369"/>
      <c r="CY65" s="369"/>
      <c r="CZ65" s="369"/>
      <c r="DA65" s="369"/>
      <c r="DB65" s="369"/>
      <c r="DC65" s="392"/>
      <c r="DD65" s="369"/>
      <c r="DE65" s="369"/>
      <c r="DF65" s="369"/>
    </row>
    <row r="66" spans="54:110" ht="15.75" x14ac:dyDescent="0.25">
      <c r="BB66" s="369"/>
      <c r="BC66" s="369"/>
      <c r="BD66" s="369"/>
      <c r="BE66" s="369"/>
      <c r="BF66" s="369"/>
      <c r="BG66" s="369"/>
      <c r="BH66" s="369"/>
      <c r="BI66" s="369"/>
      <c r="BJ66" s="369"/>
      <c r="BK66" s="369"/>
      <c r="BL66" s="369"/>
      <c r="BM66" s="369"/>
      <c r="BN66" s="369"/>
      <c r="BO66" s="369"/>
      <c r="BP66" s="369"/>
      <c r="BQ66" s="369"/>
      <c r="BR66" s="369"/>
      <c r="BS66" s="369"/>
      <c r="BT66" s="369"/>
      <c r="BU66" s="369"/>
      <c r="BV66" s="369"/>
      <c r="BW66" s="369"/>
      <c r="BX66" s="369"/>
      <c r="BY66" s="369"/>
      <c r="BZ66" s="369"/>
      <c r="CA66" s="369"/>
      <c r="CB66" s="369"/>
      <c r="CC66" s="369"/>
      <c r="CD66" s="369"/>
      <c r="CE66" s="369"/>
      <c r="CF66" s="369"/>
      <c r="CG66" s="369"/>
      <c r="CH66" s="369"/>
      <c r="CI66" s="369"/>
      <c r="CJ66" s="369"/>
      <c r="CK66" s="369"/>
      <c r="CL66" s="369"/>
      <c r="CM66" s="369"/>
      <c r="CN66" s="369"/>
      <c r="CO66" s="369"/>
      <c r="CP66" s="369"/>
      <c r="CQ66" s="369"/>
      <c r="CR66" s="369"/>
      <c r="CS66" s="369"/>
      <c r="CT66" s="369"/>
      <c r="CU66" s="369"/>
      <c r="CV66" s="369"/>
      <c r="CW66" s="369"/>
      <c r="CX66" s="369"/>
      <c r="CY66" s="369"/>
      <c r="CZ66" s="369"/>
      <c r="DA66" s="369"/>
      <c r="DB66" s="369"/>
      <c r="DC66" s="392"/>
      <c r="DD66" s="369"/>
      <c r="DE66" s="369"/>
      <c r="DF66" s="369"/>
    </row>
    <row r="67" spans="54:110" ht="15.75" x14ac:dyDescent="0.25">
      <c r="BP67" s="334"/>
    </row>
    <row r="68" spans="54:110" ht="15.75" x14ac:dyDescent="0.25">
      <c r="BP68" s="334"/>
    </row>
    <row r="69" spans="54:110" ht="15.75" x14ac:dyDescent="0.25">
      <c r="BP69" s="334"/>
    </row>
    <row r="70" spans="54:110" ht="15.75" x14ac:dyDescent="0.25">
      <c r="BP70" s="334"/>
    </row>
    <row r="71" spans="54:110" ht="15.75" x14ac:dyDescent="0.25">
      <c r="BP71" s="334"/>
    </row>
    <row r="72" spans="54:110" ht="15.75" x14ac:dyDescent="0.25">
      <c r="BP72" s="334"/>
    </row>
    <row r="73" spans="54:110" ht="15.75" x14ac:dyDescent="0.25">
      <c r="BP73" s="334"/>
    </row>
    <row r="74" spans="54:110" ht="15.75" x14ac:dyDescent="0.25">
      <c r="BP74" s="334"/>
    </row>
    <row r="75" spans="54:110" ht="15.75" x14ac:dyDescent="0.25">
      <c r="BP75" s="334"/>
    </row>
    <row r="76" spans="54:110" ht="15.75" x14ac:dyDescent="0.25">
      <c r="BP76" s="334"/>
    </row>
    <row r="77" spans="54:110" ht="15.75" x14ac:dyDescent="0.25">
      <c r="BP77" s="334"/>
    </row>
    <row r="78" spans="54:110" ht="15.75" x14ac:dyDescent="0.25">
      <c r="BP78" s="334"/>
    </row>
    <row r="79" spans="54:110" ht="15.75" x14ac:dyDescent="0.25">
      <c r="BP79" s="334"/>
    </row>
    <row r="80" spans="54:110" ht="15.75" x14ac:dyDescent="0.25">
      <c r="BP80" s="334"/>
    </row>
    <row r="81" spans="68:68" ht="15.75" x14ac:dyDescent="0.25">
      <c r="BP81" s="334"/>
    </row>
    <row r="82" spans="68:68" ht="15.75" x14ac:dyDescent="0.25">
      <c r="BP82" s="334"/>
    </row>
    <row r="83" spans="68:68" ht="15.75" x14ac:dyDescent="0.25">
      <c r="BP83" s="334"/>
    </row>
    <row r="84" spans="68:68" ht="15.75" x14ac:dyDescent="0.25">
      <c r="BP84" s="334"/>
    </row>
    <row r="85" spans="68:68" ht="15.75" x14ac:dyDescent="0.25">
      <c r="BP85" s="334"/>
    </row>
    <row r="86" spans="68:68" ht="15.75" x14ac:dyDescent="0.25">
      <c r="BP86" s="334"/>
    </row>
    <row r="87" spans="68:68" ht="15.75" x14ac:dyDescent="0.25">
      <c r="BP87" s="334"/>
    </row>
    <row r="88" spans="68:68" ht="15.75" x14ac:dyDescent="0.25">
      <c r="BP88" s="334"/>
    </row>
    <row r="89" spans="68:68" ht="15.75" x14ac:dyDescent="0.25">
      <c r="BP89" s="334"/>
    </row>
    <row r="90" spans="68:68" ht="15.75" x14ac:dyDescent="0.25">
      <c r="BP90" s="334"/>
    </row>
  </sheetData>
  <protectedRanges>
    <protectedRange sqref="C6:C17 BH14:BH25" name="Range2_14"/>
    <protectedRange sqref="I7:J9" name="Range2_5"/>
    <protectedRange sqref="I10:J14 BN18:BO22" name="Range4_3"/>
    <protectedRange sqref="BC21:BC23" name="Range4_4"/>
    <protectedRange sqref="BC24" name="Range2_7"/>
    <protectedRange sqref="BC26" name="Range2_8"/>
  </protectedRanges>
  <mergeCells count="6">
    <mergeCell ref="L16:N16"/>
    <mergeCell ref="BN12:BO12"/>
    <mergeCell ref="I4:J4"/>
    <mergeCell ref="B3:J3"/>
    <mergeCell ref="B1:N2"/>
    <mergeCell ref="L3:N3"/>
  </mergeCells>
  <dataValidations disablePrompts="1" count="2">
    <dataValidation type="list" allowBlank="1" showInputMessage="1" showErrorMessage="1" sqref="M4" xr:uid="{E3601EAB-3FE5-4CD4-8695-7C5A841321C7}">
      <formula1>$CY$24:$CY$27</formula1>
    </dataValidation>
    <dataValidation type="list" allowBlank="1" showInputMessage="1" showErrorMessage="1" sqref="M11" xr:uid="{085E3FB5-6AFF-496D-849D-8C318857D7B1}">
      <formula1>$CX$24:$CX$25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9F69B1F-B652-413C-9BE8-D542B5F21802}">
          <x14:formula1>
            <xm:f>'TV tinklas'!$A$9:$A$33</xm:f>
          </x14:formula1>
          <xm:sqref>M6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3"/>
  <sheetViews>
    <sheetView showGridLines="0" showZeros="0" topLeftCell="A3" workbookViewId="0">
      <selection activeCell="O17" sqref="O17"/>
    </sheetView>
  </sheetViews>
  <sheetFormatPr defaultColWidth="9.33203125" defaultRowHeight="12.75" x14ac:dyDescent="0.2"/>
  <cols>
    <col min="1" max="2" width="11.33203125" style="112" customWidth="1"/>
    <col min="3" max="3" width="12.6640625" style="112" customWidth="1"/>
    <col min="4" max="13" width="11.33203125" style="112" customWidth="1"/>
    <col min="14" max="14" width="11.83203125" style="112" customWidth="1"/>
    <col min="15" max="16" width="11.33203125" style="112" customWidth="1"/>
    <col min="17" max="17" width="5" style="112" customWidth="1"/>
    <col min="18" max="18" width="20.5" style="112" customWidth="1"/>
    <col min="19" max="19" width="14.33203125" style="112" customWidth="1"/>
    <col min="20" max="20" width="21" style="112" customWidth="1"/>
    <col min="21" max="21" width="22.6640625" style="112" customWidth="1"/>
    <col min="22" max="16384" width="9.33203125" style="1"/>
  </cols>
  <sheetData>
    <row r="1" spans="1:26" x14ac:dyDescent="0.2">
      <c r="A1" s="67">
        <f>'Pradiniai duomenys'!A1</f>
        <v>0</v>
      </c>
    </row>
    <row r="2" spans="1:26" ht="15.75" x14ac:dyDescent="0.25">
      <c r="A2" s="584" t="s">
        <v>325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26" ht="15.75" x14ac:dyDescent="0.25">
      <c r="A3" s="584" t="s">
        <v>312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</row>
    <row r="4" spans="1:26" x14ac:dyDescent="0.2">
      <c r="A4" s="253" t="s">
        <v>279</v>
      </c>
    </row>
    <row r="5" spans="1:26" hidden="1" x14ac:dyDescent="0.2">
      <c r="M5" s="165" t="s">
        <v>192</v>
      </c>
      <c r="N5" s="114">
        <f>'Pradiniai duomenys'!J32</f>
        <v>3.3000000000000002E-2</v>
      </c>
      <c r="O5" s="67" t="s">
        <v>194</v>
      </c>
    </row>
    <row r="6" spans="1:26" hidden="1" x14ac:dyDescent="0.2">
      <c r="A6" s="113"/>
      <c r="M6" s="165" t="s">
        <v>193</v>
      </c>
      <c r="N6" s="114">
        <f>'Pradiniai duomenys'!J33</f>
        <v>2.7E-2</v>
      </c>
      <c r="O6" s="67" t="s">
        <v>194</v>
      </c>
    </row>
    <row r="7" spans="1:26" hidden="1" x14ac:dyDescent="0.2">
      <c r="M7" s="166" t="s">
        <v>201</v>
      </c>
      <c r="N7" s="167">
        <f>'Pradiniai duomenys'!J31</f>
        <v>2</v>
      </c>
      <c r="O7" s="67" t="s">
        <v>194</v>
      </c>
    </row>
    <row r="8" spans="1:26" ht="12.75" customHeight="1" x14ac:dyDescent="0.2">
      <c r="A8" s="576" t="s">
        <v>97</v>
      </c>
      <c r="B8" s="601"/>
      <c r="C8" s="577" t="s">
        <v>209</v>
      </c>
      <c r="D8" s="577" t="s">
        <v>243</v>
      </c>
      <c r="E8" s="577" t="s">
        <v>210</v>
      </c>
      <c r="F8" s="600" t="s">
        <v>179</v>
      </c>
      <c r="G8" s="600" t="s">
        <v>212</v>
      </c>
      <c r="H8" s="600" t="s">
        <v>183</v>
      </c>
      <c r="I8" s="577" t="s">
        <v>215</v>
      </c>
      <c r="J8" s="596" t="s">
        <v>320</v>
      </c>
      <c r="K8" s="597"/>
      <c r="L8" s="596" t="s">
        <v>321</v>
      </c>
      <c r="M8" s="597"/>
      <c r="N8" s="593" t="s">
        <v>216</v>
      </c>
      <c r="O8" s="593" t="s">
        <v>322</v>
      </c>
      <c r="P8" s="593" t="s">
        <v>218</v>
      </c>
      <c r="R8" s="617" t="s">
        <v>289</v>
      </c>
      <c r="S8" s="617" t="s">
        <v>180</v>
      </c>
      <c r="T8" s="575" t="s">
        <v>184</v>
      </c>
      <c r="U8" s="575" t="s">
        <v>185</v>
      </c>
      <c r="V8" s="600" t="s">
        <v>183</v>
      </c>
      <c r="W8" s="577" t="s">
        <v>243</v>
      </c>
      <c r="X8" s="577" t="s">
        <v>210</v>
      </c>
      <c r="Y8" s="600" t="s">
        <v>179</v>
      </c>
    </row>
    <row r="9" spans="1:26" ht="13.5" customHeight="1" x14ac:dyDescent="0.2">
      <c r="A9" s="577" t="s">
        <v>213</v>
      </c>
      <c r="B9" s="577" t="s">
        <v>214</v>
      </c>
      <c r="C9" s="578"/>
      <c r="D9" s="578"/>
      <c r="E9" s="578"/>
      <c r="F9" s="600"/>
      <c r="G9" s="600"/>
      <c r="H9" s="600"/>
      <c r="I9" s="578"/>
      <c r="J9" s="598"/>
      <c r="K9" s="599"/>
      <c r="L9" s="598"/>
      <c r="M9" s="599"/>
      <c r="N9" s="594"/>
      <c r="O9" s="594"/>
      <c r="P9" s="594"/>
      <c r="R9" s="618"/>
      <c r="S9" s="618"/>
      <c r="T9" s="575"/>
      <c r="U9" s="575"/>
      <c r="V9" s="600"/>
      <c r="W9" s="578"/>
      <c r="X9" s="578"/>
      <c r="Y9" s="600"/>
      <c r="Z9" s="577" t="s">
        <v>213</v>
      </c>
    </row>
    <row r="10" spans="1:26" ht="47.25" customHeight="1" x14ac:dyDescent="0.2">
      <c r="A10" s="579"/>
      <c r="B10" s="579"/>
      <c r="C10" s="579"/>
      <c r="D10" s="579"/>
      <c r="E10" s="579"/>
      <c r="F10" s="600"/>
      <c r="G10" s="600"/>
      <c r="H10" s="600"/>
      <c r="I10" s="592"/>
      <c r="J10" s="106">
        <f>'Pradiniai duomenys'!C13</f>
        <v>71.482161285566846</v>
      </c>
      <c r="K10" s="106">
        <f>'Pradiniai duomenys'!D13</f>
        <v>43.67489901223648</v>
      </c>
      <c r="L10" s="106">
        <f>'Pradiniai duomenys'!C13</f>
        <v>71.482161285566846</v>
      </c>
      <c r="M10" s="106">
        <f>'Pradiniai duomenys'!D13</f>
        <v>43.67489901223648</v>
      </c>
      <c r="N10" s="599"/>
      <c r="O10" s="595"/>
      <c r="P10" s="595"/>
      <c r="R10" s="619"/>
      <c r="S10" s="619"/>
      <c r="T10" s="575"/>
      <c r="U10" s="575"/>
      <c r="V10" s="600"/>
      <c r="W10" s="579"/>
      <c r="X10" s="579"/>
      <c r="Y10" s="600"/>
      <c r="Z10" s="579"/>
    </row>
    <row r="11" spans="1:26" x14ac:dyDescent="0.2">
      <c r="A11" s="157">
        <v>25</v>
      </c>
      <c r="B11" s="114">
        <v>33.700000000000003</v>
      </c>
      <c r="C11" s="176">
        <v>25</v>
      </c>
      <c r="D11" s="117">
        <f>IF('Prijungimas prie CŠT'!$M$8=0,'Bekanalinės trasos'!W11,'Prijungimas prie CŠT'!$M$8)</f>
        <v>3.2</v>
      </c>
      <c r="E11" s="314">
        <f>(G11-B11)/2</f>
        <v>79.949999999999989</v>
      </c>
      <c r="F11" s="117">
        <f>IF('Prijungimas prie CŠT'!$M$7=0,'Bekanalinės trasos'!Y11,'Prijungimas prie CŠT'!$M$7)</f>
        <v>200</v>
      </c>
      <c r="G11" s="157">
        <f t="shared" ref="G11:G14" si="0">F11-2*D11</f>
        <v>193.6</v>
      </c>
      <c r="H11" s="316">
        <f>IF('Prijungimas prie CŠT'!$M$9=0,'Bekanalinės trasos'!V11,'Prijungimas prie CŠT'!$M$9)</f>
        <v>0.75</v>
      </c>
      <c r="I11" s="107">
        <f t="shared" ref="I11:I17" si="1">F11/1000+0.15</f>
        <v>0.35</v>
      </c>
      <c r="J11" s="115">
        <f t="shared" ref="J11:J34" si="2">($J$10-T11)/((($N$7/$N$5*LN(G11/B11)+LN(R11/B11*1000))^2+LN(SQRT(((I11)^2+(R11+R11)^2)/((I11)^2+(R11-R11)^2))))/(6.28*$N$7*($N$7/$N$5*LN(G11/B11)+LN(R11/B11*1000)-($K$10-T11)/($J$10-T11)*LN(SQRT(((I11)^2+(R11+R11)^2)/((I11)^2+(R11-R11)^2))))))</f>
        <v>7.6059105511853442</v>
      </c>
      <c r="K11" s="115">
        <f t="shared" ref="K11:K34" si="3">($K$10-T11)/((($N$7/$N$5*LN(G11/B11)+LN(R11/B11*1000))^2+LN(SQRT(((I11)^2+(R11+R11)^2)/((I11)^2+(R11-R11)^2))))/(6.28*$N$7*($N$7/$N$5*LN(G11/B11)+LN(R11/B11*1000)-($J$10-T11)/($K$10-T11)*LN(SQRT(((I11)^2+(R11+R11)^2)/((I11)^2+(R11-R11)^2))))))</f>
        <v>4.360654936020314</v>
      </c>
      <c r="L11" s="115">
        <f t="shared" ref="L11:L34" si="4">($L$10-T11)/((($N$7/$N$6*LN(G11/B11)+LN(R11/B11*1000))^2+LN(SQRT(((I11)^2+(R11+R11)^2)/((I11)^2+(R11-R11)^2))))/(6.28*$N$7*($N$7/$N$6*LN(G11/B11)+LN(R11/B11*1000)-($M$10-T11)/($L$10-T11)*LN(SQRT(((I11)^2+(R11+R11)^2)/((I11)^2+(R11-R11)^2))))))</f>
        <v>6.2664915227346816</v>
      </c>
      <c r="M11" s="115">
        <f t="shared" ref="M11:M34" si="5">($M$10-T11)/((($N$7/$N$6*LN(G11/B11)+LN(R11/B11*1000))^2+LN(SQRT(((I11)^2+(R11+R11)^2)/((I11)^2+(R11-R11)^2))))/(6.28*$N$7*($N$7/$N$6*LN(G11/B11)+LN(R11/B11*1000)-($L$10-T11)/($M$10-T11)*LN(SQRT(((I11)^2+(R11+R11)^2)/((I11)^2+(R11-R11)^2))))))</f>
        <v>3.6036626655883097</v>
      </c>
      <c r="N11" s="116">
        <f>(J11+K11)*'TV tinklas'!F9*'Pradiniai duomenys'!E$13*0.00000115</f>
        <v>0</v>
      </c>
      <c r="O11" s="116">
        <f>(L11+M11)*'TV tinklas'!K9*'Pradiniai duomenys'!E$13*0.00000115</f>
        <v>0</v>
      </c>
      <c r="P11" s="116">
        <f>SUM(N11:O11)</f>
        <v>0</v>
      </c>
      <c r="R11" s="114">
        <f t="shared" ref="R11:R34" si="6">H11+(F11/1000/2)</f>
        <v>0.85</v>
      </c>
      <c r="S11" s="179">
        <f t="shared" ref="S11:S34" si="7">H11+F11/1000+0.1</f>
        <v>1.05</v>
      </c>
      <c r="T11" s="81">
        <f>IF(R11&gt;0.7,'Pradiniai duomenys'!$J$13,'Pradiniai duomenys'!$K$13)</f>
        <v>4.784151555358986</v>
      </c>
      <c r="U11" s="79" t="str">
        <f>IF(R11&gt;0.7,"- grunto temperatūra","- aplinkos oro temperatūra")</f>
        <v>- grunto temperatūra</v>
      </c>
      <c r="V11" s="316">
        <v>0.75</v>
      </c>
      <c r="W11" s="117">
        <v>3</v>
      </c>
      <c r="X11" s="314">
        <v>25.15</v>
      </c>
      <c r="Y11" s="117">
        <v>90</v>
      </c>
      <c r="Z11" s="157">
        <v>25</v>
      </c>
    </row>
    <row r="12" spans="1:26" x14ac:dyDescent="0.2">
      <c r="A12" s="157">
        <v>32</v>
      </c>
      <c r="B12" s="114">
        <v>42.4</v>
      </c>
      <c r="C12" s="176">
        <v>30.8</v>
      </c>
      <c r="D12" s="117">
        <f>IF('Prijungimas prie CŠT'!$M$8=0,'Bekanalinės trasos'!W12,'Prijungimas prie CŠT'!$M$8)</f>
        <v>3.2</v>
      </c>
      <c r="E12" s="314">
        <f t="shared" ref="E12:E34" si="8">(G12-B12)/2</f>
        <v>75.599999999999994</v>
      </c>
      <c r="F12" s="117">
        <f>IF('Prijungimas prie CŠT'!$M$7=0,'Bekanalinės trasos'!Y12,'Prijungimas prie CŠT'!$M$7)</f>
        <v>200</v>
      </c>
      <c r="G12" s="157">
        <f t="shared" si="0"/>
        <v>193.6</v>
      </c>
      <c r="H12" s="316">
        <f>IF('Prijungimas prie CŠT'!$M$9=0,'Bekanalinės trasos'!V12,'Prijungimas prie CŠT'!$M$9)</f>
        <v>0.75</v>
      </c>
      <c r="I12" s="107">
        <f t="shared" si="1"/>
        <v>0.35</v>
      </c>
      <c r="J12" s="115">
        <f t="shared" si="2"/>
        <v>8.7265820219783645</v>
      </c>
      <c r="K12" s="115">
        <f t="shared" si="3"/>
        <v>4.9903550161958803</v>
      </c>
      <c r="L12" s="115">
        <f t="shared" si="4"/>
        <v>7.1941490262122469</v>
      </c>
      <c r="M12" s="115">
        <f t="shared" si="5"/>
        <v>4.1284476521560505</v>
      </c>
      <c r="N12" s="116">
        <f>(J12+K12)*'TV tinklas'!F10*'Pradiniai duomenys'!E$13*0.00000115</f>
        <v>0</v>
      </c>
      <c r="O12" s="116">
        <f>(L12+M12)*'TV tinklas'!K10*'Pradiniai duomenys'!E$13*0.00000115</f>
        <v>0</v>
      </c>
      <c r="P12" s="116">
        <f t="shared" ref="P12:P28" si="9">SUM(N12:O12)</f>
        <v>0</v>
      </c>
      <c r="R12" s="114">
        <f t="shared" si="6"/>
        <v>0.85</v>
      </c>
      <c r="S12" s="179">
        <f t="shared" si="7"/>
        <v>1.05</v>
      </c>
      <c r="T12" s="81">
        <f>IF(R12&gt;0.7,'Pradiniai duomenys'!$J$13,'Pradiniai duomenys'!$K$13)</f>
        <v>4.784151555358986</v>
      </c>
      <c r="U12" s="79" t="str">
        <f t="shared" ref="U12:U34" si="10">IF(R12&gt;0.7,"- grunto temperatūra","- aplinkos oro temperatūra")</f>
        <v>- grunto temperatūra</v>
      </c>
      <c r="V12" s="316">
        <v>0.75</v>
      </c>
      <c r="W12" s="117">
        <v>3</v>
      </c>
      <c r="X12" s="314">
        <v>30.8</v>
      </c>
      <c r="Y12" s="117">
        <v>110</v>
      </c>
      <c r="Z12" s="157">
        <v>32</v>
      </c>
    </row>
    <row r="13" spans="1:26" x14ac:dyDescent="0.2">
      <c r="A13" s="157">
        <v>40</v>
      </c>
      <c r="B13" s="114">
        <v>48.3</v>
      </c>
      <c r="C13" s="176">
        <v>27.85</v>
      </c>
      <c r="D13" s="117">
        <f>IF('Prijungimas prie CŠT'!$M$8=0,'Bekanalinės trasos'!W13,'Prijungimas prie CŠT'!$M$8)</f>
        <v>3.2</v>
      </c>
      <c r="E13" s="314">
        <f t="shared" si="8"/>
        <v>72.650000000000006</v>
      </c>
      <c r="F13" s="117">
        <f>IF('Prijungimas prie CŠT'!$M$7=0,'Bekanalinės trasos'!Y13,'Prijungimas prie CŠT'!$M$7)</f>
        <v>200</v>
      </c>
      <c r="G13" s="157">
        <f t="shared" si="0"/>
        <v>193.6</v>
      </c>
      <c r="H13" s="316">
        <f>IF('Prijungimas prie CŠT'!$M$9=0,'Bekanalinės trasos'!V13,'Prijungimas prie CŠT'!$M$9)</f>
        <v>0.75</v>
      </c>
      <c r="I13" s="107">
        <f t="shared" si="1"/>
        <v>0.35</v>
      </c>
      <c r="J13" s="115">
        <f t="shared" si="2"/>
        <v>9.5225071448367249</v>
      </c>
      <c r="K13" s="115">
        <f t="shared" si="3"/>
        <v>5.4355385646353778</v>
      </c>
      <c r="L13" s="115">
        <f t="shared" si="4"/>
        <v>7.8536863530943668</v>
      </c>
      <c r="M13" s="115">
        <f t="shared" si="5"/>
        <v>4.5001675166252211</v>
      </c>
      <c r="N13" s="116">
        <f>(J13+K13)*'TV tinklas'!F11*'Pradiniai duomenys'!E$13*0.00000115</f>
        <v>0</v>
      </c>
      <c r="O13" s="116">
        <f>(L13+M13)*'TV tinklas'!K11*'Pradiniai duomenys'!E$13*0.00000115</f>
        <v>0</v>
      </c>
      <c r="P13" s="116">
        <f t="shared" si="9"/>
        <v>0</v>
      </c>
      <c r="R13" s="114">
        <f t="shared" si="6"/>
        <v>0.85</v>
      </c>
      <c r="S13" s="179">
        <f t="shared" si="7"/>
        <v>1.05</v>
      </c>
      <c r="T13" s="81">
        <f>IF(R13&gt;0.7,'Pradiniai duomenys'!$J$13,'Pradiniai duomenys'!$K$13)</f>
        <v>4.784151555358986</v>
      </c>
      <c r="U13" s="79" t="str">
        <f t="shared" si="10"/>
        <v>- grunto temperatūra</v>
      </c>
      <c r="V13" s="316">
        <v>0.75</v>
      </c>
      <c r="W13" s="117">
        <v>3</v>
      </c>
      <c r="X13" s="314">
        <v>27.85</v>
      </c>
      <c r="Y13" s="117">
        <v>110</v>
      </c>
      <c r="Z13" s="157">
        <v>40</v>
      </c>
    </row>
    <row r="14" spans="1:26" x14ac:dyDescent="0.2">
      <c r="A14" s="157">
        <v>50</v>
      </c>
      <c r="B14" s="114">
        <v>60.3</v>
      </c>
      <c r="C14" s="176">
        <v>29.35</v>
      </c>
      <c r="D14" s="117">
        <f>IF('Prijungimas prie CŠT'!$M$8=0,'Bekanalinės trasos'!W14,'Prijungimas prie CŠT'!$M$8)</f>
        <v>3.2</v>
      </c>
      <c r="E14" s="314">
        <f t="shared" si="8"/>
        <v>66.650000000000006</v>
      </c>
      <c r="F14" s="117">
        <f>IF('Prijungimas prie CŠT'!$M$7=0,'Bekanalinės trasos'!Y14,'Prijungimas prie CŠT'!$M$7)</f>
        <v>200</v>
      </c>
      <c r="G14" s="157">
        <f t="shared" si="0"/>
        <v>193.6</v>
      </c>
      <c r="H14" s="316">
        <f>IF('Prijungimas prie CŠT'!$M$9=0,'Bekanalinės trasos'!V14,'Prijungimas prie CŠT'!$M$9)</f>
        <v>0.75</v>
      </c>
      <c r="I14" s="107">
        <f t="shared" si="1"/>
        <v>0.35</v>
      </c>
      <c r="J14" s="115">
        <f t="shared" si="2"/>
        <v>11.27365582178011</v>
      </c>
      <c r="K14" s="115">
        <f t="shared" si="3"/>
        <v>6.4089788965247285</v>
      </c>
      <c r="L14" s="115">
        <f t="shared" si="4"/>
        <v>9.3068152596192792</v>
      </c>
      <c r="M14" s="115">
        <f t="shared" si="5"/>
        <v>5.3150642645243131</v>
      </c>
      <c r="N14" s="116">
        <f>(J14+K14)*'TV tinklas'!F12*'Pradiniai duomenys'!E$13*0.00000115</f>
        <v>0</v>
      </c>
      <c r="O14" s="116">
        <f>(L14+M14)*'TV tinklas'!K12*'Pradiniai duomenys'!E$13*0.00000115</f>
        <v>0</v>
      </c>
      <c r="P14" s="116">
        <f t="shared" si="9"/>
        <v>0</v>
      </c>
      <c r="R14" s="114">
        <f t="shared" si="6"/>
        <v>0.85</v>
      </c>
      <c r="S14" s="179">
        <f t="shared" si="7"/>
        <v>1.05</v>
      </c>
      <c r="T14" s="81">
        <f>IF(R14&gt;0.7,'Pradiniai duomenys'!$J$13,'Pradiniai duomenys'!$K$13)</f>
        <v>4.784151555358986</v>
      </c>
      <c r="U14" s="79" t="str">
        <f t="shared" si="10"/>
        <v>- grunto temperatūra</v>
      </c>
      <c r="V14" s="316">
        <v>0.75</v>
      </c>
      <c r="W14" s="117">
        <v>3</v>
      </c>
      <c r="X14" s="314">
        <v>29.35</v>
      </c>
      <c r="Y14" s="117">
        <v>125</v>
      </c>
      <c r="Z14" s="157">
        <v>50</v>
      </c>
    </row>
    <row r="15" spans="1:26" x14ac:dyDescent="0.2">
      <c r="A15" s="157">
        <v>65</v>
      </c>
      <c r="B15" s="114">
        <v>76.099999999999994</v>
      </c>
      <c r="C15" s="176">
        <v>28.95</v>
      </c>
      <c r="D15" s="117">
        <f>IF('Prijungimas prie CŠT'!$M$8=0,'Bekanalinės trasos'!W15,'Prijungimas prie CŠT'!$M$8)</f>
        <v>3.2</v>
      </c>
      <c r="E15" s="314">
        <f t="shared" si="8"/>
        <v>58.75</v>
      </c>
      <c r="F15" s="117">
        <f>IF('Prijungimas prie CŠT'!$M$7=0,'Bekanalinės trasos'!Y15,'Prijungimas prie CŠT'!$M$7)</f>
        <v>200</v>
      </c>
      <c r="G15" s="157">
        <f>F15-2*D15</f>
        <v>193.6</v>
      </c>
      <c r="H15" s="316">
        <f>IF('Prijungimas prie CŠT'!$M$9=0,'Bekanalinės trasos'!V15,'Prijungimas prie CŠT'!$M$9)</f>
        <v>0.75</v>
      </c>
      <c r="I15" s="107">
        <f t="shared" si="1"/>
        <v>0.35</v>
      </c>
      <c r="J15" s="115">
        <f t="shared" si="2"/>
        <v>13.966754324387976</v>
      </c>
      <c r="K15" s="115">
        <f t="shared" si="3"/>
        <v>7.8896548345340562</v>
      </c>
      <c r="L15" s="115">
        <f t="shared" si="4"/>
        <v>11.54717845364396</v>
      </c>
      <c r="M15" s="115">
        <f t="shared" si="5"/>
        <v>6.560273038767634</v>
      </c>
      <c r="N15" s="116">
        <f>(J15+K15)*'TV tinklas'!F13*'Pradiniai duomenys'!E$13*0.00000115</f>
        <v>0</v>
      </c>
      <c r="O15" s="116">
        <f>(L15+M15)*'TV tinklas'!K13*'Pradiniai duomenys'!E$13*0.00000115</f>
        <v>0</v>
      </c>
      <c r="P15" s="116">
        <f t="shared" si="9"/>
        <v>0</v>
      </c>
      <c r="R15" s="114">
        <f t="shared" si="6"/>
        <v>0.85</v>
      </c>
      <c r="S15" s="179">
        <f t="shared" si="7"/>
        <v>1.05</v>
      </c>
      <c r="T15" s="81">
        <f>IF(R15&gt;0.7,'Pradiniai duomenys'!$J$13,'Pradiniai duomenys'!$K$13)</f>
        <v>4.784151555358986</v>
      </c>
      <c r="U15" s="79" t="str">
        <f t="shared" si="10"/>
        <v>- grunto temperatūra</v>
      </c>
      <c r="V15" s="316">
        <v>0.75</v>
      </c>
      <c r="W15" s="117">
        <v>3</v>
      </c>
      <c r="X15" s="314">
        <v>28.95</v>
      </c>
      <c r="Y15" s="117">
        <v>140</v>
      </c>
      <c r="Z15" s="157">
        <v>65</v>
      </c>
    </row>
    <row r="16" spans="1:26" x14ac:dyDescent="0.2">
      <c r="A16" s="157">
        <v>80</v>
      </c>
      <c r="B16" s="114">
        <v>88.9</v>
      </c>
      <c r="C16" s="176">
        <v>32.549999999999997</v>
      </c>
      <c r="D16" s="117">
        <f>IF('Prijungimas prie CŠT'!$M$8=0,'Bekanalinės trasos'!W16,'Prijungimas prie CŠT'!$M$8)</f>
        <v>3.2</v>
      </c>
      <c r="E16" s="314">
        <f t="shared" si="8"/>
        <v>52.349999999999994</v>
      </c>
      <c r="F16" s="117">
        <f>IF('Prijungimas prie CŠT'!$M$7=0,'Bekanalinės trasos'!Y16,'Prijungimas prie CŠT'!$M$7)</f>
        <v>200</v>
      </c>
      <c r="G16" s="157">
        <f>F16-2*D16</f>
        <v>193.6</v>
      </c>
      <c r="H16" s="316">
        <f>IF('Prijungimas prie CŠT'!$M$9=0,'Bekanalinės trasos'!V16,'Prijungimas prie CŠT'!$M$9)</f>
        <v>0.75</v>
      </c>
      <c r="I16" s="107">
        <f t="shared" si="1"/>
        <v>0.35</v>
      </c>
      <c r="J16" s="115">
        <f t="shared" si="2"/>
        <v>16.617950215509467</v>
      </c>
      <c r="K16" s="115">
        <f t="shared" si="3"/>
        <v>9.3275533137943789</v>
      </c>
      <c r="L16" s="115">
        <f t="shared" si="4"/>
        <v>13.759435642338602</v>
      </c>
      <c r="M16" s="115">
        <f t="shared" si="5"/>
        <v>7.7763830199021164</v>
      </c>
      <c r="N16" s="116">
        <f>(J16+K16)*'TV tinklas'!F15*'Pradiniai duomenys'!E$13*0.00000115</f>
        <v>0</v>
      </c>
      <c r="O16" s="116">
        <f>(L16+M16)*'TV tinklas'!K15*'Pradiniai duomenys'!E$13*0.00000115</f>
        <v>0</v>
      </c>
      <c r="P16" s="116">
        <f t="shared" si="9"/>
        <v>0</v>
      </c>
      <c r="R16" s="114">
        <f t="shared" si="6"/>
        <v>0.85</v>
      </c>
      <c r="S16" s="179">
        <f t="shared" si="7"/>
        <v>1.05</v>
      </c>
      <c r="T16" s="81">
        <f>IF(R16&gt;0.7,'Pradiniai duomenys'!$J$13,'Pradiniai duomenys'!$K$13)</f>
        <v>4.784151555358986</v>
      </c>
      <c r="U16" s="79" t="str">
        <f t="shared" si="10"/>
        <v>- grunto temperatūra</v>
      </c>
      <c r="V16" s="316">
        <v>0.75</v>
      </c>
      <c r="W16" s="117">
        <v>3</v>
      </c>
      <c r="X16" s="314">
        <v>32.549999999999997</v>
      </c>
      <c r="Y16" s="117">
        <v>160</v>
      </c>
      <c r="Z16" s="157">
        <v>80</v>
      </c>
    </row>
    <row r="17" spans="1:26" x14ac:dyDescent="0.2">
      <c r="A17" s="157">
        <v>100</v>
      </c>
      <c r="B17" s="114">
        <v>114.3</v>
      </c>
      <c r="C17" s="176">
        <v>39.65</v>
      </c>
      <c r="D17" s="117">
        <f>IF('Prijungimas prie CŠT'!$M$8=0,'Bekanalinės trasos'!W17,'Prijungimas prie CŠT'!$M$8)</f>
        <v>3.2</v>
      </c>
      <c r="E17" s="314">
        <f t="shared" si="8"/>
        <v>39.65</v>
      </c>
      <c r="F17" s="117">
        <f>IF('Prijungimas prie CŠT'!$M$7=0,'Bekanalinės trasos'!Y17,'Prijungimas prie CŠT'!$M$7)</f>
        <v>200</v>
      </c>
      <c r="G17" s="157">
        <f>F17-2*D17</f>
        <v>193.6</v>
      </c>
      <c r="H17" s="316">
        <f>IF('Prijungimas prie CŠT'!$M$9=0,'Bekanalinės trasos'!V17,'Prijungimas prie CŠT'!$M$9)</f>
        <v>0.75</v>
      </c>
      <c r="I17" s="107">
        <f t="shared" si="1"/>
        <v>0.35</v>
      </c>
      <c r="J17" s="115">
        <f t="shared" si="2"/>
        <v>23.967655464291745</v>
      </c>
      <c r="K17" s="115">
        <f t="shared" si="3"/>
        <v>13.207912552401345</v>
      </c>
      <c r="L17" s="115">
        <f>($L$10-T17)/((($N$7/$N$6*LN(G17/B17)+LN(R17/B17*1000))^2+LN(SQRT(((I17)^2+(R17+R17)^2)/((I17)^2+(R17-R17)^2))))/(6.28*$N$7*($N$7/$N$6*LN(G17/B17)+LN(R17/B17*1000)-($M$10-T17)/($L$10-T17)*LN(SQRT(((I17)^2+(R17+R17)^2)/((I17)^2+(R17-R17)^2))))))</f>
        <v>19.928634549649303</v>
      </c>
      <c r="M17" s="115">
        <f t="shared" si="5"/>
        <v>11.095018737764395</v>
      </c>
      <c r="N17" s="116">
        <f>(J17+K17)*'TV tinklas'!F16*'Pradiniai duomenys'!E$13*0.00000115</f>
        <v>0</v>
      </c>
      <c r="O17" s="116">
        <f>(L17+M17)*'TV tinklas'!K16*'Pradiniai duomenys'!E$13*0.00000115</f>
        <v>15.983386173675539</v>
      </c>
      <c r="P17" s="116">
        <f t="shared" si="9"/>
        <v>15.983386173675539</v>
      </c>
      <c r="R17" s="114">
        <f>H17+(F17/1000/2)</f>
        <v>0.85</v>
      </c>
      <c r="S17" s="179">
        <f t="shared" si="7"/>
        <v>1.05</v>
      </c>
      <c r="T17" s="81">
        <f>IF(R17&gt;0.7,'Pradiniai duomenys'!$J$13,'Pradiniai duomenys'!$K$13)</f>
        <v>4.784151555358986</v>
      </c>
      <c r="U17" s="79" t="str">
        <f t="shared" si="10"/>
        <v>- grunto temperatūra</v>
      </c>
      <c r="V17" s="316">
        <v>0.75</v>
      </c>
      <c r="W17" s="117">
        <v>3.2</v>
      </c>
      <c r="X17" s="314">
        <v>39.65</v>
      </c>
      <c r="Y17" s="117">
        <v>200</v>
      </c>
      <c r="Z17" s="157">
        <v>100</v>
      </c>
    </row>
    <row r="18" spans="1:26" x14ac:dyDescent="0.2">
      <c r="A18" s="157">
        <v>125</v>
      </c>
      <c r="B18" s="114">
        <v>139.69999999999999</v>
      </c>
      <c r="C18" s="176">
        <v>39.25</v>
      </c>
      <c r="D18" s="117">
        <f>IF('Prijungimas prie CŠT'!$M$8=0,'Bekanalinės trasos'!W18,'Prijungimas prie CŠT'!$M$8)</f>
        <v>3.2</v>
      </c>
      <c r="E18" s="314">
        <f t="shared" si="8"/>
        <v>26.950000000000003</v>
      </c>
      <c r="F18" s="117">
        <f>IF('Prijungimas prie CŠT'!$M$7=0,'Bekanalinės trasos'!Y18,'Prijungimas prie CŠT'!$M$7)</f>
        <v>200</v>
      </c>
      <c r="G18" s="157">
        <f t="shared" ref="G18:G34" si="11">F18-2*D18</f>
        <v>193.6</v>
      </c>
      <c r="H18" s="316">
        <f>IF('Prijungimas prie CŠT'!$M$9=0,'Bekanalinės trasos'!V18,'Prijungimas prie CŠT'!$M$9)</f>
        <v>0.75</v>
      </c>
      <c r="I18" s="107">
        <f t="shared" ref="I18:I34" si="12">F18/1000+0.25</f>
        <v>0.45</v>
      </c>
      <c r="J18" s="115">
        <f t="shared" si="2"/>
        <v>37.278681354437559</v>
      </c>
      <c r="K18" s="115">
        <f t="shared" si="3"/>
        <v>20.123387666579617</v>
      </c>
      <c r="L18" s="115">
        <f t="shared" si="4"/>
        <v>31.200449493054471</v>
      </c>
      <c r="M18" s="115">
        <f t="shared" si="5"/>
        <v>17.077948624235646</v>
      </c>
      <c r="N18" s="116">
        <f>(J18+K18)*'TV tinklas'!F17*'Pradiniai duomenys'!E$13*0.00000115</f>
        <v>0</v>
      </c>
      <c r="O18" s="116">
        <f>(L18+M18)*'TV tinklas'!K17*'Pradiniai duomenys'!E$13*0.00000115</f>
        <v>0</v>
      </c>
      <c r="P18" s="116">
        <f t="shared" si="9"/>
        <v>0</v>
      </c>
      <c r="R18" s="114">
        <f t="shared" si="6"/>
        <v>0.85</v>
      </c>
      <c r="S18" s="179">
        <f t="shared" si="7"/>
        <v>1.05</v>
      </c>
      <c r="T18" s="81">
        <f>IF(R18&gt;0.7,'Pradiniai duomenys'!$J$13,'Pradiniai duomenys'!$K$13)</f>
        <v>4.784151555358986</v>
      </c>
      <c r="U18" s="79" t="str">
        <f t="shared" si="10"/>
        <v>- grunto temperatūra</v>
      </c>
      <c r="V18" s="316">
        <v>0.75</v>
      </c>
      <c r="W18" s="117">
        <v>3.4</v>
      </c>
      <c r="X18" s="314">
        <v>39.25</v>
      </c>
      <c r="Y18" s="117">
        <v>225</v>
      </c>
      <c r="Z18" s="157">
        <v>125</v>
      </c>
    </row>
    <row r="19" spans="1:26" x14ac:dyDescent="0.2">
      <c r="A19" s="157">
        <v>150</v>
      </c>
      <c r="B19" s="114">
        <v>168.3</v>
      </c>
      <c r="C19" s="176">
        <v>37.25</v>
      </c>
      <c r="D19" s="117">
        <f>IF('Prijungimas prie CŠT'!$M$8=0,'Bekanalinės trasos'!W19,'Prijungimas prie CŠT'!$M$8)</f>
        <v>3.2</v>
      </c>
      <c r="E19" s="314">
        <f t="shared" si="8"/>
        <v>12.649999999999991</v>
      </c>
      <c r="F19" s="117">
        <f>IF('Prijungimas prie CŠT'!$M$7=0,'Bekanalinės trasos'!Y19,'Prijungimas prie CŠT'!$M$7)</f>
        <v>200</v>
      </c>
      <c r="G19" s="157">
        <f t="shared" si="11"/>
        <v>193.6</v>
      </c>
      <c r="H19" s="316">
        <f>IF('Prijungimas prie CŠT'!$M$9=0,'Bekanalinės trasos'!V19,'Prijungimas prie CŠT'!$M$9)</f>
        <v>0.75</v>
      </c>
      <c r="I19" s="107">
        <f>F19/1000+0.25</f>
        <v>0.45</v>
      </c>
      <c r="J19" s="115">
        <f t="shared" si="2"/>
        <v>75.361827645602617</v>
      </c>
      <c r="K19" s="115">
        <f t="shared" si="3"/>
        <v>36.662432625333629</v>
      </c>
      <c r="L19" s="115">
        <f t="shared" si="4"/>
        <v>64.608858464373881</v>
      </c>
      <c r="M19" s="115">
        <f t="shared" si="5"/>
        <v>32.482481194147418</v>
      </c>
      <c r="N19" s="116">
        <f>(J19+K19)*'TV tinklas'!F18*'Pradiniai duomenys'!E$13*0.00000115</f>
        <v>0</v>
      </c>
      <c r="O19" s="116">
        <f>(L19+M19)*'TV tinklas'!K18*'Pradiniai duomenys'!E$13*0.00000115</f>
        <v>0</v>
      </c>
      <c r="P19" s="116">
        <f t="shared" si="9"/>
        <v>0</v>
      </c>
      <c r="R19" s="114">
        <f t="shared" si="6"/>
        <v>0.85</v>
      </c>
      <c r="S19" s="179">
        <f t="shared" si="7"/>
        <v>1.05</v>
      </c>
      <c r="T19" s="81">
        <f>IF(R19&gt;0.7,'Pradiniai duomenys'!$J$13,'Pradiniai duomenys'!$K$13)</f>
        <v>4.784151555358986</v>
      </c>
      <c r="U19" s="79" t="str">
        <f t="shared" si="10"/>
        <v>- grunto temperatūra</v>
      </c>
      <c r="V19" s="316">
        <v>0.75</v>
      </c>
      <c r="W19" s="117">
        <v>3.6</v>
      </c>
      <c r="X19" s="314">
        <v>37.25</v>
      </c>
      <c r="Y19" s="117">
        <v>250</v>
      </c>
      <c r="Z19" s="157">
        <v>150</v>
      </c>
    </row>
    <row r="20" spans="1:26" x14ac:dyDescent="0.2">
      <c r="A20" s="157">
        <v>200</v>
      </c>
      <c r="B20" s="114">
        <v>219.1</v>
      </c>
      <c r="C20" s="176">
        <v>43.85</v>
      </c>
      <c r="D20" s="117">
        <f>IF('Prijungimas prie CŠT'!$M$8=0,'Bekanalinės trasos'!W20,'Prijungimas prie CŠT'!$M$8)</f>
        <v>3.2</v>
      </c>
      <c r="E20" s="314">
        <f t="shared" si="8"/>
        <v>-12.75</v>
      </c>
      <c r="F20" s="117">
        <f>IF('Prijungimas prie CŠT'!$M$7=0,'Bekanalinės trasos'!Y20,'Prijungimas prie CŠT'!$M$7)</f>
        <v>200</v>
      </c>
      <c r="G20" s="157">
        <f t="shared" si="11"/>
        <v>193.6</v>
      </c>
      <c r="H20" s="316">
        <f>IF('Prijungimas prie CŠT'!$M$9=0,'Bekanalinės trasos'!V20,'Prijungimas prie CŠT'!$M$9)</f>
        <v>0.75</v>
      </c>
      <c r="I20" s="107">
        <f t="shared" si="12"/>
        <v>0.45</v>
      </c>
      <c r="J20" s="115">
        <f t="shared" si="2"/>
        <v>-148.63674862026917</v>
      </c>
      <c r="K20" s="115">
        <f t="shared" si="3"/>
        <v>-105.94042495351388</v>
      </c>
      <c r="L20" s="115">
        <f t="shared" si="4"/>
        <v>-115.59889083196219</v>
      </c>
      <c r="M20" s="115">
        <f t="shared" si="5"/>
        <v>-79.489925153627226</v>
      </c>
      <c r="N20" s="116">
        <f>(J20+K20)*'TV tinklas'!F20*'Pradiniai duomenys'!E$13*0.00000115</f>
        <v>0</v>
      </c>
      <c r="O20" s="116">
        <f>(L20+M20)*'TV tinklas'!K20*'Pradiniai duomenys'!E$13*0.00000115</f>
        <v>0</v>
      </c>
      <c r="P20" s="116">
        <f t="shared" si="9"/>
        <v>0</v>
      </c>
      <c r="R20" s="114">
        <f t="shared" si="6"/>
        <v>0.85</v>
      </c>
      <c r="S20" s="179">
        <f t="shared" si="7"/>
        <v>1.05</v>
      </c>
      <c r="T20" s="81">
        <f>IF(R20&gt;0.7,'Pradiniai duomenys'!$J$13,'Pradiniai duomenys'!$K$13)</f>
        <v>4.784151555358986</v>
      </c>
      <c r="U20" s="79" t="str">
        <f t="shared" si="10"/>
        <v>- grunto temperatūra</v>
      </c>
      <c r="V20" s="316">
        <v>0.75</v>
      </c>
      <c r="W20" s="117">
        <v>4.0999999999999996</v>
      </c>
      <c r="X20" s="314">
        <v>43.85</v>
      </c>
      <c r="Y20" s="117">
        <v>315</v>
      </c>
      <c r="Z20" s="157">
        <v>200</v>
      </c>
    </row>
    <row r="21" spans="1:26" x14ac:dyDescent="0.2">
      <c r="A21" s="157">
        <v>250</v>
      </c>
      <c r="B21" s="114">
        <v>273</v>
      </c>
      <c r="C21" s="176">
        <v>58.7</v>
      </c>
      <c r="D21" s="117">
        <f>IF('Prijungimas prie CŠT'!$M$8=0,'Bekanalinės trasos'!W21,'Prijungimas prie CŠT'!$M$8)</f>
        <v>3.2</v>
      </c>
      <c r="E21" s="314">
        <f t="shared" si="8"/>
        <v>-39.700000000000003</v>
      </c>
      <c r="F21" s="117">
        <f>IF('Prijungimas prie CŠT'!$M$7=0,'Bekanalinės trasos'!Y21,'Prijungimas prie CŠT'!$M$7)</f>
        <v>200</v>
      </c>
      <c r="G21" s="157">
        <f t="shared" si="11"/>
        <v>193.6</v>
      </c>
      <c r="H21" s="316">
        <f>IF('Prijungimas prie CŠT'!$M$9=0,'Bekanalinės trasos'!V21,'Prijungimas prie CŠT'!$M$9)</f>
        <v>0.75</v>
      </c>
      <c r="I21" s="107">
        <f t="shared" si="12"/>
        <v>0.45</v>
      </c>
      <c r="J21" s="115">
        <f t="shared" si="2"/>
        <v>-44.100662748681358</v>
      </c>
      <c r="K21" s="115">
        <f t="shared" si="3"/>
        <v>-27.650914220806808</v>
      </c>
      <c r="L21" s="115">
        <f t="shared" si="4"/>
        <v>-35.4871252115991</v>
      </c>
      <c r="M21" s="115">
        <f t="shared" si="5"/>
        <v>-21.963113231398669</v>
      </c>
      <c r="N21" s="116">
        <f>(J21+K21)*'TV tinklas'!F21*'Pradiniai duomenys'!E$13*0.00000115</f>
        <v>0</v>
      </c>
      <c r="O21" s="116">
        <f>(L21+M21)*'TV tinklas'!K21*'Pradiniai duomenys'!E$13*0.00000115</f>
        <v>0</v>
      </c>
      <c r="P21" s="116">
        <f t="shared" si="9"/>
        <v>0</v>
      </c>
      <c r="R21" s="114">
        <f t="shared" si="6"/>
        <v>0.85</v>
      </c>
      <c r="S21" s="179">
        <f t="shared" si="7"/>
        <v>1.05</v>
      </c>
      <c r="T21" s="81">
        <f>IF(R21&gt;0.7,'Pradiniai duomenys'!$J$13,'Pradiniai duomenys'!$K$13)</f>
        <v>4.784151555358986</v>
      </c>
      <c r="U21" s="79" t="str">
        <f t="shared" si="10"/>
        <v>- grunto temperatūra</v>
      </c>
      <c r="V21" s="316">
        <v>0.75</v>
      </c>
      <c r="W21" s="117">
        <v>4.8</v>
      </c>
      <c r="X21" s="314">
        <v>58.7</v>
      </c>
      <c r="Y21" s="117">
        <v>400</v>
      </c>
      <c r="Z21" s="157">
        <v>250</v>
      </c>
    </row>
    <row r="22" spans="1:26" x14ac:dyDescent="0.2">
      <c r="A22" s="157">
        <v>300</v>
      </c>
      <c r="B22" s="114">
        <v>323.89999999999998</v>
      </c>
      <c r="C22" s="176">
        <v>57.85</v>
      </c>
      <c r="D22" s="117">
        <f>IF('Prijungimas prie CŠT'!$M$8=0,'Bekanalinės trasos'!W22,'Prijungimas prie CŠT'!$M$8)</f>
        <v>3.2</v>
      </c>
      <c r="E22" s="314">
        <f t="shared" si="8"/>
        <v>-65.149999999999991</v>
      </c>
      <c r="F22" s="117">
        <f>IF('Prijungimas prie CŠT'!$M$7=0,'Bekanalinės trasos'!Y22,'Prijungimas prie CŠT'!$M$7)</f>
        <v>200</v>
      </c>
      <c r="G22" s="157">
        <f t="shared" si="11"/>
        <v>193.6</v>
      </c>
      <c r="H22" s="316">
        <f>IF('Prijungimas prie CŠT'!$M$9=0,'Bekanalinės trasos'!V22,'Prijungimas prie CŠT'!$M$9)</f>
        <v>0.75</v>
      </c>
      <c r="I22" s="107">
        <f t="shared" si="12"/>
        <v>0.45</v>
      </c>
      <c r="J22" s="115">
        <f t="shared" si="2"/>
        <v>-28.402247811491041</v>
      </c>
      <c r="K22" s="115">
        <f t="shared" si="3"/>
        <v>-17.384651545271481</v>
      </c>
      <c r="L22" s="115">
        <f t="shared" si="4"/>
        <v>-23.005289232541628</v>
      </c>
      <c r="M22" s="115">
        <f t="shared" si="5"/>
        <v>-13.959397878883797</v>
      </c>
      <c r="N22" s="116">
        <f>(J22+K22)*'TV tinklas'!F22*'Pradiniai duomenys'!E$13*0.00000115</f>
        <v>0</v>
      </c>
      <c r="O22" s="116">
        <f>(L22+M22)*'TV tinklas'!K22*'Pradiniai duomenys'!E$13*0.00000115</f>
        <v>0</v>
      </c>
      <c r="P22" s="116">
        <f t="shared" si="9"/>
        <v>0</v>
      </c>
      <c r="R22" s="114">
        <f t="shared" si="6"/>
        <v>0.85</v>
      </c>
      <c r="S22" s="179">
        <f t="shared" si="7"/>
        <v>1.05</v>
      </c>
      <c r="T22" s="81">
        <f>IF(R22&gt;0.7,'Pradiniai duomenys'!$J$13,'Pradiniai duomenys'!$K$13)</f>
        <v>4.784151555358986</v>
      </c>
      <c r="U22" s="79" t="str">
        <f t="shared" si="10"/>
        <v>- grunto temperatūra</v>
      </c>
      <c r="V22" s="316">
        <v>0.75</v>
      </c>
      <c r="W22" s="117">
        <v>5.2</v>
      </c>
      <c r="X22" s="314">
        <v>57.85</v>
      </c>
      <c r="Y22" s="117">
        <v>449.99999999999994</v>
      </c>
      <c r="Z22" s="157">
        <v>300</v>
      </c>
    </row>
    <row r="23" spans="1:26" x14ac:dyDescent="0.2">
      <c r="A23" s="157">
        <v>350</v>
      </c>
      <c r="B23" s="114">
        <v>355.6</v>
      </c>
      <c r="C23" s="176">
        <v>66.599999999999994</v>
      </c>
      <c r="D23" s="117">
        <f>IF('Prijungimas prie CŠT'!$M$8=0,'Bekanalinės trasos'!W23,'Prijungimas prie CŠT'!$M$8)</f>
        <v>3.2</v>
      </c>
      <c r="E23" s="314">
        <f t="shared" si="8"/>
        <v>-81.000000000000014</v>
      </c>
      <c r="F23" s="117">
        <f>IF('Prijungimas prie CŠT'!$M$7=0,'Bekanalinės trasos'!Y23,'Prijungimas prie CŠT'!$M$7)</f>
        <v>200</v>
      </c>
      <c r="G23" s="157">
        <f t="shared" si="11"/>
        <v>193.6</v>
      </c>
      <c r="H23" s="316">
        <f>IF('Prijungimas prie CŠT'!$M$9=0,'Bekanalinės trasos'!V23,'Prijungimas prie CŠT'!$M$9)</f>
        <v>0.75</v>
      </c>
      <c r="I23" s="107">
        <f t="shared" si="12"/>
        <v>0.45</v>
      </c>
      <c r="J23" s="115">
        <f t="shared" si="2"/>
        <v>-23.773871723924152</v>
      </c>
      <c r="K23" s="115">
        <f t="shared" si="3"/>
        <v>-14.443833385253964</v>
      </c>
      <c r="L23" s="115">
        <f t="shared" si="4"/>
        <v>-19.29529101799119</v>
      </c>
      <c r="M23" s="115">
        <f t="shared" si="5"/>
        <v>-11.63689770059262</v>
      </c>
      <c r="N23" s="116">
        <f>(J23+K23)*'TV tinklas'!F23*'Pradiniai duomenys'!E$13*0.00000115</f>
        <v>0</v>
      </c>
      <c r="O23" s="116">
        <f>(L23+M23)*'TV tinklas'!K23*'Pradiniai duomenys'!E$13*0.00000115</f>
        <v>0</v>
      </c>
      <c r="P23" s="116">
        <f t="shared" si="9"/>
        <v>0</v>
      </c>
      <c r="R23" s="114">
        <f t="shared" si="6"/>
        <v>0.85</v>
      </c>
      <c r="S23" s="179">
        <f t="shared" si="7"/>
        <v>1.05</v>
      </c>
      <c r="T23" s="81">
        <f>IF(R23&gt;0.7,'Pradiniai duomenys'!$J$13,'Pradiniai duomenys'!$K$13)</f>
        <v>4.784151555358986</v>
      </c>
      <c r="U23" s="79" t="str">
        <f t="shared" si="10"/>
        <v>- grunto temperatūra</v>
      </c>
      <c r="V23" s="316">
        <v>0.75</v>
      </c>
      <c r="W23" s="117">
        <v>5.6</v>
      </c>
      <c r="X23" s="314">
        <v>66.599999999999994</v>
      </c>
      <c r="Y23" s="117">
        <v>500</v>
      </c>
      <c r="Z23" s="157">
        <v>350</v>
      </c>
    </row>
    <row r="24" spans="1:26" x14ac:dyDescent="0.2">
      <c r="A24" s="157">
        <v>400</v>
      </c>
      <c r="B24" s="114">
        <v>406.4</v>
      </c>
      <c r="C24" s="176">
        <v>51.1</v>
      </c>
      <c r="D24" s="117">
        <f>IF('Prijungimas prie CŠT'!$M$8=0,'Bekanalinės trasos'!W24,'Prijungimas prie CŠT'!$M$8)</f>
        <v>3.2</v>
      </c>
      <c r="E24" s="314">
        <f t="shared" si="8"/>
        <v>-106.39999999999999</v>
      </c>
      <c r="F24" s="117">
        <f>IF('Prijungimas prie CŠT'!$M$7=0,'Bekanalinės trasos'!Y24,'Prijungimas prie CŠT'!$M$7)</f>
        <v>200</v>
      </c>
      <c r="G24" s="157">
        <f t="shared" si="11"/>
        <v>193.6</v>
      </c>
      <c r="H24" s="316">
        <f>IF('Prijungimas prie CŠT'!$M$9=0,'Bekanalinės trasos'!V24,'Prijungimas prie CŠT'!$M$9)</f>
        <v>0.75</v>
      </c>
      <c r="I24" s="107">
        <f t="shared" si="12"/>
        <v>0.45</v>
      </c>
      <c r="J24" s="115">
        <f t="shared" si="2"/>
        <v>-19.278600471988096</v>
      </c>
      <c r="K24" s="115">
        <f t="shared" si="3"/>
        <v>-11.626509193378517</v>
      </c>
      <c r="L24" s="115">
        <f t="shared" si="4"/>
        <v>-15.678143072404831</v>
      </c>
      <c r="M24" s="115">
        <f t="shared" si="5"/>
        <v>-9.3982227661491464</v>
      </c>
      <c r="N24" s="116">
        <f>(J24+K24)*'TV tinklas'!F24*'Pradiniai duomenys'!E$13*0.00000115</f>
        <v>0</v>
      </c>
      <c r="O24" s="116">
        <f>(L24+M24)*'TV tinklas'!K24*'Pradiniai duomenys'!E$13*0.00000115</f>
        <v>0</v>
      </c>
      <c r="P24" s="116">
        <f t="shared" si="9"/>
        <v>0</v>
      </c>
      <c r="R24" s="114">
        <f t="shared" si="6"/>
        <v>0.85</v>
      </c>
      <c r="S24" s="179">
        <f t="shared" si="7"/>
        <v>1.05</v>
      </c>
      <c r="T24" s="81">
        <f>IF(R24&gt;0.7,'Pradiniai duomenys'!$J$13,'Pradiniai duomenys'!$K$13)</f>
        <v>4.784151555358986</v>
      </c>
      <c r="U24" s="79" t="str">
        <f t="shared" si="10"/>
        <v>- grunto temperatūra</v>
      </c>
      <c r="V24" s="316">
        <v>0.75</v>
      </c>
      <c r="W24" s="117">
        <v>5.7</v>
      </c>
      <c r="X24" s="314">
        <v>51.1</v>
      </c>
      <c r="Y24" s="117">
        <v>520</v>
      </c>
      <c r="Z24" s="157">
        <v>400</v>
      </c>
    </row>
    <row r="25" spans="1:26" x14ac:dyDescent="0.2">
      <c r="A25" s="157">
        <v>450</v>
      </c>
      <c r="B25" s="114">
        <v>457.2</v>
      </c>
      <c r="C25" s="176">
        <v>45.4</v>
      </c>
      <c r="D25" s="117">
        <f>IF('Prijungimas prie CŠT'!$M$8=0,'Bekanalinės trasos'!W25,'Prijungimas prie CŠT'!$M$8)</f>
        <v>3.2</v>
      </c>
      <c r="E25" s="314">
        <f t="shared" si="8"/>
        <v>-131.80000000000001</v>
      </c>
      <c r="F25" s="117">
        <f>IF('Prijungimas prie CŠT'!$M$7=0,'Bekanalinės trasos'!Y25,'Prijungimas prie CŠT'!$M$7)</f>
        <v>200</v>
      </c>
      <c r="G25" s="157">
        <f t="shared" si="11"/>
        <v>193.6</v>
      </c>
      <c r="H25" s="316">
        <f>IF('Prijungimas prie CŠT'!$M$9=0,'Bekanalinės trasos'!V25,'Prijungimas prie CŠT'!$M$9)</f>
        <v>0.75</v>
      </c>
      <c r="I25" s="107">
        <f t="shared" si="12"/>
        <v>0.45</v>
      </c>
      <c r="J25" s="115">
        <f t="shared" si="2"/>
        <v>-16.522003204596832</v>
      </c>
      <c r="K25" s="115">
        <f t="shared" si="3"/>
        <v>-9.9181993964645248</v>
      </c>
      <c r="L25" s="115">
        <f t="shared" si="4"/>
        <v>-13.453091663323908</v>
      </c>
      <c r="M25" s="115">
        <f t="shared" si="5"/>
        <v>-8.0339302639225565</v>
      </c>
      <c r="N25" s="116">
        <f>(J25+K25)*'TV tinklas'!F25*'Pradiniai duomenys'!E$13*0.00000115</f>
        <v>0</v>
      </c>
      <c r="O25" s="116">
        <f>(L25+M25)*'TV tinklas'!K25*'Pradiniai duomenys'!E$13*0.00000115</f>
        <v>0</v>
      </c>
      <c r="P25" s="116">
        <f t="shared" si="9"/>
        <v>0</v>
      </c>
      <c r="R25" s="114">
        <f t="shared" si="6"/>
        <v>0.85</v>
      </c>
      <c r="S25" s="179">
        <f t="shared" si="7"/>
        <v>1.05</v>
      </c>
      <c r="T25" s="81">
        <f>IF(R25&gt;0.7,'Pradiniai duomenys'!$J$13,'Pradiniai duomenys'!$K$13)</f>
        <v>4.784151555358986</v>
      </c>
      <c r="U25" s="79" t="str">
        <f t="shared" si="10"/>
        <v>- grunto temperatūra</v>
      </c>
      <c r="V25" s="316">
        <v>0.75</v>
      </c>
      <c r="W25" s="117">
        <v>6</v>
      </c>
      <c r="X25" s="314">
        <v>45.4</v>
      </c>
      <c r="Y25" s="117">
        <v>560</v>
      </c>
      <c r="Z25" s="157">
        <v>450</v>
      </c>
    </row>
    <row r="26" spans="1:26" x14ac:dyDescent="0.2">
      <c r="A26" s="157">
        <v>500</v>
      </c>
      <c r="B26" s="114">
        <v>508</v>
      </c>
      <c r="C26" s="176">
        <v>54.4</v>
      </c>
      <c r="D26" s="117">
        <f>IF('Prijungimas prie CŠT'!$M$8=0,'Bekanalinės trasos'!W26,'Prijungimas prie CŠT'!$M$8)</f>
        <v>3.2</v>
      </c>
      <c r="E26" s="314">
        <f t="shared" si="8"/>
        <v>-157.19999999999999</v>
      </c>
      <c r="F26" s="117">
        <f>IF('Prijungimas prie CŠT'!$M$7=0,'Bekanalinės trasos'!Y26,'Prijungimas prie CŠT'!$M$7)</f>
        <v>200</v>
      </c>
      <c r="G26" s="157">
        <f t="shared" si="11"/>
        <v>193.6</v>
      </c>
      <c r="H26" s="316">
        <f>IF('Prijungimas prie CŠT'!$M$9=0,'Bekanalinės trasos'!V26,'Prijungimas prie CŠT'!$M$9)</f>
        <v>0.75</v>
      </c>
      <c r="I26" s="107">
        <f t="shared" si="12"/>
        <v>0.45</v>
      </c>
      <c r="J26" s="115">
        <f t="shared" si="2"/>
        <v>-14.648048827944494</v>
      </c>
      <c r="K26" s="115">
        <f t="shared" si="3"/>
        <v>-8.7653974079983872</v>
      </c>
      <c r="L26" s="115">
        <f t="shared" si="4"/>
        <v>-11.93740891566957</v>
      </c>
      <c r="M26" s="115">
        <f t="shared" si="5"/>
        <v>-7.110242790164687</v>
      </c>
      <c r="N26" s="116">
        <f>(J26+K26)*'TV tinklas'!F26*'Pradiniai duomenys'!E$13*0.00000115</f>
        <v>0</v>
      </c>
      <c r="O26" s="116">
        <f>(L26+M26)*'TV tinklas'!K26*'Pradiniai duomenys'!E$13*0.00000115</f>
        <v>0</v>
      </c>
      <c r="P26" s="116">
        <f t="shared" si="9"/>
        <v>0</v>
      </c>
      <c r="R26" s="114">
        <f t="shared" si="6"/>
        <v>0.85</v>
      </c>
      <c r="S26" s="179">
        <f t="shared" si="7"/>
        <v>1.05</v>
      </c>
      <c r="T26" s="81">
        <f>IF(R26&gt;0.7,'Pradiniai duomenys'!$J$13,'Pradiniai duomenys'!$K$13)</f>
        <v>4.784151555358986</v>
      </c>
      <c r="U26" s="79" t="str">
        <f t="shared" si="10"/>
        <v>- grunto temperatūra</v>
      </c>
      <c r="V26" s="316">
        <v>0.75</v>
      </c>
      <c r="W26" s="117">
        <v>6.6</v>
      </c>
      <c r="X26" s="314">
        <v>54.4</v>
      </c>
      <c r="Y26" s="117">
        <v>630</v>
      </c>
      <c r="Z26" s="157">
        <v>500</v>
      </c>
    </row>
    <row r="27" spans="1:26" x14ac:dyDescent="0.2">
      <c r="A27" s="157">
        <v>550</v>
      </c>
      <c r="B27" s="114">
        <v>558.79999999999995</v>
      </c>
      <c r="C27" s="176">
        <v>68.400000000000006</v>
      </c>
      <c r="D27" s="117">
        <f>IF('Prijungimas prie CŠT'!$M$8=0,'Bekanalinės trasos'!W27,'Prijungimas prie CŠT'!$M$8)</f>
        <v>3.2</v>
      </c>
      <c r="E27" s="314">
        <f t="shared" si="8"/>
        <v>-182.59999999999997</v>
      </c>
      <c r="F27" s="117">
        <f>IF('Prijungimas prie CŠT'!$M$7=0,'Bekanalinės trasos'!Y27,'Prijungimas prie CŠT'!$M$7)</f>
        <v>200</v>
      </c>
      <c r="G27" s="157">
        <f t="shared" si="11"/>
        <v>193.6</v>
      </c>
      <c r="H27" s="316">
        <f>IF('Prijungimas prie CŠT'!$M$9=0,'Bekanalinės trasos'!V27,'Prijungimas prie CŠT'!$M$9)</f>
        <v>0.75</v>
      </c>
      <c r="I27" s="107">
        <f t="shared" si="12"/>
        <v>0.45</v>
      </c>
      <c r="J27" s="115">
        <f t="shared" si="2"/>
        <v>-13.284823857194441</v>
      </c>
      <c r="K27" s="115">
        <f t="shared" si="3"/>
        <v>-7.9311574301824583</v>
      </c>
      <c r="L27" s="115">
        <f t="shared" si="4"/>
        <v>-10.833224784281072</v>
      </c>
      <c r="M27" s="115">
        <f t="shared" si="5"/>
        <v>-6.4402401249895318</v>
      </c>
      <c r="N27" s="116">
        <f>(J27+K27)*'TV tinklas'!F27*'Pradiniai duomenys'!E$13*0.00000115</f>
        <v>0</v>
      </c>
      <c r="O27" s="116">
        <f>(L27+M27)*'TV tinklas'!K27*'Pradiniai duomenys'!E$13*0.00000115</f>
        <v>0</v>
      </c>
      <c r="P27" s="116">
        <f>SUM(N27:O27)</f>
        <v>0</v>
      </c>
      <c r="R27" s="114">
        <f t="shared" si="6"/>
        <v>0.85</v>
      </c>
      <c r="S27" s="179">
        <f t="shared" si="7"/>
        <v>1.05</v>
      </c>
      <c r="T27" s="81">
        <f>IF(R27&gt;0.7,'Pradiniai duomenys'!$J$13,'Pradiniai duomenys'!$K$13)</f>
        <v>4.784151555358986</v>
      </c>
      <c r="U27" s="79" t="str">
        <f t="shared" si="10"/>
        <v>- grunto temperatūra</v>
      </c>
      <c r="V27" s="317">
        <v>0.75</v>
      </c>
      <c r="W27" s="117">
        <v>7.2</v>
      </c>
      <c r="X27" s="314">
        <v>68.400000000000006</v>
      </c>
      <c r="Y27" s="117">
        <v>709.99999999999989</v>
      </c>
      <c r="Z27" s="157">
        <v>550</v>
      </c>
    </row>
    <row r="28" spans="1:26" x14ac:dyDescent="0.2">
      <c r="A28" s="160">
        <v>600</v>
      </c>
      <c r="B28" s="177">
        <v>609.6</v>
      </c>
      <c r="C28" s="178">
        <v>77.400000000000006</v>
      </c>
      <c r="D28" s="117">
        <f>IF('Prijungimas prie CŠT'!$M$8=0,'Bekanalinės trasos'!W28,'Prijungimas prie CŠT'!$M$8)</f>
        <v>3.2</v>
      </c>
      <c r="E28" s="314">
        <f t="shared" si="8"/>
        <v>-208</v>
      </c>
      <c r="F28" s="117">
        <f>IF('Prijungimas prie CŠT'!$M$7=0,'Bekanalinės trasos'!Y28,'Prijungimas prie CŠT'!$M$7)</f>
        <v>200</v>
      </c>
      <c r="G28" s="157">
        <f t="shared" si="11"/>
        <v>193.6</v>
      </c>
      <c r="H28" s="316">
        <f>IF('Prijungimas prie CŠT'!$M$9=0,'Bekanalinės trasos'!V28,'Prijungimas prie CŠT'!$M$9)</f>
        <v>0.75</v>
      </c>
      <c r="I28" s="154">
        <f t="shared" si="12"/>
        <v>0.45</v>
      </c>
      <c r="J28" s="115">
        <f t="shared" si="2"/>
        <v>-12.244425703701065</v>
      </c>
      <c r="K28" s="115">
        <f t="shared" si="3"/>
        <v>-7.2969726939757846</v>
      </c>
      <c r="L28" s="115">
        <f t="shared" si="4"/>
        <v>-9.9896152545051464</v>
      </c>
      <c r="M28" s="115">
        <f t="shared" si="5"/>
        <v>-5.9300127768647695</v>
      </c>
      <c r="N28" s="168">
        <f>(J28+K28)*'TV tinklas'!F27*'Pradiniai duomenys'!E$13*0.00000115</f>
        <v>0</v>
      </c>
      <c r="O28" s="168">
        <f>(L28+M28)*'TV tinklas'!K27*'Pradiniai duomenys'!E$13*0.00000115</f>
        <v>0</v>
      </c>
      <c r="P28" s="168">
        <f t="shared" si="9"/>
        <v>0</v>
      </c>
      <c r="R28" s="114">
        <f t="shared" si="6"/>
        <v>0.85</v>
      </c>
      <c r="S28" s="179">
        <f t="shared" si="7"/>
        <v>1.05</v>
      </c>
      <c r="T28" s="81">
        <f>IF(R28&gt;0.7,'Pradiniai duomenys'!$J$13,'Pradiniai duomenys'!$K$13)</f>
        <v>4.784151555358986</v>
      </c>
      <c r="U28" s="79" t="str">
        <f t="shared" si="10"/>
        <v>- grunto temperatūra</v>
      </c>
      <c r="V28" s="316">
        <v>0.75</v>
      </c>
      <c r="W28" s="117">
        <v>7.8</v>
      </c>
      <c r="X28" s="315">
        <v>77.400000000000006</v>
      </c>
      <c r="Y28" s="117">
        <v>780.00000000000011</v>
      </c>
      <c r="Z28" s="160">
        <v>600</v>
      </c>
    </row>
    <row r="29" spans="1:26" x14ac:dyDescent="0.2">
      <c r="A29" s="157">
        <v>700</v>
      </c>
      <c r="B29" s="114">
        <v>711</v>
      </c>
      <c r="C29" s="176">
        <v>85.8</v>
      </c>
      <c r="D29" s="117">
        <f>IF('Prijungimas prie CŠT'!$M$8=0,'Bekanalinės trasos'!W29,'Prijungimas prie CŠT'!$M$8)</f>
        <v>3.2</v>
      </c>
      <c r="E29" s="314">
        <f t="shared" si="8"/>
        <v>-258.7</v>
      </c>
      <c r="F29" s="117">
        <f>IF('Prijungimas prie CŠT'!$M$7=0,'Bekanalinės trasos'!Y29,'Prijungimas prie CŠT'!$M$7)</f>
        <v>200</v>
      </c>
      <c r="G29" s="157">
        <f t="shared" si="11"/>
        <v>193.6</v>
      </c>
      <c r="H29" s="316">
        <f>IF('Prijungimas prie CŠT'!$M$9=0,'Bekanalinės trasos'!V29,'Prijungimas prie CŠT'!$M$9)</f>
        <v>0.75</v>
      </c>
      <c r="I29" s="107">
        <f t="shared" si="12"/>
        <v>0.45</v>
      </c>
      <c r="J29" s="115">
        <f t="shared" si="2"/>
        <v>-10.754857129946071</v>
      </c>
      <c r="K29" s="115">
        <f t="shared" si="3"/>
        <v>-6.3927814245956736</v>
      </c>
      <c r="L29" s="115">
        <f t="shared" si="4"/>
        <v>-8.7804130408648664</v>
      </c>
      <c r="M29" s="115">
        <f t="shared" si="5"/>
        <v>-5.2011949845662144</v>
      </c>
      <c r="N29" s="168">
        <f>(J29+K29)*'TV tinklas'!F28*'Pradiniai duomenys'!E$13*0.00000115</f>
        <v>0</v>
      </c>
      <c r="O29" s="168">
        <f>(L29+M29)*'TV tinklas'!K28*'Pradiniai duomenys'!E$13*0.00000115</f>
        <v>0</v>
      </c>
      <c r="P29" s="168">
        <f t="shared" ref="P29:P34" si="13">SUM(N29:O29)</f>
        <v>0</v>
      </c>
      <c r="R29" s="114">
        <f t="shared" si="6"/>
        <v>0.85</v>
      </c>
      <c r="S29" s="179">
        <f t="shared" si="7"/>
        <v>1.05</v>
      </c>
      <c r="T29" s="81">
        <f>IF(R29&gt;0.7,'Pradiniai duomenys'!$J$13,'Pradiniai duomenys'!$K$13)</f>
        <v>4.784151555358986</v>
      </c>
      <c r="U29" s="79" t="str">
        <f t="shared" si="10"/>
        <v>- grunto temperatūra</v>
      </c>
      <c r="V29" s="316">
        <v>0.75</v>
      </c>
      <c r="W29" s="117">
        <v>8.6999999999999993</v>
      </c>
      <c r="X29" s="314">
        <v>85.8</v>
      </c>
      <c r="Y29" s="117">
        <v>900</v>
      </c>
      <c r="Z29" s="157">
        <v>700</v>
      </c>
    </row>
    <row r="30" spans="1:26" x14ac:dyDescent="0.2">
      <c r="A30" s="157">
        <v>800</v>
      </c>
      <c r="B30" s="114">
        <v>820</v>
      </c>
      <c r="C30" s="176">
        <v>80.599999999999994</v>
      </c>
      <c r="D30" s="117">
        <f>IF('Prijungimas prie CŠT'!$M$8=0,'Bekanalinės trasos'!W30,'Prijungimas prie CŠT'!$M$8)</f>
        <v>3.2</v>
      </c>
      <c r="E30" s="314">
        <f t="shared" si="8"/>
        <v>-313.2</v>
      </c>
      <c r="F30" s="117">
        <f>IF('Prijungimas prie CŠT'!$M$7=0,'Bekanalinės trasos'!Y30,'Prijungimas prie CŠT'!$M$7)</f>
        <v>200</v>
      </c>
      <c r="G30" s="157">
        <f t="shared" si="11"/>
        <v>193.6</v>
      </c>
      <c r="H30" s="316">
        <f>IF('Prijungimas prie CŠT'!$M$9=0,'Bekanalinės trasos'!V30,'Prijungimas prie CŠT'!$M$9)</f>
        <v>0.75</v>
      </c>
      <c r="I30" s="107">
        <f t="shared" si="12"/>
        <v>0.45</v>
      </c>
      <c r="J30" s="115">
        <f t="shared" si="2"/>
        <v>-9.6648849895886357</v>
      </c>
      <c r="K30" s="115">
        <f t="shared" si="3"/>
        <v>-5.7339965558673969</v>
      </c>
      <c r="L30" s="115">
        <f t="shared" si="4"/>
        <v>-7.8945555848335527</v>
      </c>
      <c r="M30" s="115">
        <f t="shared" si="5"/>
        <v>-4.6691634738198005</v>
      </c>
      <c r="N30" s="116">
        <f>(J30+K30)*'TV tinklas'!F29*'Pradiniai duomenys'!E$13*0.00000115</f>
        <v>0</v>
      </c>
      <c r="O30" s="116">
        <f>(L30+M30)*'TV tinklas'!K29*'Pradiniai duomenys'!E$13*0.00000115</f>
        <v>0</v>
      </c>
      <c r="P30" s="116">
        <f t="shared" si="13"/>
        <v>0</v>
      </c>
      <c r="R30" s="114">
        <f t="shared" si="6"/>
        <v>0.85</v>
      </c>
      <c r="S30" s="179">
        <f t="shared" si="7"/>
        <v>1.05</v>
      </c>
      <c r="T30" s="81">
        <f>IF(R30&gt;0.7,'Pradiniai duomenys'!$J$13,'Pradiniai duomenys'!$K$13)</f>
        <v>4.784151555358986</v>
      </c>
      <c r="U30" s="79" t="str">
        <f t="shared" si="10"/>
        <v>- grunto temperatūra</v>
      </c>
      <c r="V30" s="316">
        <v>0.75</v>
      </c>
      <c r="W30" s="117">
        <v>9.4</v>
      </c>
      <c r="X30" s="314">
        <v>80.599999999999994</v>
      </c>
      <c r="Y30" s="117">
        <v>1000</v>
      </c>
      <c r="Z30" s="157">
        <v>800</v>
      </c>
    </row>
    <row r="31" spans="1:26" x14ac:dyDescent="0.2">
      <c r="A31" s="157">
        <v>900</v>
      </c>
      <c r="B31" s="114">
        <v>914</v>
      </c>
      <c r="C31" s="176">
        <v>82.8</v>
      </c>
      <c r="D31" s="117">
        <f>IF('Prijungimas prie CŠT'!$M$8=0,'Bekanalinės trasos'!W31,'Prijungimas prie CŠT'!$M$8)</f>
        <v>3.2</v>
      </c>
      <c r="E31" s="314">
        <f t="shared" si="8"/>
        <v>-360.2</v>
      </c>
      <c r="F31" s="117">
        <f>IF('Prijungimas prie CŠT'!$M$7=0,'Bekanalinės trasos'!Y31,'Prijungimas prie CŠT'!$M$7)</f>
        <v>200</v>
      </c>
      <c r="G31" s="157">
        <f t="shared" si="11"/>
        <v>193.6</v>
      </c>
      <c r="H31" s="316">
        <f>IF('Prijungimas prie CŠT'!$M$9=0,'Bekanalinės trasos'!V31,'Prijungimas prie CŠT'!$M$9)</f>
        <v>0.75</v>
      </c>
      <c r="I31" s="107">
        <f t="shared" si="12"/>
        <v>0.45</v>
      </c>
      <c r="J31" s="115">
        <f t="shared" si="2"/>
        <v>-8.9729220851545524</v>
      </c>
      <c r="K31" s="115">
        <f t="shared" si="3"/>
        <v>-5.3170254474624699</v>
      </c>
      <c r="L31" s="115">
        <f t="shared" si="4"/>
        <v>-7.3317142838699265</v>
      </c>
      <c r="M31" s="115">
        <f t="shared" si="5"/>
        <v>-4.3319679766071379</v>
      </c>
      <c r="N31" s="116">
        <f>(J31+K31)*'TV tinklas'!F30*'Pradiniai duomenys'!E$13*0.00000115</f>
        <v>0</v>
      </c>
      <c r="O31" s="116">
        <f>(L31+M31)*'TV tinklas'!K30*'Pradiniai duomenys'!E$13*0.00000115</f>
        <v>0</v>
      </c>
      <c r="P31" s="116">
        <f t="shared" si="13"/>
        <v>0</v>
      </c>
      <c r="R31" s="114">
        <f t="shared" si="6"/>
        <v>0.85</v>
      </c>
      <c r="S31" s="179">
        <f t="shared" si="7"/>
        <v>1.05</v>
      </c>
      <c r="T31" s="81">
        <f>IF(R31&gt;0.7,'Pradiniai duomenys'!$J$13,'Pradiniai duomenys'!$K$13)</f>
        <v>4.784151555358986</v>
      </c>
      <c r="U31" s="79" t="str">
        <f t="shared" si="10"/>
        <v>- grunto temperatūra</v>
      </c>
      <c r="V31" s="316">
        <v>0.75</v>
      </c>
      <c r="W31" s="117">
        <v>10.199999999999999</v>
      </c>
      <c r="X31" s="314">
        <v>82.8</v>
      </c>
      <c r="Y31" s="117">
        <v>1100</v>
      </c>
      <c r="Z31" s="157">
        <v>900</v>
      </c>
    </row>
    <row r="32" spans="1:26" x14ac:dyDescent="0.2">
      <c r="A32" s="157">
        <v>1000</v>
      </c>
      <c r="B32" s="114">
        <v>1016</v>
      </c>
      <c r="C32" s="176">
        <v>81</v>
      </c>
      <c r="D32" s="117">
        <f>IF('Prijungimas prie CŠT'!$M$8=0,'Bekanalinės trasos'!W32,'Prijungimas prie CŠT'!$M$8)</f>
        <v>3.2</v>
      </c>
      <c r="E32" s="314">
        <f t="shared" si="8"/>
        <v>-411.2</v>
      </c>
      <c r="F32" s="117">
        <f>IF('Prijungimas prie CŠT'!$M$7=0,'Bekanalinės trasos'!Y32,'Prijungimas prie CŠT'!$M$7)</f>
        <v>200</v>
      </c>
      <c r="G32" s="157">
        <f t="shared" si="11"/>
        <v>193.6</v>
      </c>
      <c r="H32" s="316">
        <f>IF('Prijungimas prie CŠT'!$M$9=0,'Bekanalinės trasos'!V32,'Prijungimas prie CŠT'!$M$9)</f>
        <v>0.75</v>
      </c>
      <c r="I32" s="107">
        <f t="shared" si="12"/>
        <v>0.45</v>
      </c>
      <c r="J32" s="115">
        <f t="shared" si="2"/>
        <v>-8.3874924594625604</v>
      </c>
      <c r="K32" s="115">
        <f t="shared" si="3"/>
        <v>-4.965014672291824</v>
      </c>
      <c r="L32" s="115">
        <f t="shared" si="4"/>
        <v>-6.8552467011876725</v>
      </c>
      <c r="M32" s="115">
        <f t="shared" si="5"/>
        <v>-4.0470291100076885</v>
      </c>
      <c r="N32" s="116">
        <f>(J32+K32)*'TV tinklas'!F31*'Pradiniai duomenys'!E$13*0.00000115</f>
        <v>0</v>
      </c>
      <c r="O32" s="116">
        <f>(L32+M32)*'TV tinklas'!K31*'Pradiniai duomenys'!E$13*0.00000115</f>
        <v>0</v>
      </c>
      <c r="P32" s="116">
        <f t="shared" si="13"/>
        <v>0</v>
      </c>
      <c r="R32" s="114">
        <f t="shared" si="6"/>
        <v>0.85</v>
      </c>
      <c r="S32" s="179">
        <f t="shared" si="7"/>
        <v>1.05</v>
      </c>
      <c r="T32" s="81">
        <f>IF(R32&gt;0.7,'Pradiniai duomenys'!$J$13,'Pradiniai duomenys'!$K$13)</f>
        <v>4.784151555358986</v>
      </c>
      <c r="U32" s="79" t="str">
        <f t="shared" si="10"/>
        <v>- grunto temperatūra</v>
      </c>
      <c r="V32" s="316">
        <v>0.75</v>
      </c>
      <c r="W32" s="117">
        <v>11</v>
      </c>
      <c r="X32" s="314">
        <v>81</v>
      </c>
      <c r="Y32" s="117">
        <v>1200</v>
      </c>
      <c r="Z32" s="157">
        <v>1000</v>
      </c>
    </row>
    <row r="33" spans="1:26" x14ac:dyDescent="0.2">
      <c r="A33" s="157">
        <v>1100</v>
      </c>
      <c r="B33" s="114">
        <v>1118</v>
      </c>
      <c r="C33" s="176">
        <v>79.2</v>
      </c>
      <c r="D33" s="117">
        <f>IF('Prijungimas prie CŠT'!$M$8=0,'Bekanalinės trasos'!W33,'Prijungimas prie CŠT'!$M$8)</f>
        <v>3.2</v>
      </c>
      <c r="E33" s="314">
        <f t="shared" si="8"/>
        <v>-462.2</v>
      </c>
      <c r="F33" s="117">
        <f>IF('Prijungimas prie CŠT'!$M$7=0,'Bekanalinės trasos'!Y33,'Prijungimas prie CŠT'!$M$7)</f>
        <v>200</v>
      </c>
      <c r="G33" s="157">
        <f t="shared" si="11"/>
        <v>193.6</v>
      </c>
      <c r="H33" s="316">
        <f>IF('Prijungimas prie CŠT'!$M$9=0,'Bekanalinės trasos'!V33,'Prijungimas prie CŠT'!$M$9)</f>
        <v>0.75</v>
      </c>
      <c r="I33" s="107">
        <f t="shared" si="12"/>
        <v>0.45</v>
      </c>
      <c r="J33" s="115">
        <f t="shared" si="2"/>
        <v>-7.920212499234732</v>
      </c>
      <c r="K33" s="115">
        <f t="shared" si="3"/>
        <v>-4.6845499446378094</v>
      </c>
      <c r="L33" s="115">
        <f t="shared" si="4"/>
        <v>-6.4747532821933467</v>
      </c>
      <c r="M33" s="115">
        <f t="shared" si="5"/>
        <v>-3.8198220973811994</v>
      </c>
      <c r="N33" s="116">
        <f>(J33+K33)*'TV tinklas'!F32*'Pradiniai duomenys'!E$13*0.00000115</f>
        <v>0</v>
      </c>
      <c r="O33" s="116">
        <f>(L33+M33)*'TV tinklas'!K32*'Pradiniai duomenys'!E$13*0.00000115</f>
        <v>0</v>
      </c>
      <c r="P33" s="116">
        <f t="shared" si="13"/>
        <v>0</v>
      </c>
      <c r="R33" s="114">
        <f t="shared" si="6"/>
        <v>0.85</v>
      </c>
      <c r="S33" s="179">
        <f t="shared" si="7"/>
        <v>1.05</v>
      </c>
      <c r="T33" s="81">
        <f>IF(R33&gt;0.7,'Pradiniai duomenys'!$J$13,'Pradiniai duomenys'!$K$13)</f>
        <v>4.784151555358986</v>
      </c>
      <c r="U33" s="79" t="str">
        <f t="shared" si="10"/>
        <v>- grunto temperatūra</v>
      </c>
      <c r="V33" s="316">
        <v>0.75</v>
      </c>
      <c r="W33" s="117">
        <v>11.8</v>
      </c>
      <c r="X33" s="314">
        <v>79.2</v>
      </c>
      <c r="Y33" s="117">
        <v>1300</v>
      </c>
      <c r="Z33" s="157">
        <v>1100</v>
      </c>
    </row>
    <row r="34" spans="1:26" x14ac:dyDescent="0.2">
      <c r="A34" s="157">
        <v>1200</v>
      </c>
      <c r="B34" s="114">
        <v>1219</v>
      </c>
      <c r="C34" s="176">
        <v>78</v>
      </c>
      <c r="D34" s="117">
        <f>IF('Prijungimas prie CŠT'!$M$8=0,'Bekanalinės trasos'!W34,'Prijungimas prie CŠT'!$M$8)</f>
        <v>3.2</v>
      </c>
      <c r="E34" s="314">
        <f t="shared" si="8"/>
        <v>-512.70000000000005</v>
      </c>
      <c r="F34" s="117">
        <f>IF('Prijungimas prie CŠT'!$M$7=0,'Bekanalinės trasos'!Y34,'Prijungimas prie CŠT'!$M$7)</f>
        <v>200</v>
      </c>
      <c r="G34" s="157">
        <f t="shared" si="11"/>
        <v>193.6</v>
      </c>
      <c r="H34" s="316">
        <f>IF('Prijungimas prie CŠT'!$M$9=0,'Bekanalinės trasos'!V34,'Prijungimas prie CŠT'!$M$9)</f>
        <v>0.75</v>
      </c>
      <c r="I34" s="107">
        <f t="shared" si="12"/>
        <v>0.45</v>
      </c>
      <c r="J34" s="115">
        <f t="shared" si="2"/>
        <v>-7.5404212112767794</v>
      </c>
      <c r="K34" s="115">
        <f t="shared" si="3"/>
        <v>-4.4569271769208587</v>
      </c>
      <c r="L34" s="115">
        <f t="shared" si="4"/>
        <v>-6.1653780484642171</v>
      </c>
      <c r="M34" s="115">
        <f t="shared" si="5"/>
        <v>-3.635303515260321</v>
      </c>
      <c r="N34" s="116">
        <f>(J34+K34)*'TV tinklas'!F33*'Pradiniai duomenys'!E$13*0.00000115</f>
        <v>0</v>
      </c>
      <c r="O34" s="116">
        <f>(L34+M34)*'TV tinklas'!K33*'Pradiniai duomenys'!E$13*0.00000115</f>
        <v>0</v>
      </c>
      <c r="P34" s="116">
        <f t="shared" si="13"/>
        <v>0</v>
      </c>
      <c r="R34" s="114">
        <f t="shared" si="6"/>
        <v>0.85</v>
      </c>
      <c r="S34" s="179">
        <f t="shared" si="7"/>
        <v>1.05</v>
      </c>
      <c r="T34" s="81">
        <f>IF(R34&gt;0.7,'Pradiniai duomenys'!$J$13,'Pradiniai duomenys'!$K$13)</f>
        <v>4.784151555358986</v>
      </c>
      <c r="U34" s="79" t="str">
        <f t="shared" si="10"/>
        <v>- grunto temperatūra</v>
      </c>
      <c r="V34" s="316">
        <v>0.75</v>
      </c>
      <c r="W34" s="117">
        <v>12.5</v>
      </c>
      <c r="X34" s="314">
        <v>78</v>
      </c>
      <c r="Y34" s="117">
        <v>1400</v>
      </c>
      <c r="Z34" s="157">
        <v>1200</v>
      </c>
    </row>
    <row r="35" spans="1:26" x14ac:dyDescent="0.2">
      <c r="A35" s="113" t="s">
        <v>40</v>
      </c>
      <c r="L35" s="113" t="s">
        <v>138</v>
      </c>
      <c r="M35" s="173">
        <f>SUM(N11:N34)</f>
        <v>0</v>
      </c>
      <c r="N35" s="173">
        <f>SUM(O11:O34)</f>
        <v>15.983386173675539</v>
      </c>
      <c r="O35" s="173">
        <f>SUM(P11:P34)</f>
        <v>15.983386173675539</v>
      </c>
    </row>
    <row r="36" spans="1:26" x14ac:dyDescent="0.2">
      <c r="A36" s="112" t="s">
        <v>323</v>
      </c>
    </row>
    <row r="37" spans="1:26" x14ac:dyDescent="0.2">
      <c r="A37" s="112" t="s">
        <v>211</v>
      </c>
      <c r="O37" s="169"/>
    </row>
    <row r="38" spans="1:26" x14ac:dyDescent="0.2">
      <c r="O38" s="169"/>
    </row>
    <row r="39" spans="1:26" x14ac:dyDescent="0.2">
      <c r="A39" s="253" t="s">
        <v>280</v>
      </c>
      <c r="O39" s="169"/>
    </row>
    <row r="40" spans="1:26" hidden="1" x14ac:dyDescent="0.2">
      <c r="I40" s="165" t="s">
        <v>192</v>
      </c>
      <c r="J40" s="114">
        <f>'Pradiniai duomenys'!J32</f>
        <v>3.3000000000000002E-2</v>
      </c>
      <c r="K40" s="67" t="s">
        <v>194</v>
      </c>
    </row>
    <row r="41" spans="1:26" hidden="1" x14ac:dyDescent="0.2">
      <c r="I41" s="165" t="s">
        <v>193</v>
      </c>
      <c r="J41" s="114">
        <f>'Pradiniai duomenys'!J33</f>
        <v>2.7E-2</v>
      </c>
      <c r="K41" s="67" t="s">
        <v>194</v>
      </c>
    </row>
    <row r="42" spans="1:26" hidden="1" x14ac:dyDescent="0.2">
      <c r="I42" s="166" t="s">
        <v>201</v>
      </c>
      <c r="J42" s="167">
        <f>'Pradiniai duomenys'!J31</f>
        <v>2</v>
      </c>
      <c r="K42" s="67" t="s">
        <v>194</v>
      </c>
    </row>
    <row r="43" spans="1:26" ht="16.5" customHeight="1" x14ac:dyDescent="0.2">
      <c r="A43" s="576" t="s">
        <v>97</v>
      </c>
      <c r="B43" s="601"/>
      <c r="C43" s="577" t="s">
        <v>210</v>
      </c>
      <c r="D43" s="600" t="s">
        <v>212</v>
      </c>
      <c r="E43" s="600" t="s">
        <v>179</v>
      </c>
      <c r="F43" s="577" t="s">
        <v>215</v>
      </c>
      <c r="G43" s="596" t="s">
        <v>320</v>
      </c>
      <c r="H43" s="597"/>
      <c r="I43" s="596" t="s">
        <v>321</v>
      </c>
      <c r="J43" s="597"/>
      <c r="K43" s="593" t="s">
        <v>216</v>
      </c>
      <c r="L43" s="593" t="s">
        <v>322</v>
      </c>
      <c r="M43" s="593" t="s">
        <v>218</v>
      </c>
      <c r="N43" s="577" t="s">
        <v>184</v>
      </c>
      <c r="R43" s="170"/>
    </row>
    <row r="44" spans="1:26" ht="15" customHeight="1" x14ac:dyDescent="0.2">
      <c r="A44" s="577" t="s">
        <v>213</v>
      </c>
      <c r="B44" s="577" t="s">
        <v>214</v>
      </c>
      <c r="C44" s="578"/>
      <c r="D44" s="600"/>
      <c r="E44" s="600"/>
      <c r="F44" s="578"/>
      <c r="G44" s="598"/>
      <c r="H44" s="599"/>
      <c r="I44" s="598"/>
      <c r="J44" s="599"/>
      <c r="K44" s="594"/>
      <c r="L44" s="594"/>
      <c r="M44" s="594"/>
      <c r="N44" s="578"/>
      <c r="R44" s="170"/>
    </row>
    <row r="45" spans="1:26" ht="15.75" customHeight="1" x14ac:dyDescent="0.2">
      <c r="A45" s="579"/>
      <c r="B45" s="579"/>
      <c r="C45" s="579"/>
      <c r="D45" s="600"/>
      <c r="E45" s="600"/>
      <c r="F45" s="579"/>
      <c r="G45" s="106">
        <f>'Pradiniai duomenys'!C25</f>
        <v>68.068996019460414</v>
      </c>
      <c r="H45" s="106">
        <f>'Pradiniai duomenys'!D25</f>
        <v>45.639436827362523</v>
      </c>
      <c r="I45" s="106">
        <f>'Pradiniai duomenys'!C25</f>
        <v>68.068996019460414</v>
      </c>
      <c r="J45" s="106">
        <f>'Pradiniai duomenys'!D25</f>
        <v>45.639436827362523</v>
      </c>
      <c r="K45" s="595"/>
      <c r="L45" s="595"/>
      <c r="M45" s="595"/>
      <c r="N45" s="579"/>
      <c r="R45" s="170"/>
    </row>
    <row r="46" spans="1:26" x14ac:dyDescent="0.2">
      <c r="A46" s="107">
        <v>25</v>
      </c>
      <c r="B46" s="107">
        <v>33.700000000000003</v>
      </c>
      <c r="C46" s="157">
        <f t="shared" ref="C46:C69" si="14">E11</f>
        <v>79.949999999999989</v>
      </c>
      <c r="D46" s="157">
        <f t="shared" ref="D46:D69" si="15">G11</f>
        <v>193.6</v>
      </c>
      <c r="E46" s="157">
        <f t="shared" ref="E46:E69" si="16">F11</f>
        <v>200</v>
      </c>
      <c r="F46" s="157">
        <f t="shared" ref="F46:F52" si="17">E46/1000+0.15</f>
        <v>0.35</v>
      </c>
      <c r="G46" s="108">
        <f t="shared" ref="G46:G69" si="18">($G$45-N46)/((($J$42/$J$40*LN(D46/B46)+LN(R11/B46*1000))^2+LN(SQRT(((F46)^2+(R11+R11)^2)/((F46)^2+(R11-R11)^2))))/(6.28*$J$42*($J$42/$J$40*LN(D46/B46)+LN(R11/B46*1000)-($H$45-N46)/($G$45-N46)*LN(SQRT(((F46)^2+(R11+R11)^2)/((F46)^2+(R11-R11)^2))))))</f>
        <v>6.3271551039606688</v>
      </c>
      <c r="H46" s="108">
        <f t="shared" ref="H46:H69" si="19">($H$45-N46)/((($J$42/$J$40*LN(D46/B46)+LN(R11/B46*1000))^2+LN(SQRT(((F46)^2+(R11+R11)^2)/((F46)^2+(R11-R11)^2))))/(6.28*$J$42*($J$42/$J$40*LN(D46/B46)+LN(R11/B46*1000)-($G$45-N46)/($H$45-N46)*LN(SQRT(((F46)^2+(R11+R11)^2)/((F46)^2+(R11-R11)^2))))))</f>
        <v>3.7095060812575666</v>
      </c>
      <c r="I46" s="108">
        <f t="shared" ref="I46:I69" si="20">($I$45-N46)/((($J$42/$J$41*LN(D46/B46)+LN(R11/B46*1000))^2+LN(SQRT(((F46)^2+(R11+R11)^2)/((F46)^2+(R11-R11)^2))))/(6.28*$J$42*($J$42/$J$41*LN(D46/B46)+LN(R11/B46*1000)-($J$45-N46)/($I$45-N46)*LN(SQRT(((F46)^2+(R11+R11)^2)/((F46)^2+(R11-R11)^2))))))</f>
        <v>5.2131034793592548</v>
      </c>
      <c r="J46" s="108">
        <f t="shared" ref="J46:J69" si="21">($J$45-N46)/((($J$42/$J$41*LN(D46/B46)+LN(R11/B46*1000))^2+LN(SQRT(((F46)^2+(R11+R11)^2)/((F46)^2+(R11-R11)^2))))/(6.28*$J$42*($J$42/$J$41*LN(D46/B46)+LN(R11/B46*1000)-($I$45-N46)/($J$45-N46)*LN(SQRT(((F46)^2+(R11+R11)^2)/((F46)^2+(R11-R11)^2))))))</f>
        <v>3.0652445178147536</v>
      </c>
      <c r="K46" s="116">
        <f>(G46+H46)*'TV tinklas'!F42*'Pradiniai duomenys'!E$25*0.00000115</f>
        <v>0</v>
      </c>
      <c r="L46" s="116">
        <f>(I46+J46)*'TV tinklas'!K42*'Pradiniai duomenys'!E$25*0.00000115</f>
        <v>0</v>
      </c>
      <c r="M46" s="116">
        <f>SUM(K46:L46)</f>
        <v>0</v>
      </c>
      <c r="N46" s="81">
        <f>IF(R11&gt;0.7,'Pradiniai duomenys'!$J$25,'Pradiniai duomenys'!$K$25)</f>
        <v>12.57423558897243</v>
      </c>
      <c r="O46" s="79" t="str">
        <f t="shared" ref="O46:O69" si="22">U11</f>
        <v>- grunto temperatūra</v>
      </c>
      <c r="R46" s="171"/>
      <c r="S46" s="91"/>
      <c r="T46" s="172"/>
      <c r="U46" s="78"/>
    </row>
    <row r="47" spans="1:26" x14ac:dyDescent="0.2">
      <c r="A47" s="107">
        <v>32</v>
      </c>
      <c r="B47" s="107">
        <v>42.4</v>
      </c>
      <c r="C47" s="157">
        <f t="shared" si="14"/>
        <v>75.599999999999994</v>
      </c>
      <c r="D47" s="157">
        <f t="shared" si="15"/>
        <v>193.6</v>
      </c>
      <c r="E47" s="157">
        <f t="shared" si="16"/>
        <v>200</v>
      </c>
      <c r="F47" s="157">
        <f t="shared" si="17"/>
        <v>0.35</v>
      </c>
      <c r="G47" s="108">
        <f t="shared" si="18"/>
        <v>7.259206269669181</v>
      </c>
      <c r="H47" s="108">
        <f t="shared" si="19"/>
        <v>4.245535813455791</v>
      </c>
      <c r="I47" s="108">
        <f t="shared" si="20"/>
        <v>5.9846836985494853</v>
      </c>
      <c r="J47" s="108">
        <f t="shared" si="21"/>
        <v>3.5118645566004241</v>
      </c>
      <c r="K47" s="116">
        <f>(G47+H47)*'TV tinklas'!F43*'Pradiniai duomenys'!E$25*0.00000115</f>
        <v>0</v>
      </c>
      <c r="L47" s="116">
        <f>(I47+J47)*'TV tinklas'!K43*'Pradiniai duomenys'!E$25*0.00000115</f>
        <v>0</v>
      </c>
      <c r="M47" s="116">
        <f t="shared" ref="M47:M63" si="23">SUM(K47:L47)</f>
        <v>0</v>
      </c>
      <c r="N47" s="81">
        <f>IF(R12&gt;0.7,'Pradiniai duomenys'!$J$25,'Pradiniai duomenys'!$K$25)</f>
        <v>12.57423558897243</v>
      </c>
      <c r="O47" s="79" t="str">
        <f t="shared" si="22"/>
        <v>- grunto temperatūra</v>
      </c>
      <c r="R47" s="171"/>
      <c r="S47" s="91"/>
      <c r="T47" s="78"/>
      <c r="U47" s="78"/>
    </row>
    <row r="48" spans="1:26" x14ac:dyDescent="0.2">
      <c r="A48" s="107">
        <v>40</v>
      </c>
      <c r="B48" s="107">
        <v>48.3</v>
      </c>
      <c r="C48" s="157">
        <f t="shared" si="14"/>
        <v>72.650000000000006</v>
      </c>
      <c r="D48" s="157">
        <f t="shared" si="15"/>
        <v>193.6</v>
      </c>
      <c r="E48" s="157">
        <f t="shared" si="16"/>
        <v>200</v>
      </c>
      <c r="F48" s="157">
        <f t="shared" si="17"/>
        <v>0.35</v>
      </c>
      <c r="G48" s="108">
        <f t="shared" si="18"/>
        <v>7.9211363622963047</v>
      </c>
      <c r="H48" s="108">
        <f t="shared" si="19"/>
        <v>4.624554959035005</v>
      </c>
      <c r="I48" s="108">
        <f t="shared" si="20"/>
        <v>6.5332323738976257</v>
      </c>
      <c r="J48" s="108">
        <f t="shared" si="21"/>
        <v>3.8282573747391995</v>
      </c>
      <c r="K48" s="116">
        <f>(G48+H48)*'TV tinklas'!F44*'Pradiniai duomenys'!E$25*0.00000115</f>
        <v>0</v>
      </c>
      <c r="L48" s="116">
        <f>(I48+J48)*'TV tinklas'!K44*'Pradiniai duomenys'!E$25*0.00000115</f>
        <v>0</v>
      </c>
      <c r="M48" s="116">
        <f t="shared" si="23"/>
        <v>0</v>
      </c>
      <c r="N48" s="81">
        <f>IF(R13&gt;0.7,'Pradiniai duomenys'!$J$25,'Pradiniai duomenys'!$K$25)</f>
        <v>12.57423558897243</v>
      </c>
      <c r="O48" s="79" t="str">
        <f t="shared" si="22"/>
        <v>- grunto temperatūra</v>
      </c>
      <c r="R48" s="171"/>
      <c r="S48" s="91"/>
      <c r="T48" s="78"/>
      <c r="U48" s="78"/>
    </row>
    <row r="49" spans="1:21" x14ac:dyDescent="0.2">
      <c r="A49" s="107">
        <v>50</v>
      </c>
      <c r="B49" s="107">
        <v>60.3</v>
      </c>
      <c r="C49" s="157">
        <f t="shared" si="14"/>
        <v>66.650000000000006</v>
      </c>
      <c r="D49" s="157">
        <f t="shared" si="15"/>
        <v>193.6</v>
      </c>
      <c r="E49" s="157">
        <f t="shared" si="16"/>
        <v>200</v>
      </c>
      <c r="F49" s="157">
        <f t="shared" si="17"/>
        <v>0.35</v>
      </c>
      <c r="G49" s="108">
        <f t="shared" si="18"/>
        <v>9.3773800964958287</v>
      </c>
      <c r="H49" s="108">
        <f t="shared" si="19"/>
        <v>5.4534929488532153</v>
      </c>
      <c r="I49" s="108">
        <f t="shared" si="20"/>
        <v>7.7417591893758235</v>
      </c>
      <c r="J49" s="108">
        <f t="shared" si="21"/>
        <v>4.5219810485241627</v>
      </c>
      <c r="K49" s="116">
        <f>(G49+H49)*'TV tinklas'!F45*'Pradiniai duomenys'!E$25*0.00000115</f>
        <v>0</v>
      </c>
      <c r="L49" s="116">
        <f>(I49+J49)*'TV tinklas'!K45*'Pradiniai duomenys'!E$25*0.00000115</f>
        <v>0</v>
      </c>
      <c r="M49" s="116">
        <f t="shared" si="23"/>
        <v>0</v>
      </c>
      <c r="N49" s="81">
        <f>IF(R14&gt;0.7,'Pradiniai duomenys'!$J$25,'Pradiniai duomenys'!$K$25)</f>
        <v>12.57423558897243</v>
      </c>
      <c r="O49" s="79" t="str">
        <f t="shared" si="22"/>
        <v>- grunto temperatūra</v>
      </c>
      <c r="R49" s="171"/>
      <c r="S49" s="91"/>
      <c r="T49" s="78"/>
      <c r="U49" s="78"/>
    </row>
    <row r="50" spans="1:21" x14ac:dyDescent="0.2">
      <c r="A50" s="107">
        <v>65</v>
      </c>
      <c r="B50" s="107">
        <v>76.099999999999994</v>
      </c>
      <c r="C50" s="157">
        <f t="shared" si="14"/>
        <v>58.75</v>
      </c>
      <c r="D50" s="157">
        <f t="shared" si="15"/>
        <v>193.6</v>
      </c>
      <c r="E50" s="157">
        <f t="shared" si="16"/>
        <v>200</v>
      </c>
      <c r="F50" s="157">
        <f t="shared" si="17"/>
        <v>0.35</v>
      </c>
      <c r="G50" s="108">
        <f t="shared" si="18"/>
        <v>11.616680046765826</v>
      </c>
      <c r="H50" s="108">
        <f t="shared" si="19"/>
        <v>6.7148432034216112</v>
      </c>
      <c r="I50" s="108">
        <f t="shared" si="20"/>
        <v>9.604827620432161</v>
      </c>
      <c r="J50" s="108">
        <f t="shared" si="21"/>
        <v>5.5823499996978079</v>
      </c>
      <c r="K50" s="116">
        <f>(G50+H50)*'TV tinklas'!F46*'Pradiniai duomenys'!E$25*0.00000115</f>
        <v>0</v>
      </c>
      <c r="L50" s="116">
        <f>(I50+J50)*'TV tinklas'!K46*'Pradiniai duomenys'!E$25*0.00000115</f>
        <v>0</v>
      </c>
      <c r="M50" s="116">
        <f t="shared" si="23"/>
        <v>0</v>
      </c>
      <c r="N50" s="81">
        <f>IF(R15&gt;0.7,'Pradiniai duomenys'!$J$25,'Pradiniai duomenys'!$K$25)</f>
        <v>12.57423558897243</v>
      </c>
      <c r="O50" s="79" t="str">
        <f t="shared" si="22"/>
        <v>- grunto temperatūra</v>
      </c>
      <c r="R50" s="171"/>
      <c r="S50" s="91"/>
      <c r="T50" s="78"/>
      <c r="U50" s="78"/>
    </row>
    <row r="51" spans="1:21" x14ac:dyDescent="0.2">
      <c r="A51" s="107">
        <v>80</v>
      </c>
      <c r="B51" s="107">
        <v>88.9</v>
      </c>
      <c r="C51" s="157">
        <f t="shared" si="14"/>
        <v>52.349999999999994</v>
      </c>
      <c r="D51" s="157">
        <f t="shared" si="15"/>
        <v>193.6</v>
      </c>
      <c r="E51" s="157">
        <f t="shared" si="16"/>
        <v>200</v>
      </c>
      <c r="F51" s="157">
        <f t="shared" si="17"/>
        <v>0.35</v>
      </c>
      <c r="G51" s="108">
        <f t="shared" si="18"/>
        <v>13.820821167916332</v>
      </c>
      <c r="H51" s="108">
        <f t="shared" si="19"/>
        <v>7.9403289701016524</v>
      </c>
      <c r="I51" s="108">
        <f t="shared" si="20"/>
        <v>11.444306890989463</v>
      </c>
      <c r="J51" s="108">
        <f t="shared" si="21"/>
        <v>6.6183289998439978</v>
      </c>
      <c r="K51" s="116">
        <f>(G51+H51)*'TV tinklas'!F48*'Pradiniai duomenys'!E$25*0.00000115</f>
        <v>0</v>
      </c>
      <c r="L51" s="116">
        <f>(I51+J51)*'TV tinklas'!K48*'Pradiniai duomenys'!E$25*0.00000115</f>
        <v>0</v>
      </c>
      <c r="M51" s="116">
        <f t="shared" si="23"/>
        <v>0</v>
      </c>
      <c r="N51" s="81">
        <f>IF(R16&gt;0.7,'Pradiniai duomenys'!$J$25,'Pradiniai duomenys'!$K$25)</f>
        <v>12.57423558897243</v>
      </c>
      <c r="O51" s="79" t="str">
        <f t="shared" si="22"/>
        <v>- grunto temperatūra</v>
      </c>
      <c r="R51" s="171"/>
      <c r="S51" s="91"/>
      <c r="T51" s="78"/>
      <c r="U51" s="78"/>
    </row>
    <row r="52" spans="1:21" x14ac:dyDescent="0.2">
      <c r="A52" s="107">
        <v>100</v>
      </c>
      <c r="B52" s="107">
        <v>114.3</v>
      </c>
      <c r="C52" s="157">
        <f t="shared" si="14"/>
        <v>39.65</v>
      </c>
      <c r="D52" s="157">
        <f t="shared" si="15"/>
        <v>193.6</v>
      </c>
      <c r="E52" s="157">
        <f t="shared" si="16"/>
        <v>200</v>
      </c>
      <c r="F52" s="157">
        <f t="shared" si="17"/>
        <v>0.35</v>
      </c>
      <c r="G52" s="108">
        <f t="shared" si="18"/>
        <v>19.929491810766578</v>
      </c>
      <c r="H52" s="108">
        <f t="shared" si="19"/>
        <v>11.250597493095311</v>
      </c>
      <c r="I52" s="108">
        <f t="shared" si="20"/>
        <v>16.572793829612536</v>
      </c>
      <c r="J52" s="108">
        <f t="shared" si="21"/>
        <v>9.447528969470131</v>
      </c>
      <c r="K52" s="116">
        <f>(G52+H52)*'TV tinklas'!F49*'Pradiniai duomenys'!E$25*0.00000115</f>
        <v>0</v>
      </c>
      <c r="L52" s="116">
        <f>(I52+J52)*'TV tinklas'!K49*'Pradiniai duomenys'!E$25*0.00000115</f>
        <v>12.831141578683646</v>
      </c>
      <c r="M52" s="116">
        <f>SUM(K52:L52)</f>
        <v>12.831141578683646</v>
      </c>
      <c r="N52" s="81">
        <f>IF(R17&gt;0.7,'Pradiniai duomenys'!$J$25,'Pradiniai duomenys'!$K$25)</f>
        <v>12.57423558897243</v>
      </c>
      <c r="O52" s="79" t="str">
        <f t="shared" si="22"/>
        <v>- grunto temperatūra</v>
      </c>
      <c r="R52" s="171"/>
      <c r="S52" s="91"/>
      <c r="T52" s="78"/>
      <c r="U52" s="78"/>
    </row>
    <row r="53" spans="1:21" x14ac:dyDescent="0.2">
      <c r="A53" s="107">
        <v>125</v>
      </c>
      <c r="B53" s="107">
        <v>139.69999999999999</v>
      </c>
      <c r="C53" s="157">
        <f t="shared" si="14"/>
        <v>26.950000000000003</v>
      </c>
      <c r="D53" s="157">
        <f t="shared" si="15"/>
        <v>193.6</v>
      </c>
      <c r="E53" s="157">
        <f t="shared" si="16"/>
        <v>200</v>
      </c>
      <c r="F53" s="157">
        <f>E53/1000+0.25</f>
        <v>0.45</v>
      </c>
      <c r="G53" s="108">
        <f t="shared" si="18"/>
        <v>30.991081929171564</v>
      </c>
      <c r="H53" s="108">
        <f t="shared" si="19"/>
        <v>17.153485424798067</v>
      </c>
      <c r="I53" s="108">
        <f t="shared" si="20"/>
        <v>25.941817717949053</v>
      </c>
      <c r="J53" s="108">
        <f t="shared" si="21"/>
        <v>14.550496052981405</v>
      </c>
      <c r="K53" s="116">
        <f>(G53+H53)*'TV tinklas'!F50*'Pradiniai duomenys'!E$25*0.00000115</f>
        <v>0</v>
      </c>
      <c r="L53" s="116">
        <f>(I53+J53)*'TV tinklas'!K50*'Pradiniai duomenys'!E$25*0.00000115</f>
        <v>0</v>
      </c>
      <c r="M53" s="116">
        <f t="shared" si="23"/>
        <v>0</v>
      </c>
      <c r="N53" s="81">
        <f>IF(R18&gt;0.7,'Pradiniai duomenys'!$J$25,'Pradiniai duomenys'!$K$25)</f>
        <v>12.57423558897243</v>
      </c>
      <c r="O53" s="79" t="str">
        <f t="shared" si="22"/>
        <v>- grunto temperatūra</v>
      </c>
      <c r="R53" s="171"/>
      <c r="S53" s="91"/>
      <c r="T53" s="78"/>
      <c r="U53" s="78"/>
    </row>
    <row r="54" spans="1:21" x14ac:dyDescent="0.2">
      <c r="A54" s="107">
        <v>150</v>
      </c>
      <c r="B54" s="107">
        <v>168.3</v>
      </c>
      <c r="C54" s="157">
        <f t="shared" si="14"/>
        <v>12.649999999999991</v>
      </c>
      <c r="D54" s="157">
        <f t="shared" si="15"/>
        <v>193.6</v>
      </c>
      <c r="E54" s="157">
        <f t="shared" si="16"/>
        <v>200</v>
      </c>
      <c r="F54" s="157">
        <f t="shared" ref="F54:F65" si="24">E54/1000+0.25</f>
        <v>0.45</v>
      </c>
      <c r="G54" s="108">
        <f t="shared" si="18"/>
        <v>62.586410552702361</v>
      </c>
      <c r="H54" s="108">
        <f t="shared" si="19"/>
        <v>31.371170347700218</v>
      </c>
      <c r="I54" s="108">
        <f t="shared" si="20"/>
        <v>53.673177188652531</v>
      </c>
      <c r="J54" s="108">
        <f t="shared" si="21"/>
        <v>27.759785444895229</v>
      </c>
      <c r="K54" s="116">
        <f>(G54+H54)*'TV tinklas'!F51*'Pradiniai duomenys'!E$25*0.00000115</f>
        <v>0</v>
      </c>
      <c r="L54" s="116">
        <f>(I54+J54)*'TV tinklas'!K51*'Pradiniai duomenys'!E$25*0.00000115</f>
        <v>0</v>
      </c>
      <c r="M54" s="116">
        <f t="shared" si="23"/>
        <v>0</v>
      </c>
      <c r="N54" s="81">
        <f>IF(R19&gt;0.7,'Pradiniai duomenys'!$J$25,'Pradiniai duomenys'!$K$25)</f>
        <v>12.57423558897243</v>
      </c>
      <c r="O54" s="79" t="str">
        <f t="shared" si="22"/>
        <v>- grunto temperatūra</v>
      </c>
      <c r="R54" s="171"/>
      <c r="S54" s="91"/>
      <c r="T54" s="78"/>
      <c r="U54" s="78"/>
    </row>
    <row r="55" spans="1:21" x14ac:dyDescent="0.2">
      <c r="A55" s="107">
        <v>200</v>
      </c>
      <c r="B55" s="107">
        <v>219.1</v>
      </c>
      <c r="C55" s="157">
        <f t="shared" si="14"/>
        <v>-12.75</v>
      </c>
      <c r="D55" s="157">
        <f t="shared" si="15"/>
        <v>193.6</v>
      </c>
      <c r="E55" s="157">
        <f t="shared" si="16"/>
        <v>200</v>
      </c>
      <c r="F55" s="157">
        <f t="shared" si="24"/>
        <v>0.45</v>
      </c>
      <c r="G55" s="108">
        <f t="shared" si="18"/>
        <v>-123.97975502228404</v>
      </c>
      <c r="H55" s="108">
        <f t="shared" si="19"/>
        <v>-89.540560341585902</v>
      </c>
      <c r="I55" s="108">
        <f t="shared" si="20"/>
        <v>-96.375852140993203</v>
      </c>
      <c r="J55" s="108">
        <f t="shared" si="21"/>
        <v>-67.250072872013561</v>
      </c>
      <c r="K55" s="116">
        <f>(G55+H55)*'TV tinklas'!F53*'Pradiniai duomenys'!E$25*0.00000115</f>
        <v>0</v>
      </c>
      <c r="L55" s="116">
        <f>(I55+J55)*'TV tinklas'!K53*'Pradiniai duomenys'!E$25*0.00000115</f>
        <v>0</v>
      </c>
      <c r="M55" s="116">
        <f t="shared" si="23"/>
        <v>0</v>
      </c>
      <c r="N55" s="81">
        <f>IF(R20&gt;0.7,'Pradiniai duomenys'!$J$25,'Pradiniai duomenys'!$K$25)</f>
        <v>12.57423558897243</v>
      </c>
      <c r="O55" s="79" t="str">
        <f t="shared" si="22"/>
        <v>- grunto temperatūra</v>
      </c>
      <c r="R55" s="171"/>
      <c r="S55" s="91"/>
      <c r="T55" s="78"/>
      <c r="U55" s="78"/>
    </row>
    <row r="56" spans="1:21" x14ac:dyDescent="0.2">
      <c r="A56" s="107">
        <v>250</v>
      </c>
      <c r="B56" s="107">
        <v>273</v>
      </c>
      <c r="C56" s="157">
        <f t="shared" si="14"/>
        <v>-39.700000000000003</v>
      </c>
      <c r="D56" s="157">
        <f t="shared" si="15"/>
        <v>193.6</v>
      </c>
      <c r="E56" s="157">
        <f t="shared" si="16"/>
        <v>200</v>
      </c>
      <c r="F56" s="157">
        <f t="shared" si="24"/>
        <v>0.45</v>
      </c>
      <c r="G56" s="108">
        <f t="shared" si="18"/>
        <v>-36.724180410535453</v>
      </c>
      <c r="H56" s="108">
        <f t="shared" si="19"/>
        <v>-23.455682250795594</v>
      </c>
      <c r="I56" s="108">
        <f t="shared" si="20"/>
        <v>-29.546772014027468</v>
      </c>
      <c r="J56" s="108">
        <f t="shared" si="21"/>
        <v>-18.638196252670536</v>
      </c>
      <c r="K56" s="116">
        <f>(G56+H56)*'TV tinklas'!F54*'Pradiniai duomenys'!E$25*0.00000115</f>
        <v>0</v>
      </c>
      <c r="L56" s="116">
        <f>(I56+J56)*'TV tinklas'!K54*'Pradiniai duomenys'!E$25*0.00000115</f>
        <v>0</v>
      </c>
      <c r="M56" s="116">
        <f t="shared" si="23"/>
        <v>0</v>
      </c>
      <c r="N56" s="81">
        <f>IF(R21&gt;0.7,'Pradiniai duomenys'!$J$25,'Pradiniai duomenys'!$K$25)</f>
        <v>12.57423558897243</v>
      </c>
      <c r="O56" s="79" t="str">
        <f t="shared" si="22"/>
        <v>- grunto temperatūra</v>
      </c>
      <c r="R56" s="171"/>
      <c r="S56" s="91"/>
      <c r="T56" s="78"/>
      <c r="U56" s="78"/>
    </row>
    <row r="57" spans="1:21" x14ac:dyDescent="0.2">
      <c r="A57" s="107">
        <v>300</v>
      </c>
      <c r="B57" s="107">
        <v>323.89999999999998</v>
      </c>
      <c r="C57" s="157">
        <f t="shared" si="14"/>
        <v>-65.149999999999991</v>
      </c>
      <c r="D57" s="157">
        <f t="shared" si="15"/>
        <v>193.6</v>
      </c>
      <c r="E57" s="157">
        <f t="shared" si="16"/>
        <v>200</v>
      </c>
      <c r="F57" s="157">
        <f t="shared" si="24"/>
        <v>0.45</v>
      </c>
      <c r="G57" s="108">
        <f t="shared" si="18"/>
        <v>-23.644755810596813</v>
      </c>
      <c r="H57" s="108">
        <f t="shared" si="19"/>
        <v>-14.757874923914988</v>
      </c>
      <c r="I57" s="108">
        <f t="shared" si="20"/>
        <v>-19.149853078336125</v>
      </c>
      <c r="J57" s="108">
        <f t="shared" si="21"/>
        <v>-11.853365075748778</v>
      </c>
      <c r="K57" s="116">
        <f>(G57+H57)*'TV tinklas'!F55*'Pradiniai duomenys'!E$25*0.00000115</f>
        <v>0</v>
      </c>
      <c r="L57" s="116">
        <f>(I57+J57)*'TV tinklas'!K55*'Pradiniai duomenys'!E$25*0.00000115</f>
        <v>0</v>
      </c>
      <c r="M57" s="116">
        <f t="shared" si="23"/>
        <v>0</v>
      </c>
      <c r="N57" s="81">
        <f>IF(R22&gt;0.7,'Pradiniai duomenys'!$J$25,'Pradiniai duomenys'!$K$25)</f>
        <v>12.57423558897243</v>
      </c>
      <c r="O57" s="79" t="str">
        <f t="shared" si="22"/>
        <v>- grunto temperatūra</v>
      </c>
      <c r="R57" s="171"/>
      <c r="S57" s="91"/>
      <c r="T57" s="78"/>
      <c r="U57" s="78"/>
    </row>
    <row r="58" spans="1:21" x14ac:dyDescent="0.2">
      <c r="A58" s="107">
        <v>350</v>
      </c>
      <c r="B58" s="107">
        <v>355.6</v>
      </c>
      <c r="C58" s="157">
        <f t="shared" si="14"/>
        <v>-81.000000000000014</v>
      </c>
      <c r="D58" s="157">
        <f t="shared" si="15"/>
        <v>193.6</v>
      </c>
      <c r="E58" s="157">
        <f t="shared" si="16"/>
        <v>200</v>
      </c>
      <c r="F58" s="157">
        <f t="shared" si="24"/>
        <v>0.45</v>
      </c>
      <c r="G58" s="108">
        <f t="shared" si="18"/>
        <v>-19.789919634573852</v>
      </c>
      <c r="H58" s="108">
        <f t="shared" si="19"/>
        <v>-12.264236411078212</v>
      </c>
      <c r="I58" s="108">
        <f t="shared" si="20"/>
        <v>-16.060465094357642</v>
      </c>
      <c r="J58" s="108">
        <f t="shared" si="21"/>
        <v>-9.8831440571225251</v>
      </c>
      <c r="K58" s="116">
        <f>(G58+H58)*'TV tinklas'!F56*'Pradiniai duomenys'!E$25*0.00000115</f>
        <v>0</v>
      </c>
      <c r="L58" s="116">
        <f>(I58+J58)*'TV tinklas'!K56*'Pradiniai duomenys'!E$25*0.00000115</f>
        <v>0</v>
      </c>
      <c r="M58" s="116">
        <f t="shared" si="23"/>
        <v>0</v>
      </c>
      <c r="N58" s="81">
        <f>IF(R23&gt;0.7,'Pradiniai duomenys'!$J$25,'Pradiniai duomenys'!$K$25)</f>
        <v>12.57423558897243</v>
      </c>
      <c r="O58" s="79" t="str">
        <f t="shared" si="22"/>
        <v>- grunto temperatūra</v>
      </c>
      <c r="R58" s="171"/>
      <c r="S58" s="91"/>
      <c r="T58" s="78"/>
      <c r="U58" s="78"/>
    </row>
    <row r="59" spans="1:21" x14ac:dyDescent="0.2">
      <c r="A59" s="107">
        <v>400</v>
      </c>
      <c r="B59" s="107">
        <v>406.4</v>
      </c>
      <c r="C59" s="157">
        <f t="shared" si="14"/>
        <v>-106.39999999999999</v>
      </c>
      <c r="D59" s="157">
        <f t="shared" si="15"/>
        <v>193.6</v>
      </c>
      <c r="E59" s="157">
        <f t="shared" si="16"/>
        <v>200</v>
      </c>
      <c r="F59" s="157">
        <f t="shared" si="24"/>
        <v>0.45</v>
      </c>
      <c r="G59" s="108">
        <f t="shared" si="18"/>
        <v>-16.046567513552986</v>
      </c>
      <c r="H59" s="108">
        <f t="shared" si="19"/>
        <v>-9.8743297509911958</v>
      </c>
      <c r="I59" s="108">
        <f t="shared" si="20"/>
        <v>-13.048808049869251</v>
      </c>
      <c r="J59" s="108">
        <f t="shared" si="21"/>
        <v>-7.9833743208569317</v>
      </c>
      <c r="K59" s="116">
        <f>(G59+H59)*'TV tinklas'!F57*'Pradiniai duomenys'!E$25*0.00000115</f>
        <v>0</v>
      </c>
      <c r="L59" s="116">
        <f>(I59+J59)*'TV tinklas'!K57*'Pradiniai duomenys'!E$25*0.00000115</f>
        <v>0</v>
      </c>
      <c r="M59" s="116">
        <f t="shared" si="23"/>
        <v>0</v>
      </c>
      <c r="N59" s="81">
        <f>IF(R24&gt;0.7,'Pradiniai duomenys'!$J$25,'Pradiniai duomenys'!$K$25)</f>
        <v>12.57423558897243</v>
      </c>
      <c r="O59" s="79" t="str">
        <f t="shared" si="22"/>
        <v>- grunto temperatūra</v>
      </c>
      <c r="R59" s="171"/>
      <c r="S59" s="91"/>
      <c r="T59" s="78"/>
      <c r="U59" s="78"/>
    </row>
    <row r="60" spans="1:21" x14ac:dyDescent="0.2">
      <c r="A60" s="107">
        <v>450</v>
      </c>
      <c r="B60" s="107">
        <v>457.2</v>
      </c>
      <c r="C60" s="157">
        <f t="shared" si="14"/>
        <v>-131.80000000000001</v>
      </c>
      <c r="D60" s="157">
        <f t="shared" si="15"/>
        <v>193.6</v>
      </c>
      <c r="E60" s="157">
        <f t="shared" si="16"/>
        <v>200</v>
      </c>
      <c r="F60" s="157">
        <f t="shared" si="24"/>
        <v>0.45</v>
      </c>
      <c r="G60" s="108">
        <f t="shared" si="18"/>
        <v>-13.751373752236823</v>
      </c>
      <c r="H60" s="108">
        <f t="shared" si="19"/>
        <v>-8.4246930113727441</v>
      </c>
      <c r="I60" s="108">
        <f t="shared" si="20"/>
        <v>-11.196423787461796</v>
      </c>
      <c r="J60" s="108">
        <f t="shared" si="21"/>
        <v>-6.8252850473499604</v>
      </c>
      <c r="K60" s="116">
        <f>(G60+H60)*'TV tinklas'!F58*'Pradiniai duomenys'!E$25*0.00000115</f>
        <v>0</v>
      </c>
      <c r="L60" s="116">
        <f>(I60+J60)*'TV tinklas'!K58*'Pradiniai duomenys'!E$25*0.00000115</f>
        <v>0</v>
      </c>
      <c r="M60" s="116">
        <f t="shared" si="23"/>
        <v>0</v>
      </c>
      <c r="N60" s="81">
        <f>IF(R25&gt;0.7,'Pradiniai duomenys'!$J$25,'Pradiniai duomenys'!$K$25)</f>
        <v>12.57423558897243</v>
      </c>
      <c r="O60" s="79" t="str">
        <f t="shared" si="22"/>
        <v>- grunto temperatūra</v>
      </c>
      <c r="R60" s="171"/>
      <c r="S60" s="91"/>
      <c r="T60" s="78"/>
      <c r="U60" s="78"/>
    </row>
    <row r="61" spans="1:21" x14ac:dyDescent="0.2">
      <c r="A61" s="107">
        <v>500</v>
      </c>
      <c r="B61" s="107">
        <v>508</v>
      </c>
      <c r="C61" s="157">
        <f t="shared" si="14"/>
        <v>-157.19999999999999</v>
      </c>
      <c r="D61" s="157">
        <f t="shared" si="15"/>
        <v>193.6</v>
      </c>
      <c r="E61" s="157">
        <f t="shared" si="16"/>
        <v>200</v>
      </c>
      <c r="F61" s="157">
        <f t="shared" si="24"/>
        <v>0.45</v>
      </c>
      <c r="G61" s="108">
        <f t="shared" si="18"/>
        <v>-12.191221557900578</v>
      </c>
      <c r="H61" s="108">
        <f t="shared" si="19"/>
        <v>-7.4462280762262862</v>
      </c>
      <c r="I61" s="108">
        <f t="shared" si="20"/>
        <v>-9.9346889803307104</v>
      </c>
      <c r="J61" s="108">
        <f t="shared" si="21"/>
        <v>-6.0410583424831534</v>
      </c>
      <c r="K61" s="116">
        <f>(G61+H61)*'TV tinklas'!F59*'Pradiniai duomenys'!E$25*0.00000115</f>
        <v>0</v>
      </c>
      <c r="L61" s="116">
        <f>(I61+J61)*'TV tinklas'!K59*'Pradiniai duomenys'!E$25*0.00000115</f>
        <v>0</v>
      </c>
      <c r="M61" s="116">
        <f t="shared" si="23"/>
        <v>0</v>
      </c>
      <c r="N61" s="81">
        <f>IF(R26&gt;0.7,'Pradiniai duomenys'!$J$25,'Pradiniai duomenys'!$K$25)</f>
        <v>12.57423558897243</v>
      </c>
      <c r="O61" s="79" t="str">
        <f t="shared" si="22"/>
        <v>- grunto temperatūra</v>
      </c>
      <c r="R61" s="171"/>
      <c r="S61" s="91"/>
      <c r="T61" s="78"/>
      <c r="U61" s="78"/>
    </row>
    <row r="62" spans="1:21" x14ac:dyDescent="0.2">
      <c r="A62" s="107">
        <v>550</v>
      </c>
      <c r="B62" s="107">
        <v>558.79999999999995</v>
      </c>
      <c r="C62" s="157">
        <f t="shared" si="14"/>
        <v>-182.59999999999997</v>
      </c>
      <c r="D62" s="157">
        <f t="shared" si="15"/>
        <v>193.6</v>
      </c>
      <c r="E62" s="157">
        <f t="shared" si="16"/>
        <v>200</v>
      </c>
      <c r="F62" s="157">
        <f t="shared" si="24"/>
        <v>0.45</v>
      </c>
      <c r="G62" s="108">
        <f t="shared" si="18"/>
        <v>-11.056345083807049</v>
      </c>
      <c r="H62" s="108">
        <f t="shared" si="19"/>
        <v>-6.7380351099920395</v>
      </c>
      <c r="I62" s="108">
        <f t="shared" si="20"/>
        <v>-9.0155541927965874</v>
      </c>
      <c r="J62" s="108">
        <f t="shared" si="21"/>
        <v>-5.4721377831898357</v>
      </c>
      <c r="K62" s="116">
        <f>(G62+H62)*'TV tinklas'!F60*'Pradiniai duomenys'!E$25*0.00000115</f>
        <v>0</v>
      </c>
      <c r="L62" s="116">
        <f>(I62+J62)*'TV tinklas'!K60*'Pradiniai duomenys'!E$25*0.00000115</f>
        <v>0</v>
      </c>
      <c r="M62" s="116">
        <f>SUM(K62:L62)</f>
        <v>0</v>
      </c>
      <c r="N62" s="81">
        <f>IF(R27&gt;0.7,'Pradiniai duomenys'!$J$25,'Pradiniai duomenys'!$K$25)</f>
        <v>12.57423558897243</v>
      </c>
      <c r="O62" s="79" t="str">
        <f t="shared" si="22"/>
        <v>- grunto temperatūra</v>
      </c>
      <c r="R62" s="172"/>
      <c r="S62" s="91"/>
      <c r="T62" s="78"/>
      <c r="U62" s="78"/>
    </row>
    <row r="63" spans="1:21" x14ac:dyDescent="0.2">
      <c r="A63" s="154">
        <v>600</v>
      </c>
      <c r="B63" s="154">
        <v>609.6</v>
      </c>
      <c r="C63" s="157">
        <f t="shared" si="14"/>
        <v>-208</v>
      </c>
      <c r="D63" s="157">
        <f t="shared" si="15"/>
        <v>193.6</v>
      </c>
      <c r="E63" s="157">
        <f t="shared" si="16"/>
        <v>200</v>
      </c>
      <c r="F63" s="157">
        <f t="shared" si="24"/>
        <v>0.45</v>
      </c>
      <c r="G63" s="108">
        <f t="shared" si="18"/>
        <v>-10.190260079920154</v>
      </c>
      <c r="H63" s="108">
        <f t="shared" si="19"/>
        <v>-6.1996050833588665</v>
      </c>
      <c r="I63" s="108">
        <f t="shared" si="20"/>
        <v>-8.3133512131450846</v>
      </c>
      <c r="J63" s="108">
        <f t="shared" si="21"/>
        <v>-5.038843526138729</v>
      </c>
      <c r="K63" s="116">
        <f>(G63+H63)*'TV tinklas'!F60*'Pradiniai duomenys'!E$25*0.00000115</f>
        <v>0</v>
      </c>
      <c r="L63" s="116">
        <f>(I63+J63)*'TV tinklas'!K60*'Pradiniai duomenys'!E$25*0.00000115</f>
        <v>0</v>
      </c>
      <c r="M63" s="116">
        <f t="shared" si="23"/>
        <v>0</v>
      </c>
      <c r="N63" s="81">
        <f>IF(R28&gt;0.7,'Pradiniai duomenys'!$J$25,'Pradiniai duomenys'!$K$25)</f>
        <v>12.57423558897243</v>
      </c>
      <c r="O63" s="79" t="str">
        <f t="shared" si="22"/>
        <v>- grunto temperatūra</v>
      </c>
      <c r="R63" s="171"/>
      <c r="S63" s="91"/>
      <c r="T63" s="78"/>
      <c r="U63" s="78"/>
    </row>
    <row r="64" spans="1:21" x14ac:dyDescent="0.2">
      <c r="A64" s="107">
        <v>700</v>
      </c>
      <c r="B64" s="107">
        <v>711</v>
      </c>
      <c r="C64" s="157">
        <f t="shared" si="14"/>
        <v>-258.7</v>
      </c>
      <c r="D64" s="157">
        <f t="shared" si="15"/>
        <v>193.6</v>
      </c>
      <c r="E64" s="157">
        <f t="shared" si="16"/>
        <v>200</v>
      </c>
      <c r="F64" s="157">
        <f t="shared" si="24"/>
        <v>0.45</v>
      </c>
      <c r="G64" s="108">
        <f t="shared" si="18"/>
        <v>-8.9503216152679652</v>
      </c>
      <c r="H64" s="108">
        <f t="shared" si="19"/>
        <v>-5.4318366140528118</v>
      </c>
      <c r="I64" s="108">
        <f t="shared" si="20"/>
        <v>-7.3068770612924796</v>
      </c>
      <c r="J64" s="108">
        <f t="shared" si="21"/>
        <v>-4.419851274069547</v>
      </c>
      <c r="K64" s="116">
        <f>(G64+H64)*'TV tinklas'!F61*'Pradiniai duomenys'!E$25*0.00000115</f>
        <v>0</v>
      </c>
      <c r="L64" s="116">
        <f>(I64+J64)*'TV tinklas'!K61*'Pradiniai duomenys'!E$25*0.00000115</f>
        <v>0</v>
      </c>
      <c r="M64" s="116">
        <f t="shared" ref="M64:M69" si="25">SUM(K64:L64)</f>
        <v>0</v>
      </c>
      <c r="N64" s="81">
        <f>IF(R29&gt;0.7,'Pradiniai duomenys'!$J$25,'Pradiniai duomenys'!$K$25)</f>
        <v>12.57423558897243</v>
      </c>
      <c r="O64" s="79" t="str">
        <f t="shared" si="22"/>
        <v>- grunto temperatūra</v>
      </c>
      <c r="R64" s="171"/>
      <c r="S64" s="91"/>
      <c r="T64" s="78"/>
      <c r="U64" s="78"/>
    </row>
    <row r="65" spans="1:21" x14ac:dyDescent="0.2">
      <c r="A65" s="107">
        <v>800</v>
      </c>
      <c r="B65" s="107">
        <v>820</v>
      </c>
      <c r="C65" s="157">
        <f t="shared" si="14"/>
        <v>-313.2</v>
      </c>
      <c r="D65" s="157">
        <f t="shared" si="15"/>
        <v>193.6</v>
      </c>
      <c r="E65" s="157">
        <f t="shared" si="16"/>
        <v>200</v>
      </c>
      <c r="F65" s="157">
        <f t="shared" si="24"/>
        <v>0.45</v>
      </c>
      <c r="G65" s="108">
        <f t="shared" si="18"/>
        <v>-8.043058701351729</v>
      </c>
      <c r="H65" s="108">
        <f t="shared" si="19"/>
        <v>-4.8723727871815834</v>
      </c>
      <c r="I65" s="108">
        <f t="shared" si="20"/>
        <v>-6.5695679767513822</v>
      </c>
      <c r="J65" s="108">
        <f t="shared" si="21"/>
        <v>-3.9679410146792131</v>
      </c>
      <c r="K65" s="116">
        <f>(G65+H65)*'TV tinklas'!F62*'Pradiniai duomenys'!E$25*0.00000115</f>
        <v>0</v>
      </c>
      <c r="L65" s="116">
        <f>(I65+J65)*'TV tinklas'!K62*'Pradiniai duomenys'!E$25*0.00000115</f>
        <v>0</v>
      </c>
      <c r="M65" s="116">
        <f t="shared" si="25"/>
        <v>0</v>
      </c>
      <c r="N65" s="81">
        <f>IF(R30&gt;0.7,'Pradiniai duomenys'!$J$25,'Pradiniai duomenys'!$K$25)</f>
        <v>12.57423558897243</v>
      </c>
      <c r="O65" s="79" t="str">
        <f t="shared" si="22"/>
        <v>- grunto temperatūra</v>
      </c>
      <c r="R65" s="171"/>
      <c r="S65" s="91"/>
      <c r="T65" s="78"/>
      <c r="U65" s="78"/>
    </row>
    <row r="66" spans="1:21" x14ac:dyDescent="0.2">
      <c r="A66" s="107">
        <v>900</v>
      </c>
      <c r="B66" s="107">
        <v>914</v>
      </c>
      <c r="C66" s="157">
        <f t="shared" si="14"/>
        <v>-360.2</v>
      </c>
      <c r="D66" s="157">
        <f t="shared" si="15"/>
        <v>193.6</v>
      </c>
      <c r="E66" s="157">
        <f t="shared" si="16"/>
        <v>200</v>
      </c>
      <c r="F66" s="157">
        <f>E66/1000+0.25</f>
        <v>0.45</v>
      </c>
      <c r="G66" s="108">
        <f t="shared" si="18"/>
        <v>-7.4671079107615244</v>
      </c>
      <c r="H66" s="108">
        <f t="shared" si="19"/>
        <v>-4.5182325691587071</v>
      </c>
      <c r="I66" s="108">
        <f t="shared" si="20"/>
        <v>-6.1011223104729426</v>
      </c>
      <c r="J66" s="108">
        <f t="shared" si="21"/>
        <v>-3.6815030506309503</v>
      </c>
      <c r="K66" s="116">
        <f>(G66+H66)*'TV tinklas'!F63*'Pradiniai duomenys'!E$25*0.00000115</f>
        <v>0</v>
      </c>
      <c r="L66" s="116">
        <f>(I66+J66)*'TV tinklas'!K63*'Pradiniai duomenys'!E$25*0.00000115</f>
        <v>0</v>
      </c>
      <c r="M66" s="116">
        <f t="shared" si="25"/>
        <v>0</v>
      </c>
      <c r="N66" s="81">
        <f>IF(R31&gt;0.7,'Pradiniai duomenys'!$J$25,'Pradiniai duomenys'!$K$25)</f>
        <v>12.57423558897243</v>
      </c>
      <c r="O66" s="79" t="str">
        <f t="shared" si="22"/>
        <v>- grunto temperatūra</v>
      </c>
      <c r="R66" s="171"/>
      <c r="S66" s="91"/>
      <c r="T66" s="78"/>
      <c r="U66" s="78"/>
    </row>
    <row r="67" spans="1:21" x14ac:dyDescent="0.2">
      <c r="A67" s="107">
        <v>1000</v>
      </c>
      <c r="B67" s="107">
        <v>1016</v>
      </c>
      <c r="C67" s="157">
        <f t="shared" si="14"/>
        <v>-411.2</v>
      </c>
      <c r="D67" s="157">
        <f t="shared" si="15"/>
        <v>193.6</v>
      </c>
      <c r="E67" s="157">
        <f t="shared" si="16"/>
        <v>200</v>
      </c>
      <c r="F67" s="157">
        <f>E67/1000+0.25</f>
        <v>0.45</v>
      </c>
      <c r="G67" s="108">
        <f t="shared" si="18"/>
        <v>-6.9798416698954799</v>
      </c>
      <c r="H67" s="108">
        <f t="shared" si="19"/>
        <v>-4.2192438319482894</v>
      </c>
      <c r="I67" s="108">
        <f t="shared" si="20"/>
        <v>-5.7045725917300922</v>
      </c>
      <c r="J67" s="108">
        <f t="shared" si="21"/>
        <v>-3.4394419195145747</v>
      </c>
      <c r="K67" s="116">
        <f>(G67+H67)*'TV tinklas'!F64*'Pradiniai duomenys'!E$25*0.00000115</f>
        <v>0</v>
      </c>
      <c r="L67" s="116">
        <f>(I67+J67)*'TV tinklas'!K64*'Pradiniai duomenys'!E$25*0.00000115</f>
        <v>0</v>
      </c>
      <c r="M67" s="116">
        <f t="shared" si="25"/>
        <v>0</v>
      </c>
      <c r="N67" s="81">
        <f>IF(R32&gt;0.7,'Pradiniai duomenys'!$J$25,'Pradiniai duomenys'!$K$25)</f>
        <v>12.57423558897243</v>
      </c>
      <c r="O67" s="79" t="str">
        <f t="shared" si="22"/>
        <v>- grunto temperatūra</v>
      </c>
      <c r="R67" s="171"/>
      <c r="S67" s="91"/>
      <c r="T67" s="78"/>
      <c r="U67" s="78"/>
    </row>
    <row r="68" spans="1:21" x14ac:dyDescent="0.2">
      <c r="A68" s="107">
        <v>1100</v>
      </c>
      <c r="B68" s="107">
        <v>1118</v>
      </c>
      <c r="C68" s="157">
        <f t="shared" si="14"/>
        <v>-462.2</v>
      </c>
      <c r="D68" s="157">
        <f t="shared" si="15"/>
        <v>193.6</v>
      </c>
      <c r="E68" s="157">
        <f t="shared" si="16"/>
        <v>200</v>
      </c>
      <c r="F68" s="157">
        <f>E68/1000+0.25</f>
        <v>0.45</v>
      </c>
      <c r="G68" s="108">
        <f t="shared" si="18"/>
        <v>-6.5909221502594191</v>
      </c>
      <c r="H68" s="108">
        <f t="shared" si="19"/>
        <v>-3.9810109666046474</v>
      </c>
      <c r="I68" s="108">
        <f t="shared" si="20"/>
        <v>-5.387904711377125</v>
      </c>
      <c r="J68" s="108">
        <f t="shared" si="21"/>
        <v>-3.2464160752303242</v>
      </c>
      <c r="K68" s="116">
        <f>(G68+H68)*'TV tinklas'!F65*'Pradiniai duomenys'!E$25*0.00000115</f>
        <v>0</v>
      </c>
      <c r="L68" s="116">
        <f>(I68+J68)*'TV tinklas'!K65*'Pradiniai duomenys'!E$25*0.00000115</f>
        <v>0</v>
      </c>
      <c r="M68" s="116">
        <f t="shared" si="25"/>
        <v>0</v>
      </c>
      <c r="N68" s="81">
        <f>IF(R33&gt;0.7,'Pradiniai duomenys'!$J$25,'Pradiniai duomenys'!$K$25)</f>
        <v>12.57423558897243</v>
      </c>
      <c r="O68" s="79" t="str">
        <f t="shared" si="22"/>
        <v>- grunto temperatūra</v>
      </c>
      <c r="R68" s="171"/>
      <c r="S68" s="91"/>
      <c r="T68" s="78"/>
      <c r="U68" s="78"/>
    </row>
    <row r="69" spans="1:21" x14ac:dyDescent="0.2">
      <c r="A69" s="107">
        <v>1200</v>
      </c>
      <c r="B69" s="107">
        <v>1219</v>
      </c>
      <c r="C69" s="157">
        <f t="shared" si="14"/>
        <v>-512.70000000000005</v>
      </c>
      <c r="D69" s="157">
        <f t="shared" si="15"/>
        <v>193.6</v>
      </c>
      <c r="E69" s="157">
        <f t="shared" si="16"/>
        <v>200</v>
      </c>
      <c r="F69" s="157">
        <f>E69/1000+0.25</f>
        <v>0.45</v>
      </c>
      <c r="G69" s="108">
        <f t="shared" si="18"/>
        <v>-6.2748252132075937</v>
      </c>
      <c r="H69" s="108">
        <f t="shared" si="19"/>
        <v>-3.7876543697693759</v>
      </c>
      <c r="I69" s="108">
        <f t="shared" si="20"/>
        <v>-5.1304289080911829</v>
      </c>
      <c r="J69" s="108">
        <f t="shared" si="21"/>
        <v>-3.0896506414243836</v>
      </c>
      <c r="K69" s="116">
        <f>(G69+H69)*'TV tinklas'!F66*'Pradiniai duomenys'!E$25*0.00000115</f>
        <v>0</v>
      </c>
      <c r="L69" s="116">
        <f>(I69+J69)*'TV tinklas'!K66*'Pradiniai duomenys'!E$25*0.00000115</f>
        <v>0</v>
      </c>
      <c r="M69" s="116">
        <f t="shared" si="25"/>
        <v>0</v>
      </c>
      <c r="N69" s="81">
        <f>IF(R34&gt;0.7,'Pradiniai duomenys'!$J$25,'Pradiniai duomenys'!$K$25)</f>
        <v>12.57423558897243</v>
      </c>
      <c r="O69" s="79" t="str">
        <f t="shared" si="22"/>
        <v>- grunto temperatūra</v>
      </c>
      <c r="R69" s="171"/>
      <c r="S69" s="91"/>
      <c r="T69" s="78"/>
      <c r="U69" s="78"/>
    </row>
    <row r="70" spans="1:21" x14ac:dyDescent="0.2">
      <c r="A70" s="113" t="s">
        <v>40</v>
      </c>
      <c r="J70" s="113" t="s">
        <v>138</v>
      </c>
      <c r="K70" s="174">
        <f>SUM(K46:K69)</f>
        <v>0</v>
      </c>
      <c r="L70" s="174">
        <f>SUM(L46:L69)</f>
        <v>12.831141578683646</v>
      </c>
      <c r="M70" s="174">
        <f>SUM(M46:M69)</f>
        <v>12.831141578683646</v>
      </c>
      <c r="S70" s="91"/>
      <c r="T70" s="78"/>
      <c r="U70" s="78"/>
    </row>
    <row r="71" spans="1:21" x14ac:dyDescent="0.2">
      <c r="A71" s="112" t="s">
        <v>323</v>
      </c>
    </row>
    <row r="72" spans="1:21" x14ac:dyDescent="0.2">
      <c r="A72" s="112" t="s">
        <v>98</v>
      </c>
      <c r="O72" s="169"/>
    </row>
    <row r="73" spans="1:21" x14ac:dyDescent="0.2">
      <c r="A73" s="112" t="s">
        <v>324</v>
      </c>
      <c r="O73" s="169"/>
    </row>
  </sheetData>
  <protectedRanges>
    <protectedRange sqref="W11:X34 D11:E34" name="Range3"/>
    <protectedRange sqref="Y11:Y34 F11:F34" name="Range1"/>
    <protectedRange sqref="V11:V34 H11:H34" name="Range2"/>
  </protectedRanges>
  <mergeCells count="39">
    <mergeCell ref="I8:I10"/>
    <mergeCell ref="F8:F10"/>
    <mergeCell ref="C43:C45"/>
    <mergeCell ref="N43:N45"/>
    <mergeCell ref="G43:H44"/>
    <mergeCell ref="I43:J44"/>
    <mergeCell ref="E43:E45"/>
    <mergeCell ref="F43:F45"/>
    <mergeCell ref="K43:K45"/>
    <mergeCell ref="L43:L45"/>
    <mergeCell ref="M43:M45"/>
    <mergeCell ref="D43:D45"/>
    <mergeCell ref="A43:B43"/>
    <mergeCell ref="A44:A45"/>
    <mergeCell ref="B44:B45"/>
    <mergeCell ref="A8:B8"/>
    <mergeCell ref="A9:A10"/>
    <mergeCell ref="B9:B10"/>
    <mergeCell ref="A2:P2"/>
    <mergeCell ref="A3:P3"/>
    <mergeCell ref="U8:U10"/>
    <mergeCell ref="S8:S10"/>
    <mergeCell ref="H8:H10"/>
    <mergeCell ref="T8:T10"/>
    <mergeCell ref="R8:R10"/>
    <mergeCell ref="N8:N10"/>
    <mergeCell ref="C8:C10"/>
    <mergeCell ref="E8:E10"/>
    <mergeCell ref="D8:D10"/>
    <mergeCell ref="P8:P10"/>
    <mergeCell ref="G8:G10"/>
    <mergeCell ref="L8:M9"/>
    <mergeCell ref="J8:K9"/>
    <mergeCell ref="O8:O10"/>
    <mergeCell ref="Z9:Z10"/>
    <mergeCell ref="V8:V10"/>
    <mergeCell ref="W8:W10"/>
    <mergeCell ref="X8:X10"/>
    <mergeCell ref="Y8:Y10"/>
  </mergeCells>
  <phoneticPr fontId="5" type="noConversion"/>
  <printOptions horizontalCentered="1" verticalCentered="1"/>
  <pageMargins left="0.4" right="0.4" top="0.98425196850393704" bottom="0.98425196850393704" header="0.51181102362204722" footer="0.51181102362204722"/>
  <pageSetup paperSize="9" orientation="landscape" horizontalDpi="4294967293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699F-6A97-480A-AEDB-1E905CAA515C}">
  <dimension ref="A1:U73"/>
  <sheetViews>
    <sheetView showGridLines="0" showZeros="0" workbookViewId="0">
      <selection activeCell="P18" sqref="P18"/>
    </sheetView>
  </sheetViews>
  <sheetFormatPr defaultColWidth="9.33203125" defaultRowHeight="12.75" x14ac:dyDescent="0.2"/>
  <cols>
    <col min="1" max="2" width="11.33203125" style="112" customWidth="1"/>
    <col min="3" max="3" width="12.6640625" style="112" customWidth="1"/>
    <col min="4" max="13" width="11.33203125" style="112" customWidth="1"/>
    <col min="14" max="14" width="11.83203125" style="112" customWidth="1"/>
    <col min="15" max="16" width="11.33203125" style="112" customWidth="1"/>
    <col min="17" max="17" width="5" style="112" customWidth="1"/>
    <col min="18" max="18" width="20.5" style="112" customWidth="1"/>
    <col min="19" max="19" width="14.33203125" style="112" customWidth="1"/>
    <col min="20" max="20" width="21" style="112" customWidth="1"/>
    <col min="21" max="21" width="22.6640625" style="112" customWidth="1"/>
    <col min="22" max="16384" width="9.33203125" style="1"/>
  </cols>
  <sheetData>
    <row r="1" spans="1:21" x14ac:dyDescent="0.2">
      <c r="A1" s="67">
        <f>'Pradiniai duomenys'!A1</f>
        <v>0</v>
      </c>
    </row>
    <row r="2" spans="1:21" ht="15.75" x14ac:dyDescent="0.25">
      <c r="A2" s="584" t="s">
        <v>325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21" ht="15.75" x14ac:dyDescent="0.25">
      <c r="A3" s="584" t="s">
        <v>312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</row>
    <row r="4" spans="1:21" x14ac:dyDescent="0.2">
      <c r="A4" s="253" t="s">
        <v>279</v>
      </c>
    </row>
    <row r="5" spans="1:21" hidden="1" x14ac:dyDescent="0.2">
      <c r="M5" s="165" t="s">
        <v>192</v>
      </c>
      <c r="N5" s="321">
        <f>'Pradiniai duomenys'!J32</f>
        <v>3.3000000000000002E-2</v>
      </c>
      <c r="O5" s="67" t="s">
        <v>194</v>
      </c>
    </row>
    <row r="6" spans="1:21" hidden="1" x14ac:dyDescent="0.2">
      <c r="A6" s="113"/>
      <c r="M6" s="165" t="s">
        <v>193</v>
      </c>
      <c r="N6" s="321">
        <f>'Pradiniai duomenys'!J33</f>
        <v>2.7E-2</v>
      </c>
      <c r="O6" s="67" t="s">
        <v>194</v>
      </c>
    </row>
    <row r="7" spans="1:21" hidden="1" x14ac:dyDescent="0.2">
      <c r="M7" s="166" t="s">
        <v>201</v>
      </c>
      <c r="N7" s="167">
        <f>'Pradiniai duomenys'!J31</f>
        <v>2</v>
      </c>
      <c r="O7" s="67" t="s">
        <v>194</v>
      </c>
    </row>
    <row r="8" spans="1:21" ht="12.75" customHeight="1" x14ac:dyDescent="0.2">
      <c r="A8" s="576" t="s">
        <v>97</v>
      </c>
      <c r="B8" s="601"/>
      <c r="C8" s="577" t="s">
        <v>209</v>
      </c>
      <c r="D8" s="577" t="s">
        <v>243</v>
      </c>
      <c r="E8" s="577" t="s">
        <v>210</v>
      </c>
      <c r="F8" s="600" t="s">
        <v>179</v>
      </c>
      <c r="G8" s="600" t="s">
        <v>212</v>
      </c>
      <c r="H8" s="600" t="s">
        <v>183</v>
      </c>
      <c r="I8" s="577" t="s">
        <v>215</v>
      </c>
      <c r="J8" s="596" t="s">
        <v>320</v>
      </c>
      <c r="K8" s="597"/>
      <c r="L8" s="596" t="s">
        <v>321</v>
      </c>
      <c r="M8" s="597"/>
      <c r="N8" s="593" t="s">
        <v>216</v>
      </c>
      <c r="O8" s="593" t="s">
        <v>322</v>
      </c>
      <c r="P8" s="593" t="s">
        <v>218</v>
      </c>
      <c r="R8" s="617" t="s">
        <v>289</v>
      </c>
      <c r="S8" s="617" t="s">
        <v>180</v>
      </c>
      <c r="T8" s="575" t="s">
        <v>184</v>
      </c>
      <c r="U8" s="575" t="s">
        <v>185</v>
      </c>
    </row>
    <row r="9" spans="1:21" ht="13.5" customHeight="1" x14ac:dyDescent="0.2">
      <c r="A9" s="577" t="s">
        <v>213</v>
      </c>
      <c r="B9" s="577" t="s">
        <v>214</v>
      </c>
      <c r="C9" s="578"/>
      <c r="D9" s="578"/>
      <c r="E9" s="578"/>
      <c r="F9" s="600"/>
      <c r="G9" s="600"/>
      <c r="H9" s="600"/>
      <c r="I9" s="578"/>
      <c r="J9" s="598"/>
      <c r="K9" s="599"/>
      <c r="L9" s="598"/>
      <c r="M9" s="599"/>
      <c r="N9" s="594"/>
      <c r="O9" s="594"/>
      <c r="P9" s="594"/>
      <c r="R9" s="618"/>
      <c r="S9" s="618"/>
      <c r="T9" s="575"/>
      <c r="U9" s="575"/>
    </row>
    <row r="10" spans="1:21" ht="47.25" customHeight="1" x14ac:dyDescent="0.2">
      <c r="A10" s="579"/>
      <c r="B10" s="579"/>
      <c r="C10" s="579"/>
      <c r="D10" s="579"/>
      <c r="E10" s="579"/>
      <c r="F10" s="600"/>
      <c r="G10" s="600"/>
      <c r="H10" s="600"/>
      <c r="I10" s="592"/>
      <c r="J10" s="106">
        <f>'Pradiniai duomenys'!C13</f>
        <v>71.482161285566846</v>
      </c>
      <c r="K10" s="106">
        <f>'Pradiniai duomenys'!D13</f>
        <v>43.67489901223648</v>
      </c>
      <c r="L10" s="106">
        <f>'Pradiniai duomenys'!C13</f>
        <v>71.482161285566846</v>
      </c>
      <c r="M10" s="106">
        <f>'Pradiniai duomenys'!D13</f>
        <v>43.67489901223648</v>
      </c>
      <c r="N10" s="599"/>
      <c r="O10" s="595"/>
      <c r="P10" s="595"/>
      <c r="R10" s="619"/>
      <c r="S10" s="619"/>
      <c r="T10" s="575"/>
      <c r="U10" s="575"/>
    </row>
    <row r="11" spans="1:21" x14ac:dyDescent="0.2">
      <c r="A11" s="157">
        <v>25</v>
      </c>
      <c r="B11" s="321">
        <v>33.700000000000003</v>
      </c>
      <c r="C11" s="176">
        <v>25</v>
      </c>
      <c r="D11" s="117">
        <v>3</v>
      </c>
      <c r="E11" s="314">
        <f>(G11-B11)/2</f>
        <v>35.15</v>
      </c>
      <c r="F11" s="117">
        <v>110</v>
      </c>
      <c r="G11" s="157">
        <f>F11-2*D11</f>
        <v>104</v>
      </c>
      <c r="H11" s="316">
        <v>0.75</v>
      </c>
      <c r="I11" s="107">
        <f t="shared" ref="I11:I17" si="0">F11/1000+0.15</f>
        <v>0.26</v>
      </c>
      <c r="J11" s="115">
        <f t="shared" ref="J11:J34" si="1">($J$10-T11)/((($N$7/$N$5*LN(G11/B11)+LN(R11/B11*1000))^2+LN(SQRT(((I11)^2+(R11+R11)^2)/((I11)^2+(R11-R11)^2))))/(6.28*$N$7*($N$7/$N$5*LN(G11/B11)+LN(R11/B11*1000)-($K$10-T11)/($J$10-T11)*LN(SQRT(((I11)^2+(R11+R11)^2)/((I11)^2+(R11-R11)^2))))))</f>
        <v>11.541656029188022</v>
      </c>
      <c r="K11" s="115">
        <f t="shared" ref="K11:K34" si="2">($K$10-T11)/((($N$7/$N$5*LN(G11/B11)+LN(R11/B11*1000))^2+LN(SQRT(((I11)^2+(R11+R11)^2)/((I11)^2+(R11-R11)^2))))/(6.28*$N$7*($N$7/$N$5*LN(G11/B11)+LN(R11/B11*1000)-($J$10-T11)/($K$10-T11)*LN(SQRT(((I11)^2+(R11+R11)^2)/((I11)^2+(R11-R11)^2))))))</f>
        <v>6.5311052076953464</v>
      </c>
      <c r="L11" s="115">
        <f t="shared" ref="L11:L34" si="3">($L$10-T11)/((($N$7/$N$6*LN(G11/B11)+LN(R11/B11*1000))^2+LN(SQRT(((I11)^2+(R11+R11)^2)/((I11)^2+(R11-R11)^2))))/(6.28*$N$7*($N$7/$N$6*LN(G11/B11)+LN(R11/B11*1000)-($M$10-T11)/($L$10-T11)*LN(SQRT(((I11)^2+(R11+R11)^2)/((I11)^2+(R11-R11)^2))))))</f>
        <v>9.5464843531964707</v>
      </c>
      <c r="M11" s="115">
        <f t="shared" ref="M11:M34" si="4">($M$10-T11)/((($N$7/$N$6*LN(G11/B11)+LN(R11/B11*1000))^2+LN(SQRT(((I11)^2+(R11+R11)^2)/((I11)^2+(R11-R11)^2))))/(6.28*$N$7*($N$7/$N$6*LN(G11/B11)+LN(R11/B11*1000)-($L$10-T11)/($M$10-T11)*LN(SQRT(((I11)^2+(R11+R11)^2)/((I11)^2+(R11-R11)^2))))))</f>
        <v>5.4312381823316604</v>
      </c>
      <c r="N11" s="116">
        <f>(J11+K11)*'TV tinklas'!F9*'Pradiniai duomenys'!E$13*0.00000115</f>
        <v>0</v>
      </c>
      <c r="O11" s="116">
        <f>(L11+M11)*'TV tinklas'!K9*'Pradiniai duomenys'!E$13*0.00000115</f>
        <v>0</v>
      </c>
      <c r="P11" s="116">
        <f>SUM(N11:O11)</f>
        <v>0</v>
      </c>
      <c r="R11" s="321">
        <f t="shared" ref="R11:R34" si="5">H11+(F11/1000/2)</f>
        <v>0.80500000000000005</v>
      </c>
      <c r="S11" s="179">
        <f t="shared" ref="S11:S34" si="6">H11+F11/1000+0.1</f>
        <v>0.96</v>
      </c>
      <c r="T11" s="81">
        <f>IF(R11&gt;0.7,'Pradiniai duomenys'!$J$13,'Pradiniai duomenys'!$K$13)</f>
        <v>4.784151555358986</v>
      </c>
      <c r="U11" s="79" t="str">
        <f>IF(R11&gt;0.7,"- grunto temperatūra","- aplinkos oro temperatūra")</f>
        <v>- grunto temperatūra</v>
      </c>
    </row>
    <row r="12" spans="1:21" x14ac:dyDescent="0.2">
      <c r="A12" s="157">
        <v>32</v>
      </c>
      <c r="B12" s="321">
        <v>42.4</v>
      </c>
      <c r="C12" s="176">
        <v>30.8</v>
      </c>
      <c r="D12" s="117">
        <v>3</v>
      </c>
      <c r="E12" s="314">
        <f>(G12-B12)/2</f>
        <v>38.299999999999997</v>
      </c>
      <c r="F12" s="117">
        <v>125</v>
      </c>
      <c r="G12" s="157">
        <f t="shared" ref="G12:G34" si="7">F12-2*D12</f>
        <v>119</v>
      </c>
      <c r="H12" s="316">
        <v>0.75</v>
      </c>
      <c r="I12" s="107">
        <f t="shared" si="0"/>
        <v>0.27500000000000002</v>
      </c>
      <c r="J12" s="115">
        <f t="shared" si="1"/>
        <v>12.581186475342617</v>
      </c>
      <c r="K12" s="115">
        <f t="shared" si="2"/>
        <v>7.1052361381293396</v>
      </c>
      <c r="L12" s="115">
        <f t="shared" si="3"/>
        <v>10.409596020863743</v>
      </c>
      <c r="M12" s="115">
        <f t="shared" si="4"/>
        <v>5.9126870884997995</v>
      </c>
      <c r="N12" s="116">
        <f>(J12+K12)*'TV tinklas'!F10*'Pradiniai duomenys'!E$13*0.00000115</f>
        <v>0</v>
      </c>
      <c r="O12" s="116">
        <f>(L12+M12)*'TV tinklas'!K10*'Pradiniai duomenys'!E$13*0.00000115</f>
        <v>0</v>
      </c>
      <c r="P12" s="116">
        <f t="shared" ref="P12:P34" si="8">SUM(N12:O12)</f>
        <v>0</v>
      </c>
      <c r="R12" s="321">
        <f t="shared" si="5"/>
        <v>0.8125</v>
      </c>
      <c r="S12" s="179">
        <f t="shared" si="6"/>
        <v>0.97499999999999998</v>
      </c>
      <c r="T12" s="81">
        <f>IF(R12&gt;0.7,'Pradiniai duomenys'!$J$13,'Pradiniai duomenys'!$K$13)</f>
        <v>4.784151555358986</v>
      </c>
      <c r="U12" s="79" t="str">
        <f t="shared" ref="U12:U34" si="9">IF(R12&gt;0.7,"- grunto temperatūra","- aplinkos oro temperatūra")</f>
        <v>- grunto temperatūra</v>
      </c>
    </row>
    <row r="13" spans="1:21" x14ac:dyDescent="0.2">
      <c r="A13" s="157">
        <v>40</v>
      </c>
      <c r="B13" s="321">
        <v>48.3</v>
      </c>
      <c r="C13" s="176">
        <v>27.85</v>
      </c>
      <c r="D13" s="117">
        <v>3</v>
      </c>
      <c r="E13" s="314">
        <f t="shared" ref="E13:E34" si="10">(G13-B13)/2</f>
        <v>35.35</v>
      </c>
      <c r="F13" s="117">
        <v>125</v>
      </c>
      <c r="G13" s="157">
        <f t="shared" si="7"/>
        <v>119</v>
      </c>
      <c r="H13" s="316">
        <v>0.75</v>
      </c>
      <c r="I13" s="107">
        <f t="shared" si="0"/>
        <v>0.27500000000000002</v>
      </c>
      <c r="J13" s="115">
        <f t="shared" si="1"/>
        <v>14.304027187732579</v>
      </c>
      <c r="K13" s="115">
        <f t="shared" si="2"/>
        <v>8.0409044997598702</v>
      </c>
      <c r="L13" s="115">
        <f t="shared" si="3"/>
        <v>11.848908830884204</v>
      </c>
      <c r="M13" s="115">
        <f t="shared" si="4"/>
        <v>6.7047287085439411</v>
      </c>
      <c r="N13" s="116">
        <f>(J13+K13)*'TV tinklas'!F11*'Pradiniai duomenys'!E$13*0.00000115</f>
        <v>0</v>
      </c>
      <c r="O13" s="116">
        <f>(L13+M13)*'TV tinklas'!K11*'Pradiniai duomenys'!E$13*0.00000115</f>
        <v>0</v>
      </c>
      <c r="P13" s="116">
        <f t="shared" si="8"/>
        <v>0</v>
      </c>
      <c r="R13" s="321">
        <f t="shared" si="5"/>
        <v>0.8125</v>
      </c>
      <c r="S13" s="179">
        <f t="shared" si="6"/>
        <v>0.97499999999999998</v>
      </c>
      <c r="T13" s="81">
        <f>IF(R13&gt;0.7,'Pradiniai duomenys'!$J$13,'Pradiniai duomenys'!$K$13)</f>
        <v>4.784151555358986</v>
      </c>
      <c r="U13" s="79" t="str">
        <f t="shared" si="9"/>
        <v>- grunto temperatūra</v>
      </c>
    </row>
    <row r="14" spans="1:21" x14ac:dyDescent="0.2">
      <c r="A14" s="157">
        <v>50</v>
      </c>
      <c r="B14" s="321">
        <v>60.3</v>
      </c>
      <c r="C14" s="176">
        <v>29.35</v>
      </c>
      <c r="D14" s="117">
        <v>3</v>
      </c>
      <c r="E14" s="314">
        <f t="shared" si="10"/>
        <v>36.85</v>
      </c>
      <c r="F14" s="117">
        <v>140</v>
      </c>
      <c r="G14" s="157">
        <f t="shared" si="7"/>
        <v>134</v>
      </c>
      <c r="H14" s="316">
        <v>0.75</v>
      </c>
      <c r="I14" s="107">
        <f t="shared" si="0"/>
        <v>0.29000000000000004</v>
      </c>
      <c r="J14" s="115">
        <f t="shared" si="1"/>
        <v>16.085589901772941</v>
      </c>
      <c r="K14" s="115">
        <f t="shared" si="2"/>
        <v>9.0080389534883665</v>
      </c>
      <c r="L14" s="115">
        <f t="shared" si="3"/>
        <v>13.33455112675543</v>
      </c>
      <c r="M14" s="115">
        <f t="shared" si="4"/>
        <v>7.5219305607019562</v>
      </c>
      <c r="N14" s="116">
        <f>(J14+K14)*'TV tinklas'!F12*'Pradiniai duomenys'!E$13*0.00000115</f>
        <v>0</v>
      </c>
      <c r="O14" s="116">
        <f>(L14+M14)*'TV tinklas'!K12*'Pradiniai duomenys'!E$13*0.00000115</f>
        <v>0</v>
      </c>
      <c r="P14" s="116">
        <f t="shared" si="8"/>
        <v>0</v>
      </c>
      <c r="R14" s="321">
        <f t="shared" si="5"/>
        <v>0.82000000000000006</v>
      </c>
      <c r="S14" s="179">
        <f t="shared" si="6"/>
        <v>0.99</v>
      </c>
      <c r="T14" s="81">
        <f>IF(R14&gt;0.7,'Pradiniai duomenys'!$J$13,'Pradiniai duomenys'!$K$13)</f>
        <v>4.784151555358986</v>
      </c>
      <c r="U14" s="79" t="str">
        <f t="shared" si="9"/>
        <v>- grunto temperatūra</v>
      </c>
    </row>
    <row r="15" spans="1:21" x14ac:dyDescent="0.2">
      <c r="A15" s="157">
        <v>65</v>
      </c>
      <c r="B15" s="321">
        <v>76.099999999999994</v>
      </c>
      <c r="C15" s="176">
        <v>28.95</v>
      </c>
      <c r="D15" s="117">
        <v>3</v>
      </c>
      <c r="E15" s="314">
        <f t="shared" si="10"/>
        <v>38.950000000000003</v>
      </c>
      <c r="F15" s="117">
        <v>160</v>
      </c>
      <c r="G15" s="157">
        <f t="shared" si="7"/>
        <v>154</v>
      </c>
      <c r="H15" s="316">
        <v>0.75</v>
      </c>
      <c r="I15" s="107">
        <f t="shared" si="0"/>
        <v>0.31</v>
      </c>
      <c r="J15" s="115">
        <f t="shared" si="1"/>
        <v>18.148399501928104</v>
      </c>
      <c r="K15" s="115">
        <f t="shared" si="2"/>
        <v>10.12190979232876</v>
      </c>
      <c r="L15" s="115">
        <f t="shared" si="3"/>
        <v>15.055452208135868</v>
      </c>
      <c r="M15" s="115">
        <f t="shared" si="4"/>
        <v>8.4644769985195953</v>
      </c>
      <c r="N15" s="116">
        <f>(J15+K15)*'TV tinklas'!F13*'Pradiniai duomenys'!E$13*0.00000115</f>
        <v>0</v>
      </c>
      <c r="O15" s="116">
        <f>(L15+M15)*'TV tinklas'!K13*'Pradiniai duomenys'!E$13*0.00000115</f>
        <v>0</v>
      </c>
      <c r="P15" s="116">
        <f t="shared" si="8"/>
        <v>0</v>
      </c>
      <c r="R15" s="321">
        <f t="shared" si="5"/>
        <v>0.83</v>
      </c>
      <c r="S15" s="179">
        <f t="shared" si="6"/>
        <v>1.01</v>
      </c>
      <c r="T15" s="81">
        <f>IF(R15&gt;0.7,'Pradiniai duomenys'!$J$13,'Pradiniai duomenys'!$K$13)</f>
        <v>4.784151555358986</v>
      </c>
      <c r="U15" s="79" t="str">
        <f t="shared" si="9"/>
        <v>- grunto temperatūra</v>
      </c>
    </row>
    <row r="16" spans="1:21" x14ac:dyDescent="0.2">
      <c r="A16" s="157">
        <v>80</v>
      </c>
      <c r="B16" s="321">
        <v>88.9</v>
      </c>
      <c r="C16" s="176">
        <v>32.549999999999997</v>
      </c>
      <c r="D16" s="117">
        <v>3</v>
      </c>
      <c r="E16" s="314">
        <f t="shared" si="10"/>
        <v>42.55</v>
      </c>
      <c r="F16" s="117">
        <v>180</v>
      </c>
      <c r="G16" s="157">
        <f t="shared" si="7"/>
        <v>174</v>
      </c>
      <c r="H16" s="316">
        <v>0.75</v>
      </c>
      <c r="I16" s="107">
        <f t="shared" si="0"/>
        <v>0.32999999999999996</v>
      </c>
      <c r="J16" s="115">
        <f t="shared" si="1"/>
        <v>19.053703062830092</v>
      </c>
      <c r="K16" s="115">
        <f t="shared" si="2"/>
        <v>10.616837453665152</v>
      </c>
      <c r="L16" s="115">
        <f t="shared" si="3"/>
        <v>15.806129246422321</v>
      </c>
      <c r="M16" s="115">
        <f t="shared" si="4"/>
        <v>8.8797737625874102</v>
      </c>
      <c r="N16" s="116">
        <f>(J16+K16)*'TV tinklas'!F15*'Pradiniai duomenys'!E$13*0.00000115</f>
        <v>0</v>
      </c>
      <c r="O16" s="116">
        <f>(L16+M16)*'TV tinklas'!K15*'Pradiniai duomenys'!E$13*0.00000115</f>
        <v>0</v>
      </c>
      <c r="P16" s="116">
        <f t="shared" si="8"/>
        <v>0</v>
      </c>
      <c r="R16" s="321">
        <f t="shared" si="5"/>
        <v>0.84</v>
      </c>
      <c r="S16" s="179">
        <f t="shared" si="6"/>
        <v>1.03</v>
      </c>
      <c r="T16" s="81">
        <f>IF(R16&gt;0.7,'Pradiniai duomenys'!$J$13,'Pradiniai duomenys'!$K$13)</f>
        <v>4.784151555358986</v>
      </c>
      <c r="U16" s="79" t="str">
        <f t="shared" si="9"/>
        <v>- grunto temperatūra</v>
      </c>
    </row>
    <row r="17" spans="1:21" x14ac:dyDescent="0.2">
      <c r="A17" s="157">
        <v>100</v>
      </c>
      <c r="B17" s="321">
        <v>114.3</v>
      </c>
      <c r="C17" s="176">
        <v>39.65</v>
      </c>
      <c r="D17" s="117">
        <v>3.4</v>
      </c>
      <c r="E17" s="314">
        <f t="shared" si="10"/>
        <v>51.949999999999996</v>
      </c>
      <c r="F17" s="117">
        <v>225</v>
      </c>
      <c r="G17" s="157">
        <f>F17-2*D17</f>
        <v>218.2</v>
      </c>
      <c r="H17" s="316">
        <v>0.75</v>
      </c>
      <c r="I17" s="107">
        <f t="shared" si="0"/>
        <v>0.375</v>
      </c>
      <c r="J17" s="115">
        <f t="shared" si="1"/>
        <v>19.865485121468893</v>
      </c>
      <c r="K17" s="115">
        <f t="shared" si="2"/>
        <v>11.07936011190689</v>
      </c>
      <c r="L17" s="115">
        <f>($L$10-T17)/((($N$7/$N$6*LN(G17/B17)+LN(R17/B17*1000))^2+LN(SQRT(((I17)^2+(R17+R17)^2)/((I17)^2+(R17-R17)^2))))/(6.28*$N$7*($N$7/$N$6*LN(G17/B17)+LN(R17/B17*1000)-($M$10-T17)/($L$10-T17)*LN(SQRT(((I17)^2+(R17+R17)^2)/((I17)^2+(R17-R17)^2))))))</f>
        <v>16.468718491573089</v>
      </c>
      <c r="M17" s="115">
        <f t="shared" si="4"/>
        <v>9.2591460159510852</v>
      </c>
      <c r="N17" s="116">
        <f>(J17+K17)*'TV tinklas'!F16*'Pradiniai duomenys'!E$13*0.00000115</f>
        <v>0</v>
      </c>
      <c r="O17" s="116">
        <f>(L17+M17)*'TV tinklas'!K16*'Pradiniai duomenys'!E$13*0.00000115</f>
        <v>13.254995794276454</v>
      </c>
      <c r="P17" s="116">
        <f t="shared" si="8"/>
        <v>13.254995794276454</v>
      </c>
      <c r="R17" s="321">
        <f t="shared" si="5"/>
        <v>0.86250000000000004</v>
      </c>
      <c r="S17" s="179">
        <f t="shared" si="6"/>
        <v>1.075</v>
      </c>
      <c r="T17" s="81">
        <f>IF(R17&gt;0.7,'Pradiniai duomenys'!$J$13,'Pradiniai duomenys'!$K$13)</f>
        <v>4.784151555358986</v>
      </c>
      <c r="U17" s="79" t="str">
        <f t="shared" si="9"/>
        <v>- grunto temperatūra</v>
      </c>
    </row>
    <row r="18" spans="1:21" x14ac:dyDescent="0.2">
      <c r="A18" s="157">
        <v>125</v>
      </c>
      <c r="B18" s="321">
        <v>139.69999999999999</v>
      </c>
      <c r="C18" s="176">
        <v>39.25</v>
      </c>
      <c r="D18" s="117">
        <v>3.6</v>
      </c>
      <c r="E18" s="314">
        <f t="shared" si="10"/>
        <v>51.550000000000011</v>
      </c>
      <c r="F18" s="117">
        <v>250</v>
      </c>
      <c r="G18" s="157">
        <f t="shared" si="7"/>
        <v>242.8</v>
      </c>
      <c r="H18" s="316">
        <v>0.75</v>
      </c>
      <c r="I18" s="107">
        <f t="shared" ref="I18:I34" si="11">F18/1000+0.25</f>
        <v>0.5</v>
      </c>
      <c r="J18" s="115">
        <f t="shared" si="1"/>
        <v>23.179222559851176</v>
      </c>
      <c r="K18" s="115">
        <f t="shared" si="2"/>
        <v>12.943926671527551</v>
      </c>
      <c r="L18" s="115">
        <f t="shared" si="3"/>
        <v>19.224466899177166</v>
      </c>
      <c r="M18" s="115">
        <f t="shared" si="4"/>
        <v>10.819454862006628</v>
      </c>
      <c r="N18" s="116">
        <f>(J18+K18)*'TV tinklas'!F17*'Pradiniai duomenys'!E$13*0.00000115</f>
        <v>0</v>
      </c>
      <c r="O18" s="116">
        <f>(L18+M18)*'TV tinklas'!K17*'Pradiniai duomenys'!E$13*0.00000115</f>
        <v>0</v>
      </c>
      <c r="P18" s="116">
        <f t="shared" si="8"/>
        <v>0</v>
      </c>
      <c r="R18" s="321">
        <f t="shared" si="5"/>
        <v>0.875</v>
      </c>
      <c r="S18" s="179">
        <f t="shared" si="6"/>
        <v>1.1000000000000001</v>
      </c>
      <c r="T18" s="81">
        <f>IF(R18&gt;0.7,'Pradiniai duomenys'!$J$13,'Pradiniai duomenys'!$K$13)</f>
        <v>4.784151555358986</v>
      </c>
      <c r="U18" s="79" t="str">
        <f t="shared" si="9"/>
        <v>- grunto temperatūra</v>
      </c>
    </row>
    <row r="19" spans="1:21" x14ac:dyDescent="0.2">
      <c r="A19" s="157">
        <v>150</v>
      </c>
      <c r="B19" s="321">
        <v>168.3</v>
      </c>
      <c r="C19" s="176">
        <v>37.25</v>
      </c>
      <c r="D19" s="117">
        <v>3.9</v>
      </c>
      <c r="E19" s="314">
        <f t="shared" si="10"/>
        <v>51.949999999999989</v>
      </c>
      <c r="F19" s="117">
        <v>280</v>
      </c>
      <c r="G19" s="157">
        <f t="shared" si="7"/>
        <v>272.2</v>
      </c>
      <c r="H19" s="316">
        <v>0.75</v>
      </c>
      <c r="I19" s="107">
        <f>F19/1000+0.25</f>
        <v>0.53</v>
      </c>
      <c r="J19" s="115">
        <f t="shared" si="1"/>
        <v>26.514674029056952</v>
      </c>
      <c r="K19" s="115">
        <f t="shared" si="2"/>
        <v>14.73066380198957</v>
      </c>
      <c r="L19" s="115">
        <f t="shared" si="3"/>
        <v>22.010936613942953</v>
      </c>
      <c r="M19" s="115">
        <f t="shared" si="4"/>
        <v>12.33585997514642</v>
      </c>
      <c r="N19" s="116">
        <f>(J19+K19)*'TV tinklas'!F18*'Pradiniai duomenys'!E$13*0.00000115</f>
        <v>0</v>
      </c>
      <c r="O19" s="116">
        <f>(L19+M19)*'TV tinklas'!K18*'Pradiniai duomenys'!E$13*0.00000115</f>
        <v>0</v>
      </c>
      <c r="P19" s="116">
        <f t="shared" si="8"/>
        <v>0</v>
      </c>
      <c r="R19" s="321">
        <f t="shared" si="5"/>
        <v>0.89</v>
      </c>
      <c r="S19" s="179">
        <f t="shared" si="6"/>
        <v>1.1300000000000001</v>
      </c>
      <c r="T19" s="81">
        <f>IF(R19&gt;0.7,'Pradiniai duomenys'!$J$13,'Pradiniai duomenys'!$K$13)</f>
        <v>4.784151555358986</v>
      </c>
      <c r="U19" s="79" t="str">
        <f t="shared" si="9"/>
        <v>- grunto temperatūra</v>
      </c>
    </row>
    <row r="20" spans="1:21" x14ac:dyDescent="0.2">
      <c r="A20" s="157">
        <v>200</v>
      </c>
      <c r="B20" s="321">
        <v>219.1</v>
      </c>
      <c r="C20" s="176">
        <v>43.85</v>
      </c>
      <c r="D20" s="117">
        <v>4.5</v>
      </c>
      <c r="E20" s="314">
        <f t="shared" si="10"/>
        <v>63.45</v>
      </c>
      <c r="F20" s="117">
        <v>355</v>
      </c>
      <c r="G20" s="157">
        <f t="shared" si="7"/>
        <v>346</v>
      </c>
      <c r="H20" s="316">
        <v>0.75</v>
      </c>
      <c r="I20" s="107">
        <f t="shared" si="11"/>
        <v>0.60499999999999998</v>
      </c>
      <c r="J20" s="115">
        <f t="shared" si="1"/>
        <v>28.041239770248229</v>
      </c>
      <c r="K20" s="115">
        <f t="shared" si="2"/>
        <v>15.588794298075054</v>
      </c>
      <c r="L20" s="115">
        <f t="shared" si="3"/>
        <v>23.258393790892224</v>
      </c>
      <c r="M20" s="115">
        <f t="shared" si="4"/>
        <v>13.042240497592717</v>
      </c>
      <c r="N20" s="116">
        <f>(J20+K20)*'TV tinklas'!F20*'Pradiniai duomenys'!E$13*0.00000115</f>
        <v>0</v>
      </c>
      <c r="O20" s="116">
        <f>(L20+M20)*'TV tinklas'!K20*'Pradiniai duomenys'!E$13*0.00000115</f>
        <v>0</v>
      </c>
      <c r="P20" s="116">
        <f t="shared" si="8"/>
        <v>0</v>
      </c>
      <c r="R20" s="321">
        <f t="shared" si="5"/>
        <v>0.92749999999999999</v>
      </c>
      <c r="S20" s="179">
        <f t="shared" si="6"/>
        <v>1.2050000000000001</v>
      </c>
      <c r="T20" s="81">
        <f>IF(R20&gt;0.7,'Pradiniai duomenys'!$J$13,'Pradiniai duomenys'!$K$13)</f>
        <v>4.784151555358986</v>
      </c>
      <c r="U20" s="79" t="str">
        <f t="shared" si="9"/>
        <v>- grunto temperatūra</v>
      </c>
    </row>
    <row r="21" spans="1:21" x14ac:dyDescent="0.2">
      <c r="A21" s="157">
        <v>250</v>
      </c>
      <c r="B21" s="321">
        <v>273</v>
      </c>
      <c r="C21" s="176">
        <v>58.7</v>
      </c>
      <c r="D21" s="117">
        <v>5.2</v>
      </c>
      <c r="E21" s="314">
        <f t="shared" si="10"/>
        <v>83.300000000000011</v>
      </c>
      <c r="F21" s="117">
        <v>450</v>
      </c>
      <c r="G21" s="157">
        <f t="shared" si="7"/>
        <v>439.6</v>
      </c>
      <c r="H21" s="316">
        <v>0.75</v>
      </c>
      <c r="I21" s="107">
        <f t="shared" si="11"/>
        <v>0.7</v>
      </c>
      <c r="J21" s="115">
        <f t="shared" si="1"/>
        <v>27.173924855434812</v>
      </c>
      <c r="K21" s="115">
        <f t="shared" si="2"/>
        <v>15.185334015822143</v>
      </c>
      <c r="L21" s="115">
        <f t="shared" si="3"/>
        <v>22.498118373110401</v>
      </c>
      <c r="M21" s="115">
        <f t="shared" si="4"/>
        <v>12.669896579445624</v>
      </c>
      <c r="N21" s="116">
        <f>(J21+K21)*'TV tinklas'!F21*'Pradiniai duomenys'!E$13*0.00000115</f>
        <v>0</v>
      </c>
      <c r="O21" s="116">
        <f>(L21+M21)*'TV tinklas'!K21*'Pradiniai duomenys'!E$13*0.00000115</f>
        <v>0</v>
      </c>
      <c r="P21" s="116">
        <f t="shared" si="8"/>
        <v>0</v>
      </c>
      <c r="R21" s="321">
        <f t="shared" si="5"/>
        <v>0.97499999999999998</v>
      </c>
      <c r="S21" s="179">
        <f t="shared" si="6"/>
        <v>1.3</v>
      </c>
      <c r="T21" s="81">
        <f>IF(R21&gt;0.7,'Pradiniai duomenys'!$J$13,'Pradiniai duomenys'!$K$13)</f>
        <v>4.784151555358986</v>
      </c>
      <c r="U21" s="79" t="str">
        <f t="shared" si="9"/>
        <v>- grunto temperatūra</v>
      </c>
    </row>
    <row r="22" spans="1:21" x14ac:dyDescent="0.2">
      <c r="A22" s="157">
        <v>300</v>
      </c>
      <c r="B22" s="321">
        <v>323.89999999999998</v>
      </c>
      <c r="C22" s="176">
        <v>57.85</v>
      </c>
      <c r="D22" s="117">
        <v>5.6</v>
      </c>
      <c r="E22" s="314">
        <f t="shared" si="10"/>
        <v>82.450000000000017</v>
      </c>
      <c r="F22" s="117">
        <v>500</v>
      </c>
      <c r="G22" s="157">
        <f t="shared" si="7"/>
        <v>488.8</v>
      </c>
      <c r="H22" s="316">
        <v>0.75</v>
      </c>
      <c r="I22" s="107">
        <f t="shared" si="11"/>
        <v>0.75</v>
      </c>
      <c r="J22" s="115">
        <f t="shared" si="1"/>
        <v>31.335814441825089</v>
      </c>
      <c r="K22" s="115">
        <f t="shared" si="2"/>
        <v>17.421228064818777</v>
      </c>
      <c r="L22" s="115">
        <f t="shared" si="3"/>
        <v>25.962970488151829</v>
      </c>
      <c r="M22" s="115">
        <f t="shared" si="4"/>
        <v>14.560134284866784</v>
      </c>
      <c r="N22" s="116">
        <f>(J22+K22)*'TV tinklas'!F22*'Pradiniai duomenys'!E$13*0.00000115</f>
        <v>0</v>
      </c>
      <c r="O22" s="116">
        <f>(L22+M22)*'TV tinklas'!K22*'Pradiniai duomenys'!E$13*0.00000115</f>
        <v>0</v>
      </c>
      <c r="P22" s="116">
        <f t="shared" si="8"/>
        <v>0</v>
      </c>
      <c r="R22" s="321">
        <f t="shared" si="5"/>
        <v>1</v>
      </c>
      <c r="S22" s="179">
        <f t="shared" si="6"/>
        <v>1.35</v>
      </c>
      <c r="T22" s="81">
        <f>IF(R22&gt;0.7,'Pradiniai duomenys'!$J$13,'Pradiniai duomenys'!$K$13)</f>
        <v>4.784151555358986</v>
      </c>
      <c r="U22" s="79" t="str">
        <f t="shared" si="9"/>
        <v>- grunto temperatūra</v>
      </c>
    </row>
    <row r="23" spans="1:21" x14ac:dyDescent="0.2">
      <c r="A23" s="157">
        <v>350</v>
      </c>
      <c r="B23" s="321">
        <v>355.6</v>
      </c>
      <c r="C23" s="176">
        <v>66.599999999999994</v>
      </c>
      <c r="D23" s="117">
        <v>6</v>
      </c>
      <c r="E23" s="314">
        <f t="shared" si="10"/>
        <v>96.199999999999989</v>
      </c>
      <c r="F23" s="117">
        <v>560</v>
      </c>
      <c r="G23" s="157">
        <f t="shared" si="7"/>
        <v>548</v>
      </c>
      <c r="H23" s="316">
        <v>0.75</v>
      </c>
      <c r="I23" s="107">
        <f t="shared" si="11"/>
        <v>0.81</v>
      </c>
      <c r="J23" s="115">
        <f t="shared" si="1"/>
        <v>30.014800481337314</v>
      </c>
      <c r="K23" s="115">
        <f t="shared" si="2"/>
        <v>16.755006604746004</v>
      </c>
      <c r="L23" s="115">
        <f t="shared" si="3"/>
        <v>24.839274833074814</v>
      </c>
      <c r="M23" s="115">
        <f t="shared" si="4"/>
        <v>13.976534946018692</v>
      </c>
      <c r="N23" s="116">
        <f>(J23+K23)*'TV tinklas'!F23*'Pradiniai duomenys'!E$13*0.00000115</f>
        <v>0</v>
      </c>
      <c r="O23" s="116">
        <f>(L23+M23)*'TV tinklas'!K23*'Pradiniai duomenys'!E$13*0.00000115</f>
        <v>0</v>
      </c>
      <c r="P23" s="116">
        <f t="shared" si="8"/>
        <v>0</v>
      </c>
      <c r="R23" s="321">
        <f t="shared" si="5"/>
        <v>1.03</v>
      </c>
      <c r="S23" s="179">
        <f t="shared" si="6"/>
        <v>1.4100000000000001</v>
      </c>
      <c r="T23" s="81">
        <f>IF(R23&gt;0.7,'Pradiniai duomenys'!$J$13,'Pradiniai duomenys'!$K$13)</f>
        <v>4.784151555358986</v>
      </c>
      <c r="U23" s="79" t="str">
        <f t="shared" si="9"/>
        <v>- grunto temperatūra</v>
      </c>
    </row>
    <row r="24" spans="1:21" x14ac:dyDescent="0.2">
      <c r="A24" s="157">
        <v>400</v>
      </c>
      <c r="B24" s="321">
        <v>406.4</v>
      </c>
      <c r="C24" s="176">
        <v>51.1</v>
      </c>
      <c r="D24" s="117">
        <v>6.6</v>
      </c>
      <c r="E24" s="314">
        <f t="shared" si="10"/>
        <v>105.19999999999999</v>
      </c>
      <c r="F24" s="117">
        <v>630</v>
      </c>
      <c r="G24" s="157">
        <f t="shared" si="7"/>
        <v>616.79999999999995</v>
      </c>
      <c r="H24" s="316">
        <v>0.75</v>
      </c>
      <c r="I24" s="107">
        <f t="shared" si="11"/>
        <v>0.88</v>
      </c>
      <c r="J24" s="115">
        <f t="shared" si="1"/>
        <v>31.188904696383311</v>
      </c>
      <c r="K24" s="115">
        <f t="shared" si="2"/>
        <v>17.414328916483854</v>
      </c>
      <c r="L24" s="115">
        <f t="shared" si="3"/>
        <v>25.800193065100569</v>
      </c>
      <c r="M24" s="115">
        <f t="shared" si="4"/>
        <v>14.520090591630899</v>
      </c>
      <c r="N24" s="116">
        <f>(J24+K24)*'TV tinklas'!F24*'Pradiniai duomenys'!E$13*0.00000115</f>
        <v>0</v>
      </c>
      <c r="O24" s="116">
        <f>(L24+M24)*'TV tinklas'!K24*'Pradiniai duomenys'!E$13*0.00000115</f>
        <v>0</v>
      </c>
      <c r="P24" s="116">
        <f t="shared" si="8"/>
        <v>0</v>
      </c>
      <c r="R24" s="321">
        <f t="shared" si="5"/>
        <v>1.0649999999999999</v>
      </c>
      <c r="S24" s="179">
        <f t="shared" si="6"/>
        <v>1.48</v>
      </c>
      <c r="T24" s="81">
        <f>IF(R24&gt;0.7,'Pradiniai duomenys'!$J$13,'Pradiniai duomenys'!$K$13)</f>
        <v>4.784151555358986</v>
      </c>
      <c r="U24" s="79" t="str">
        <f t="shared" si="9"/>
        <v>- grunto temperatūra</v>
      </c>
    </row>
    <row r="25" spans="1:21" x14ac:dyDescent="0.2">
      <c r="A25" s="157">
        <v>450</v>
      </c>
      <c r="B25" s="321">
        <v>457.2</v>
      </c>
      <c r="C25" s="176">
        <v>45.4</v>
      </c>
      <c r="D25" s="117">
        <v>7.2</v>
      </c>
      <c r="E25" s="314">
        <f t="shared" si="10"/>
        <v>119.20000000000002</v>
      </c>
      <c r="F25" s="117">
        <v>710</v>
      </c>
      <c r="G25" s="157">
        <f t="shared" si="7"/>
        <v>695.6</v>
      </c>
      <c r="H25" s="316">
        <v>0.75</v>
      </c>
      <c r="I25" s="107">
        <f t="shared" si="11"/>
        <v>0.96</v>
      </c>
      <c r="J25" s="115">
        <f t="shared" si="1"/>
        <v>31.142854799176732</v>
      </c>
      <c r="K25" s="115">
        <f t="shared" si="2"/>
        <v>17.425265296611833</v>
      </c>
      <c r="L25" s="115">
        <f t="shared" si="3"/>
        <v>25.742180767753489</v>
      </c>
      <c r="M25" s="115">
        <f t="shared" si="4"/>
        <v>14.512500249236297</v>
      </c>
      <c r="N25" s="116">
        <f>(J25+K25)*'TV tinklas'!F25*'Pradiniai duomenys'!E$13*0.00000115</f>
        <v>0</v>
      </c>
      <c r="O25" s="116">
        <f>(L25+M25)*'TV tinklas'!K25*'Pradiniai duomenys'!E$13*0.00000115</f>
        <v>0</v>
      </c>
      <c r="P25" s="116">
        <f t="shared" si="8"/>
        <v>0</v>
      </c>
      <c r="R25" s="321">
        <f t="shared" si="5"/>
        <v>1.105</v>
      </c>
      <c r="S25" s="179">
        <f t="shared" si="6"/>
        <v>1.56</v>
      </c>
      <c r="T25" s="81">
        <f>IF(R25&gt;0.7,'Pradiniai duomenys'!$J$13,'Pradiniai duomenys'!$K$13)</f>
        <v>4.784151555358986</v>
      </c>
      <c r="U25" s="79" t="str">
        <f t="shared" si="9"/>
        <v>- grunto temperatūra</v>
      </c>
    </row>
    <row r="26" spans="1:21" x14ac:dyDescent="0.2">
      <c r="A26" s="157">
        <v>500</v>
      </c>
      <c r="B26" s="321">
        <v>508</v>
      </c>
      <c r="C26" s="176">
        <v>54.4</v>
      </c>
      <c r="D26" s="117">
        <v>7.9</v>
      </c>
      <c r="E26" s="314">
        <f t="shared" si="10"/>
        <v>138.10000000000002</v>
      </c>
      <c r="F26" s="117">
        <v>800</v>
      </c>
      <c r="G26" s="157">
        <f t="shared" si="7"/>
        <v>784.2</v>
      </c>
      <c r="H26" s="316">
        <v>0.75</v>
      </c>
      <c r="I26" s="107">
        <f t="shared" si="11"/>
        <v>1.05</v>
      </c>
      <c r="J26" s="115">
        <f t="shared" si="1"/>
        <v>30.257693558463405</v>
      </c>
      <c r="K26" s="115">
        <f t="shared" si="2"/>
        <v>16.983582224296462</v>
      </c>
      <c r="L26" s="115">
        <f t="shared" si="3"/>
        <v>24.987183178058299</v>
      </c>
      <c r="M26" s="115">
        <f t="shared" si="4"/>
        <v>14.123317140013627</v>
      </c>
      <c r="N26" s="116">
        <f>(J26+K26)*'TV tinklas'!F26*'Pradiniai duomenys'!E$13*0.00000115</f>
        <v>0</v>
      </c>
      <c r="O26" s="116">
        <f>(L26+M26)*'TV tinklas'!K26*'Pradiniai duomenys'!E$13*0.00000115</f>
        <v>0</v>
      </c>
      <c r="P26" s="116">
        <f t="shared" si="8"/>
        <v>0</v>
      </c>
      <c r="R26" s="321">
        <f t="shared" si="5"/>
        <v>1.1499999999999999</v>
      </c>
      <c r="S26" s="179">
        <f t="shared" si="6"/>
        <v>1.6500000000000001</v>
      </c>
      <c r="T26" s="81">
        <f>IF(R26&gt;0.7,'Pradiniai duomenys'!$J$13,'Pradiniai duomenys'!$K$13)</f>
        <v>4.784151555358986</v>
      </c>
      <c r="U26" s="79" t="str">
        <f t="shared" si="9"/>
        <v>- grunto temperatūra</v>
      </c>
    </row>
    <row r="27" spans="1:21" x14ac:dyDescent="0.2">
      <c r="A27" s="157">
        <v>550</v>
      </c>
      <c r="B27" s="321">
        <v>558.79999999999995</v>
      </c>
      <c r="C27" s="176">
        <v>68.400000000000006</v>
      </c>
      <c r="D27" s="117">
        <v>7.9</v>
      </c>
      <c r="E27" s="314">
        <f t="shared" si="10"/>
        <v>112.70000000000005</v>
      </c>
      <c r="F27" s="117">
        <v>800</v>
      </c>
      <c r="G27" s="157">
        <f t="shared" si="7"/>
        <v>784.2</v>
      </c>
      <c r="H27" s="317">
        <v>0.75</v>
      </c>
      <c r="I27" s="107">
        <f t="shared" si="11"/>
        <v>1.05</v>
      </c>
      <c r="J27" s="115">
        <f t="shared" si="1"/>
        <v>38.380549699504705</v>
      </c>
      <c r="K27" s="115">
        <f t="shared" si="2"/>
        <v>21.306247542212585</v>
      </c>
      <c r="L27" s="115">
        <f t="shared" si="3"/>
        <v>31.755078711129272</v>
      </c>
      <c r="M27" s="115">
        <f t="shared" si="4"/>
        <v>17.788312255166485</v>
      </c>
      <c r="N27" s="116">
        <f>(J27+K27)*'TV tinklas'!F27*'Pradiniai duomenys'!E$13*0.00000115</f>
        <v>0</v>
      </c>
      <c r="O27" s="116">
        <f>(L27+M27)*'TV tinklas'!K27*'Pradiniai duomenys'!E$13*0.00000115</f>
        <v>0</v>
      </c>
      <c r="P27" s="116">
        <f>SUM(N27:O27)</f>
        <v>0</v>
      </c>
      <c r="R27" s="321">
        <f t="shared" si="5"/>
        <v>1.1499999999999999</v>
      </c>
      <c r="S27" s="179">
        <f t="shared" si="6"/>
        <v>1.6500000000000001</v>
      </c>
      <c r="T27" s="81">
        <f>IF(R27&gt;0.7,'Pradiniai duomenys'!$J$13,'Pradiniai duomenys'!$K$13)</f>
        <v>4.784151555358986</v>
      </c>
      <c r="U27" s="79" t="str">
        <f t="shared" si="9"/>
        <v>- grunto temperatūra</v>
      </c>
    </row>
    <row r="28" spans="1:21" x14ac:dyDescent="0.2">
      <c r="A28" s="160">
        <v>600</v>
      </c>
      <c r="B28" s="177">
        <v>609.6</v>
      </c>
      <c r="C28" s="178">
        <v>77.400000000000006</v>
      </c>
      <c r="D28" s="117">
        <v>8.6999999999999993</v>
      </c>
      <c r="E28" s="314">
        <f t="shared" si="10"/>
        <v>136.5</v>
      </c>
      <c r="F28" s="117">
        <v>900</v>
      </c>
      <c r="G28" s="157">
        <f t="shared" si="7"/>
        <v>882.6</v>
      </c>
      <c r="H28" s="316">
        <v>0.75</v>
      </c>
      <c r="I28" s="154">
        <f t="shared" si="11"/>
        <v>1.1499999999999999</v>
      </c>
      <c r="J28" s="115">
        <f t="shared" si="1"/>
        <v>35.432908150161254</v>
      </c>
      <c r="K28" s="115">
        <f t="shared" si="2"/>
        <v>19.792868093949966</v>
      </c>
      <c r="L28" s="115">
        <f t="shared" si="3"/>
        <v>29.272616736591651</v>
      </c>
      <c r="M28" s="115">
        <f t="shared" si="4"/>
        <v>16.481154116019997</v>
      </c>
      <c r="N28" s="168">
        <f>(J28+K28)*'TV tinklas'!F27*'Pradiniai duomenys'!E$13*0.00000115</f>
        <v>0</v>
      </c>
      <c r="O28" s="168">
        <f>(L28+M28)*'TV tinklas'!K27*'Pradiniai duomenys'!E$13*0.00000115</f>
        <v>0</v>
      </c>
      <c r="P28" s="168">
        <f t="shared" si="8"/>
        <v>0</v>
      </c>
      <c r="R28" s="321">
        <f t="shared" si="5"/>
        <v>1.2</v>
      </c>
      <c r="S28" s="179">
        <f t="shared" si="6"/>
        <v>1.75</v>
      </c>
      <c r="T28" s="81">
        <f>IF(R28&gt;0.7,'Pradiniai duomenys'!$J$13,'Pradiniai duomenys'!$K$13)</f>
        <v>4.784151555358986</v>
      </c>
      <c r="U28" s="79" t="str">
        <f t="shared" si="9"/>
        <v>- grunto temperatūra</v>
      </c>
    </row>
    <row r="29" spans="1:21" x14ac:dyDescent="0.2">
      <c r="A29" s="355">
        <v>700</v>
      </c>
      <c r="B29" s="355">
        <v>711</v>
      </c>
      <c r="C29" s="356">
        <v>85.8</v>
      </c>
      <c r="D29" s="355">
        <v>8.6999999999999993</v>
      </c>
      <c r="E29" s="314">
        <f t="shared" si="10"/>
        <v>85.800000000000011</v>
      </c>
      <c r="F29" s="355">
        <v>900</v>
      </c>
      <c r="G29" s="157">
        <f t="shared" si="7"/>
        <v>882.6</v>
      </c>
      <c r="H29" s="365">
        <v>0.75</v>
      </c>
      <c r="I29" s="358">
        <f t="shared" si="11"/>
        <v>1.1499999999999999</v>
      </c>
      <c r="J29" s="359">
        <f t="shared" si="1"/>
        <v>59.004238217125078</v>
      </c>
      <c r="K29" s="359">
        <f t="shared" si="2"/>
        <v>31.917355289963801</v>
      </c>
      <c r="L29" s="359">
        <f t="shared" si="3"/>
        <v>49.005273885948348</v>
      </c>
      <c r="M29" s="359">
        <f t="shared" si="4"/>
        <v>26.883375856594316</v>
      </c>
      <c r="N29" s="366">
        <f>(J29+K29)*'TV tinklas'!F28*'Pradiniai duomenys'!E$13*0.00000115</f>
        <v>0</v>
      </c>
      <c r="O29" s="366">
        <f>(L29+M29)*'TV tinklas'!K28*'Pradiniai duomenys'!E$13*0.00000115</f>
        <v>0</v>
      </c>
      <c r="P29" s="366">
        <f t="shared" si="8"/>
        <v>0</v>
      </c>
      <c r="Q29" s="361"/>
      <c r="R29" s="355">
        <f t="shared" si="5"/>
        <v>1.2</v>
      </c>
      <c r="S29" s="362">
        <f t="shared" si="6"/>
        <v>1.75</v>
      </c>
      <c r="T29" s="363">
        <f>IF(R29&gt;0.7,'Pradiniai duomenys'!$J$13,'Pradiniai duomenys'!$K$13)</f>
        <v>4.784151555358986</v>
      </c>
      <c r="U29" s="364" t="str">
        <f t="shared" si="9"/>
        <v>- grunto temperatūra</v>
      </c>
    </row>
    <row r="30" spans="1:21" x14ac:dyDescent="0.2">
      <c r="A30" s="157">
        <v>800</v>
      </c>
      <c r="B30" s="321">
        <v>820</v>
      </c>
      <c r="C30" s="176">
        <v>80.599999999999994</v>
      </c>
      <c r="D30" s="117">
        <v>9.4</v>
      </c>
      <c r="E30" s="314">
        <f t="shared" si="10"/>
        <v>80.600000000000023</v>
      </c>
      <c r="F30" s="117">
        <v>1000</v>
      </c>
      <c r="G30" s="157">
        <f t="shared" si="7"/>
        <v>981.2</v>
      </c>
      <c r="H30" s="316">
        <v>0.75</v>
      </c>
      <c r="I30" s="107">
        <f t="shared" si="11"/>
        <v>1.25</v>
      </c>
      <c r="J30" s="115">
        <f t="shared" si="1"/>
        <v>70.619507916481936</v>
      </c>
      <c r="K30" s="115">
        <f t="shared" si="2"/>
        <v>37.713846392955944</v>
      </c>
      <c r="L30" s="115">
        <f t="shared" si="3"/>
        <v>58.736724793450257</v>
      </c>
      <c r="M30" s="115">
        <f t="shared" si="4"/>
        <v>31.893576291181152</v>
      </c>
      <c r="N30" s="116">
        <f>(J30+K30)*'TV tinklas'!F29*'Pradiniai duomenys'!E$13*0.00000115</f>
        <v>0</v>
      </c>
      <c r="O30" s="116">
        <f>(L30+M30)*'TV tinklas'!K29*'Pradiniai duomenys'!E$13*0.00000115</f>
        <v>0</v>
      </c>
      <c r="P30" s="116">
        <f t="shared" si="8"/>
        <v>0</v>
      </c>
      <c r="R30" s="321">
        <f t="shared" si="5"/>
        <v>1.25</v>
      </c>
      <c r="S30" s="179">
        <f t="shared" si="6"/>
        <v>1.85</v>
      </c>
      <c r="T30" s="81">
        <f>IF(R30&gt;0.7,'Pradiniai duomenys'!$J$13,'Pradiniai duomenys'!$K$13)</f>
        <v>4.784151555358986</v>
      </c>
      <c r="U30" s="79" t="str">
        <f t="shared" si="9"/>
        <v>- grunto temperatūra</v>
      </c>
    </row>
    <row r="31" spans="1:21" x14ac:dyDescent="0.2">
      <c r="A31" s="157">
        <v>900</v>
      </c>
      <c r="B31" s="321">
        <v>914</v>
      </c>
      <c r="C31" s="176">
        <v>82.8</v>
      </c>
      <c r="D31" s="117">
        <v>10.199999999999999</v>
      </c>
      <c r="E31" s="314">
        <f t="shared" si="10"/>
        <v>82.799999999999955</v>
      </c>
      <c r="F31" s="117">
        <v>1100</v>
      </c>
      <c r="G31" s="157">
        <f t="shared" si="7"/>
        <v>1079.5999999999999</v>
      </c>
      <c r="H31" s="316">
        <v>0.75</v>
      </c>
      <c r="I31" s="107">
        <f t="shared" si="11"/>
        <v>1.35</v>
      </c>
      <c r="J31" s="115">
        <f t="shared" si="1"/>
        <v>76.199701469497512</v>
      </c>
      <c r="K31" s="115">
        <f t="shared" si="2"/>
        <v>40.531633928084943</v>
      </c>
      <c r="L31" s="115">
        <f t="shared" si="3"/>
        <v>63.37529368388563</v>
      </c>
      <c r="M31" s="115">
        <f t="shared" si="4"/>
        <v>34.30461887063862</v>
      </c>
      <c r="N31" s="116">
        <f>(J31+K31)*'TV tinklas'!F30*'Pradiniai duomenys'!E$13*0.00000115</f>
        <v>0</v>
      </c>
      <c r="O31" s="116">
        <f>(L31+M31)*'TV tinklas'!K30*'Pradiniai duomenys'!E$13*0.00000115</f>
        <v>0</v>
      </c>
      <c r="P31" s="116">
        <f t="shared" si="8"/>
        <v>0</v>
      </c>
      <c r="R31" s="321">
        <f t="shared" si="5"/>
        <v>1.3</v>
      </c>
      <c r="S31" s="179">
        <f t="shared" si="6"/>
        <v>1.9500000000000002</v>
      </c>
      <c r="T31" s="81">
        <f>IF(R31&gt;0.7,'Pradiniai duomenys'!$J$13,'Pradiniai duomenys'!$K$13)</f>
        <v>4.784151555358986</v>
      </c>
      <c r="U31" s="79" t="str">
        <f t="shared" si="9"/>
        <v>- grunto temperatūra</v>
      </c>
    </row>
    <row r="32" spans="1:21" x14ac:dyDescent="0.2">
      <c r="A32" s="157">
        <v>1000</v>
      </c>
      <c r="B32" s="321">
        <v>1016</v>
      </c>
      <c r="C32" s="176">
        <v>81</v>
      </c>
      <c r="D32" s="117">
        <v>11</v>
      </c>
      <c r="E32" s="314">
        <f t="shared" si="10"/>
        <v>81</v>
      </c>
      <c r="F32" s="117">
        <v>1200</v>
      </c>
      <c r="G32" s="157">
        <f t="shared" si="7"/>
        <v>1178</v>
      </c>
      <c r="H32" s="316">
        <v>0.75</v>
      </c>
      <c r="I32" s="107">
        <f t="shared" si="11"/>
        <v>1.45</v>
      </c>
      <c r="J32" s="115">
        <f t="shared" si="1"/>
        <v>85.539356049391913</v>
      </c>
      <c r="K32" s="115">
        <f t="shared" si="2"/>
        <v>45.083285906433417</v>
      </c>
      <c r="L32" s="115">
        <f t="shared" si="3"/>
        <v>71.196833970698151</v>
      </c>
      <c r="M32" s="115">
        <f t="shared" si="4"/>
        <v>38.259739936759438</v>
      </c>
      <c r="N32" s="116">
        <f>(J32+K32)*'TV tinklas'!F31*'Pradiniai duomenys'!E$13*0.00000115</f>
        <v>0</v>
      </c>
      <c r="O32" s="116">
        <f>(L32+M32)*'TV tinklas'!K31*'Pradiniai duomenys'!E$13*0.00000115</f>
        <v>0</v>
      </c>
      <c r="P32" s="116">
        <f t="shared" si="8"/>
        <v>0</v>
      </c>
      <c r="R32" s="321">
        <f t="shared" si="5"/>
        <v>1.35</v>
      </c>
      <c r="S32" s="179">
        <f t="shared" si="6"/>
        <v>2.0499999999999998</v>
      </c>
      <c r="T32" s="81">
        <f>IF(R32&gt;0.7,'Pradiniai duomenys'!$J$13,'Pradiniai duomenys'!$K$13)</f>
        <v>4.784151555358986</v>
      </c>
      <c r="U32" s="79" t="str">
        <f t="shared" si="9"/>
        <v>- grunto temperatūra</v>
      </c>
    </row>
    <row r="33" spans="1:21" x14ac:dyDescent="0.2">
      <c r="A33" s="157">
        <v>1100</v>
      </c>
      <c r="B33" s="321">
        <v>1118</v>
      </c>
      <c r="C33" s="176">
        <v>79.2</v>
      </c>
      <c r="D33" s="117">
        <v>11.8</v>
      </c>
      <c r="E33" s="314">
        <f t="shared" si="10"/>
        <v>79.200000000000045</v>
      </c>
      <c r="F33" s="117">
        <v>1300</v>
      </c>
      <c r="G33" s="157">
        <f t="shared" si="7"/>
        <v>1276.4000000000001</v>
      </c>
      <c r="H33" s="316">
        <v>0.75</v>
      </c>
      <c r="I33" s="107">
        <f t="shared" si="11"/>
        <v>1.55</v>
      </c>
      <c r="J33" s="115">
        <f t="shared" si="1"/>
        <v>95.266627325048304</v>
      </c>
      <c r="K33" s="115">
        <f t="shared" si="2"/>
        <v>49.728610518711669</v>
      </c>
      <c r="L33" s="115">
        <f t="shared" si="3"/>
        <v>79.355523950135805</v>
      </c>
      <c r="M33" s="115">
        <f t="shared" si="4"/>
        <v>42.322708118014383</v>
      </c>
      <c r="N33" s="116">
        <f>(J33+K33)*'TV tinklas'!F32*'Pradiniai duomenys'!E$13*0.00000115</f>
        <v>0</v>
      </c>
      <c r="O33" s="116">
        <f>(L33+M33)*'TV tinklas'!K32*'Pradiniai duomenys'!E$13*0.00000115</f>
        <v>0</v>
      </c>
      <c r="P33" s="116">
        <f t="shared" si="8"/>
        <v>0</v>
      </c>
      <c r="R33" s="321">
        <f t="shared" si="5"/>
        <v>1.4</v>
      </c>
      <c r="S33" s="179">
        <f t="shared" si="6"/>
        <v>2.15</v>
      </c>
      <c r="T33" s="81">
        <f>IF(R33&gt;0.7,'Pradiniai duomenys'!$J$13,'Pradiniai duomenys'!$K$13)</f>
        <v>4.784151555358986</v>
      </c>
      <c r="U33" s="79" t="str">
        <f t="shared" si="9"/>
        <v>- grunto temperatūra</v>
      </c>
    </row>
    <row r="34" spans="1:21" x14ac:dyDescent="0.2">
      <c r="A34" s="157">
        <v>1200</v>
      </c>
      <c r="B34" s="321">
        <v>1219</v>
      </c>
      <c r="C34" s="176">
        <v>78</v>
      </c>
      <c r="D34" s="117">
        <v>12.5</v>
      </c>
      <c r="E34" s="314">
        <f t="shared" si="10"/>
        <v>78</v>
      </c>
      <c r="F34" s="117">
        <v>1400</v>
      </c>
      <c r="G34" s="157">
        <f t="shared" si="7"/>
        <v>1375</v>
      </c>
      <c r="H34" s="316">
        <v>0.75</v>
      </c>
      <c r="I34" s="107">
        <f t="shared" si="11"/>
        <v>1.65</v>
      </c>
      <c r="J34" s="115">
        <f t="shared" si="1"/>
        <v>104.63648331347643</v>
      </c>
      <c r="K34" s="115">
        <f t="shared" si="2"/>
        <v>54.1253530626879</v>
      </c>
      <c r="L34" s="115">
        <f t="shared" si="3"/>
        <v>87.219241433677212</v>
      </c>
      <c r="M34" s="115">
        <f t="shared" si="4"/>
        <v>46.188147962831742</v>
      </c>
      <c r="N34" s="116">
        <f>(J34+K34)*'TV tinklas'!F33*'Pradiniai duomenys'!E$13*0.00000115</f>
        <v>0</v>
      </c>
      <c r="O34" s="116">
        <f>(L34+M34)*'TV tinklas'!K33*'Pradiniai duomenys'!E$13*0.00000115</f>
        <v>0</v>
      </c>
      <c r="P34" s="116">
        <f t="shared" si="8"/>
        <v>0</v>
      </c>
      <c r="R34" s="321">
        <f t="shared" si="5"/>
        <v>1.45</v>
      </c>
      <c r="S34" s="179">
        <f t="shared" si="6"/>
        <v>2.25</v>
      </c>
      <c r="T34" s="81">
        <f>IF(R34&gt;0.7,'Pradiniai duomenys'!$J$13,'Pradiniai duomenys'!$K$13)</f>
        <v>4.784151555358986</v>
      </c>
      <c r="U34" s="79" t="str">
        <f t="shared" si="9"/>
        <v>- grunto temperatūra</v>
      </c>
    </row>
    <row r="35" spans="1:21" x14ac:dyDescent="0.2">
      <c r="A35" s="113" t="s">
        <v>40</v>
      </c>
      <c r="L35" s="113" t="s">
        <v>138</v>
      </c>
      <c r="M35" s="173">
        <f>SUM(N11:N34)</f>
        <v>0</v>
      </c>
      <c r="N35" s="173">
        <f>SUM(O11:O34)</f>
        <v>13.254995794276454</v>
      </c>
      <c r="O35" s="173">
        <f>SUM(P11:P34)</f>
        <v>13.254995794276454</v>
      </c>
    </row>
    <row r="36" spans="1:21" x14ac:dyDescent="0.2">
      <c r="A36" s="112" t="s">
        <v>323</v>
      </c>
    </row>
    <row r="37" spans="1:21" x14ac:dyDescent="0.2">
      <c r="A37" s="112" t="s">
        <v>211</v>
      </c>
      <c r="O37" s="169"/>
    </row>
    <row r="38" spans="1:21" x14ac:dyDescent="0.2">
      <c r="O38" s="169"/>
    </row>
    <row r="39" spans="1:21" x14ac:dyDescent="0.2">
      <c r="A39" s="253" t="s">
        <v>280</v>
      </c>
      <c r="O39" s="169"/>
    </row>
    <row r="40" spans="1:21" hidden="1" x14ac:dyDescent="0.2">
      <c r="I40" s="165" t="s">
        <v>192</v>
      </c>
      <c r="J40" s="321">
        <f>'Pradiniai duomenys'!J32</f>
        <v>3.3000000000000002E-2</v>
      </c>
      <c r="K40" s="67" t="s">
        <v>194</v>
      </c>
    </row>
    <row r="41" spans="1:21" hidden="1" x14ac:dyDescent="0.2">
      <c r="I41" s="165" t="s">
        <v>193</v>
      </c>
      <c r="J41" s="321">
        <f>'Pradiniai duomenys'!J33</f>
        <v>2.7E-2</v>
      </c>
      <c r="K41" s="67" t="s">
        <v>194</v>
      </c>
    </row>
    <row r="42" spans="1:21" hidden="1" x14ac:dyDescent="0.2">
      <c r="I42" s="166" t="s">
        <v>201</v>
      </c>
      <c r="J42" s="167">
        <f>'Pradiniai duomenys'!J31</f>
        <v>2</v>
      </c>
      <c r="K42" s="67" t="s">
        <v>194</v>
      </c>
    </row>
    <row r="43" spans="1:21" ht="16.5" customHeight="1" x14ac:dyDescent="0.2">
      <c r="A43" s="576" t="s">
        <v>97</v>
      </c>
      <c r="B43" s="601"/>
      <c r="C43" s="577" t="s">
        <v>210</v>
      </c>
      <c r="D43" s="600" t="s">
        <v>212</v>
      </c>
      <c r="E43" s="600" t="s">
        <v>179</v>
      </c>
      <c r="F43" s="577" t="s">
        <v>215</v>
      </c>
      <c r="G43" s="596" t="s">
        <v>320</v>
      </c>
      <c r="H43" s="597"/>
      <c r="I43" s="596" t="s">
        <v>321</v>
      </c>
      <c r="J43" s="597"/>
      <c r="K43" s="593" t="s">
        <v>216</v>
      </c>
      <c r="L43" s="593" t="s">
        <v>322</v>
      </c>
      <c r="M43" s="593" t="s">
        <v>218</v>
      </c>
      <c r="N43" s="577" t="s">
        <v>184</v>
      </c>
      <c r="R43" s="170"/>
    </row>
    <row r="44" spans="1:21" ht="15" customHeight="1" x14ac:dyDescent="0.2">
      <c r="A44" s="577" t="s">
        <v>213</v>
      </c>
      <c r="B44" s="577" t="s">
        <v>214</v>
      </c>
      <c r="C44" s="578"/>
      <c r="D44" s="600"/>
      <c r="E44" s="600"/>
      <c r="F44" s="578"/>
      <c r="G44" s="598"/>
      <c r="H44" s="599"/>
      <c r="I44" s="598"/>
      <c r="J44" s="599"/>
      <c r="K44" s="594"/>
      <c r="L44" s="594"/>
      <c r="M44" s="594"/>
      <c r="N44" s="578"/>
      <c r="R44" s="170"/>
    </row>
    <row r="45" spans="1:21" ht="15.75" customHeight="1" x14ac:dyDescent="0.2">
      <c r="A45" s="579"/>
      <c r="B45" s="579"/>
      <c r="C45" s="579"/>
      <c r="D45" s="600"/>
      <c r="E45" s="600"/>
      <c r="F45" s="579"/>
      <c r="G45" s="106">
        <f>'Pradiniai duomenys'!C25</f>
        <v>68.068996019460414</v>
      </c>
      <c r="H45" s="106">
        <f>'Pradiniai duomenys'!D25</f>
        <v>45.639436827362523</v>
      </c>
      <c r="I45" s="106">
        <f>'Pradiniai duomenys'!C25</f>
        <v>68.068996019460414</v>
      </c>
      <c r="J45" s="106">
        <f>'Pradiniai duomenys'!D25</f>
        <v>45.639436827362523</v>
      </c>
      <c r="K45" s="595"/>
      <c r="L45" s="595"/>
      <c r="M45" s="595"/>
      <c r="N45" s="579"/>
      <c r="R45" s="170"/>
    </row>
    <row r="46" spans="1:21" x14ac:dyDescent="0.2">
      <c r="A46" s="107">
        <v>25</v>
      </c>
      <c r="B46" s="107">
        <v>33.700000000000003</v>
      </c>
      <c r="C46" s="157">
        <f t="shared" ref="C46:C69" si="12">E11</f>
        <v>35.15</v>
      </c>
      <c r="D46" s="157">
        <f t="shared" ref="D46:D69" si="13">G11</f>
        <v>104</v>
      </c>
      <c r="E46" s="157">
        <f t="shared" ref="E46:E69" si="14">F11</f>
        <v>110</v>
      </c>
      <c r="F46" s="157">
        <f t="shared" ref="F46:F52" si="15">E46/1000+0.15</f>
        <v>0.26</v>
      </c>
      <c r="G46" s="108">
        <f t="shared" ref="G46:G69" si="16">($G$45-N46)/((($J$42/$J$40*LN(D46/B46)+LN(R11/B46*1000))^2+LN(SQRT(((F46)^2+(R11+R11)^2)/((F46)^2+(R11-R11)^2))))/(6.28*$J$42*($J$42/$J$40*LN(D46/B46)+LN(R11/B46*1000)-($H$45-N46)/($G$45-N46)*LN(SQRT(((F46)^2+(R11+R11)^2)/((F46)^2+(R11-R11)^2))))))</f>
        <v>9.5998161096451788</v>
      </c>
      <c r="H46" s="108">
        <f t="shared" ref="H46:H69" si="17">($H$45-N46)/((($J$42/$J$40*LN(D46/B46)+LN(R11/B46*1000))^2+LN(SQRT(((F46)^2+(R11+R11)^2)/((F46)^2+(R11-R11)^2))))/(6.28*$J$42*($J$42/$J$40*LN(D46/B46)+LN(R11/B46*1000)-($G$45-N46)/($H$45-N46)*LN(SQRT(((F46)^2+(R11+R11)^2)/((F46)^2+(R11-R11)^2))))))</f>
        <v>5.5582659156344807</v>
      </c>
      <c r="I46" s="108">
        <f t="shared" ref="I46:I69" si="18">($I$45-N46)/((($J$42/$J$41*LN(D46/B46)+LN(R11/B46*1000))^2+LN(SQRT(((F46)^2+(R11+R11)^2)/((F46)^2+(R11-R11)^2))))/(6.28*$J$42*($J$42/$J$41*LN(D46/B46)+LN(R11/B46*1000)-($J$45-N46)/($I$45-N46)*LN(SQRT(((F46)^2+(R11+R11)^2)/((F46)^2+(R11-R11)^2))))))</f>
        <v>7.9407925530879044</v>
      </c>
      <c r="J46" s="108">
        <f t="shared" ref="J46:J69" si="19">($J$45-N46)/((($J$42/$J$41*LN(D46/B46)+LN(R11/B46*1000))^2+LN(SQRT(((F46)^2+(R11+R11)^2)/((F46)^2+(R11-R11)^2))))/(6.28*$J$42*($J$42/$J$41*LN(D46/B46)+LN(R11/B46*1000)-($I$45-N46)/($J$45-N46)*LN(SQRT(((F46)^2+(R11+R11)^2)/((F46)^2+(R11-R11)^2))))))</f>
        <v>4.6214022200095775</v>
      </c>
      <c r="K46" s="116">
        <f>(G46+H46)*'TV tinklas'!F42*'Pradiniai duomenys'!E$25*0.00000115</f>
        <v>0</v>
      </c>
      <c r="L46" s="116">
        <f>(I46+J46)*'TV tinklas'!K42*'Pradiniai duomenys'!E$25*0.00000115</f>
        <v>0</v>
      </c>
      <c r="M46" s="116">
        <f>SUM(K46:L46)</f>
        <v>0</v>
      </c>
      <c r="N46" s="81">
        <f>IF(R11&gt;0.7,'Pradiniai duomenys'!$J$25,'Pradiniai duomenys'!$K$25)</f>
        <v>12.57423558897243</v>
      </c>
      <c r="O46" s="79" t="str">
        <f t="shared" ref="O46:O69" si="20">U11</f>
        <v>- grunto temperatūra</v>
      </c>
      <c r="R46" s="171"/>
      <c r="S46" s="91"/>
      <c r="T46" s="172"/>
      <c r="U46" s="78"/>
    </row>
    <row r="47" spans="1:21" x14ac:dyDescent="0.2">
      <c r="A47" s="107">
        <v>32</v>
      </c>
      <c r="B47" s="107">
        <v>42.4</v>
      </c>
      <c r="C47" s="157">
        <f t="shared" si="12"/>
        <v>38.299999999999997</v>
      </c>
      <c r="D47" s="157">
        <f t="shared" si="13"/>
        <v>119</v>
      </c>
      <c r="E47" s="157">
        <f t="shared" si="14"/>
        <v>125</v>
      </c>
      <c r="F47" s="157">
        <f t="shared" si="15"/>
        <v>0.27500000000000002</v>
      </c>
      <c r="G47" s="108">
        <f t="shared" si="16"/>
        <v>10.464222895623012</v>
      </c>
      <c r="H47" s="108">
        <f t="shared" si="17"/>
        <v>6.0472777460348066</v>
      </c>
      <c r="I47" s="108">
        <f t="shared" si="18"/>
        <v>8.6585771473943325</v>
      </c>
      <c r="J47" s="108">
        <f t="shared" si="19"/>
        <v>5.0313345915290606</v>
      </c>
      <c r="K47" s="116">
        <f>(G47+H47)*'TV tinklas'!F43*'Pradiniai duomenys'!E$25*0.00000115</f>
        <v>0</v>
      </c>
      <c r="L47" s="116">
        <f>(I47+J47)*'TV tinklas'!K43*'Pradiniai duomenys'!E$25*0.00000115</f>
        <v>0</v>
      </c>
      <c r="M47" s="116">
        <f t="shared" ref="M47:M69" si="21">SUM(K47:L47)</f>
        <v>0</v>
      </c>
      <c r="N47" s="81">
        <f>IF(R12&gt;0.7,'Pradiniai duomenys'!$J$25,'Pradiniai duomenys'!$K$25)</f>
        <v>12.57423558897243</v>
      </c>
      <c r="O47" s="79" t="str">
        <f t="shared" si="20"/>
        <v>- grunto temperatūra</v>
      </c>
      <c r="R47" s="171"/>
      <c r="S47" s="91"/>
      <c r="T47" s="78"/>
      <c r="U47" s="78"/>
    </row>
    <row r="48" spans="1:21" x14ac:dyDescent="0.2">
      <c r="A48" s="107">
        <v>40</v>
      </c>
      <c r="B48" s="107">
        <v>48.3</v>
      </c>
      <c r="C48" s="157">
        <f t="shared" si="12"/>
        <v>35.35</v>
      </c>
      <c r="D48" s="157">
        <f t="shared" si="13"/>
        <v>119</v>
      </c>
      <c r="E48" s="157">
        <f t="shared" si="14"/>
        <v>125</v>
      </c>
      <c r="F48" s="157">
        <f t="shared" si="15"/>
        <v>0.27500000000000002</v>
      </c>
      <c r="G48" s="108">
        <f t="shared" si="16"/>
        <v>11.896572044550764</v>
      </c>
      <c r="H48" s="108">
        <f t="shared" si="17"/>
        <v>6.8446874082129003</v>
      </c>
      <c r="I48" s="108">
        <f t="shared" si="18"/>
        <v>9.8553708984470294</v>
      </c>
      <c r="J48" s="108">
        <f t="shared" si="19"/>
        <v>5.7060342462191116</v>
      </c>
      <c r="K48" s="116">
        <f>(G48+H48)*'TV tinklas'!F44*'Pradiniai duomenys'!E$25*0.00000115</f>
        <v>0</v>
      </c>
      <c r="L48" s="116">
        <f>(I48+J48)*'TV tinklas'!K44*'Pradiniai duomenys'!E$25*0.00000115</f>
        <v>0</v>
      </c>
      <c r="M48" s="116">
        <f t="shared" si="21"/>
        <v>0</v>
      </c>
      <c r="N48" s="81">
        <f>IF(R13&gt;0.7,'Pradiniai duomenys'!$J$25,'Pradiniai duomenys'!$K$25)</f>
        <v>12.57423558897243</v>
      </c>
      <c r="O48" s="79" t="str">
        <f t="shared" si="20"/>
        <v>- grunto temperatūra</v>
      </c>
      <c r="R48" s="171"/>
      <c r="S48" s="91"/>
      <c r="T48" s="78"/>
      <c r="U48" s="78"/>
    </row>
    <row r="49" spans="1:21" x14ac:dyDescent="0.2">
      <c r="A49" s="107">
        <v>50</v>
      </c>
      <c r="B49" s="107">
        <v>60.3</v>
      </c>
      <c r="C49" s="157">
        <f t="shared" si="12"/>
        <v>36.85</v>
      </c>
      <c r="D49" s="157">
        <f t="shared" si="13"/>
        <v>134</v>
      </c>
      <c r="E49" s="157">
        <f t="shared" si="14"/>
        <v>140</v>
      </c>
      <c r="F49" s="157">
        <f t="shared" si="15"/>
        <v>0.29000000000000004</v>
      </c>
      <c r="G49" s="108">
        <f t="shared" si="16"/>
        <v>13.37773512815758</v>
      </c>
      <c r="H49" s="108">
        <f t="shared" si="17"/>
        <v>7.6689261713733217</v>
      </c>
      <c r="I49" s="108">
        <f t="shared" si="18"/>
        <v>11.090682411267158</v>
      </c>
      <c r="J49" s="108">
        <f t="shared" si="19"/>
        <v>6.4021763740316038</v>
      </c>
      <c r="K49" s="116">
        <f>(G49+H49)*'TV tinklas'!F45*'Pradiniai duomenys'!E$25*0.00000115</f>
        <v>0</v>
      </c>
      <c r="L49" s="116">
        <f>(I49+J49)*'TV tinklas'!K45*'Pradiniai duomenys'!E$25*0.00000115</f>
        <v>0</v>
      </c>
      <c r="M49" s="116">
        <f t="shared" si="21"/>
        <v>0</v>
      </c>
      <c r="N49" s="81">
        <f>IF(R14&gt;0.7,'Pradiniai duomenys'!$J$25,'Pradiniai duomenys'!$K$25)</f>
        <v>12.57423558897243</v>
      </c>
      <c r="O49" s="79" t="str">
        <f t="shared" si="20"/>
        <v>- grunto temperatūra</v>
      </c>
      <c r="R49" s="171"/>
      <c r="S49" s="91"/>
      <c r="T49" s="78"/>
      <c r="U49" s="78"/>
    </row>
    <row r="50" spans="1:21" x14ac:dyDescent="0.2">
      <c r="A50" s="107">
        <v>65</v>
      </c>
      <c r="B50" s="107">
        <v>76.099999999999994</v>
      </c>
      <c r="C50" s="157">
        <f t="shared" si="12"/>
        <v>38.950000000000003</v>
      </c>
      <c r="D50" s="157">
        <f t="shared" si="13"/>
        <v>154</v>
      </c>
      <c r="E50" s="157">
        <f t="shared" si="14"/>
        <v>160</v>
      </c>
      <c r="F50" s="157">
        <f t="shared" si="15"/>
        <v>0.31</v>
      </c>
      <c r="G50" s="108">
        <f t="shared" si="16"/>
        <v>15.092627030412562</v>
      </c>
      <c r="H50" s="108">
        <f t="shared" si="17"/>
        <v>8.6183965119019899</v>
      </c>
      <c r="I50" s="108">
        <f t="shared" si="18"/>
        <v>12.521546343220395</v>
      </c>
      <c r="J50" s="108">
        <f t="shared" si="19"/>
        <v>7.2052132520795693</v>
      </c>
      <c r="K50" s="116">
        <f>(G50+H50)*'TV tinklas'!F46*'Pradiniai duomenys'!E$25*0.00000115</f>
        <v>0</v>
      </c>
      <c r="L50" s="116">
        <f>(I50+J50)*'TV tinklas'!K46*'Pradiniai duomenys'!E$25*0.00000115</f>
        <v>0</v>
      </c>
      <c r="M50" s="116">
        <f t="shared" si="21"/>
        <v>0</v>
      </c>
      <c r="N50" s="81">
        <f>IF(R15&gt;0.7,'Pradiniai duomenys'!$J$25,'Pradiniai duomenys'!$K$25)</f>
        <v>12.57423558897243</v>
      </c>
      <c r="O50" s="79" t="str">
        <f t="shared" si="20"/>
        <v>- grunto temperatūra</v>
      </c>
      <c r="R50" s="171"/>
      <c r="S50" s="91"/>
      <c r="T50" s="78"/>
      <c r="U50" s="78"/>
    </row>
    <row r="51" spans="1:21" x14ac:dyDescent="0.2">
      <c r="A51" s="107">
        <v>80</v>
      </c>
      <c r="B51" s="107">
        <v>88.9</v>
      </c>
      <c r="C51" s="157">
        <f t="shared" si="12"/>
        <v>42.55</v>
      </c>
      <c r="D51" s="157">
        <f t="shared" si="13"/>
        <v>174</v>
      </c>
      <c r="E51" s="157">
        <f t="shared" si="14"/>
        <v>180</v>
      </c>
      <c r="F51" s="157">
        <f t="shared" si="15"/>
        <v>0.32999999999999996</v>
      </c>
      <c r="G51" s="108">
        <f t="shared" si="16"/>
        <v>15.845337938170816</v>
      </c>
      <c r="H51" s="108">
        <f t="shared" si="17"/>
        <v>9.0400949510525415</v>
      </c>
      <c r="I51" s="108">
        <f t="shared" si="18"/>
        <v>13.145772404699539</v>
      </c>
      <c r="J51" s="108">
        <f t="shared" si="19"/>
        <v>7.5589189135816319</v>
      </c>
      <c r="K51" s="116">
        <f>(G51+H51)*'TV tinklas'!F48*'Pradiniai duomenys'!E$25*0.00000115</f>
        <v>0</v>
      </c>
      <c r="L51" s="116">
        <f>(I51+J51)*'TV tinklas'!K48*'Pradiniai duomenys'!E$25*0.00000115</f>
        <v>0</v>
      </c>
      <c r="M51" s="116">
        <f t="shared" si="21"/>
        <v>0</v>
      </c>
      <c r="N51" s="81">
        <f>IF(R16&gt;0.7,'Pradiniai duomenys'!$J$25,'Pradiniai duomenys'!$K$25)</f>
        <v>12.57423558897243</v>
      </c>
      <c r="O51" s="79" t="str">
        <f t="shared" si="20"/>
        <v>- grunto temperatūra</v>
      </c>
      <c r="R51" s="171"/>
      <c r="S51" s="91"/>
      <c r="T51" s="78"/>
      <c r="U51" s="78"/>
    </row>
    <row r="52" spans="1:21" x14ac:dyDescent="0.2">
      <c r="A52" s="107">
        <v>100</v>
      </c>
      <c r="B52" s="107">
        <v>114.3</v>
      </c>
      <c r="C52" s="157">
        <f t="shared" si="12"/>
        <v>51.949999999999996</v>
      </c>
      <c r="D52" s="157">
        <f t="shared" si="13"/>
        <v>218.2</v>
      </c>
      <c r="E52" s="157">
        <f t="shared" si="14"/>
        <v>225</v>
      </c>
      <c r="F52" s="157">
        <f t="shared" si="15"/>
        <v>0.375</v>
      </c>
      <c r="G52" s="108">
        <f t="shared" si="16"/>
        <v>16.520591445698741</v>
      </c>
      <c r="H52" s="108">
        <f t="shared" si="17"/>
        <v>9.4336330449017964</v>
      </c>
      <c r="I52" s="108">
        <f t="shared" si="18"/>
        <v>13.696954678525524</v>
      </c>
      <c r="J52" s="108">
        <f t="shared" si="19"/>
        <v>7.8816561064407997</v>
      </c>
      <c r="K52" s="116">
        <f>(G52+H52)*'TV tinklas'!F49*'Pradiniai duomenys'!E$25*0.00000115</f>
        <v>0</v>
      </c>
      <c r="L52" s="116">
        <f>(I52+J52)*'TV tinklas'!K49*'Pradiniai duomenys'!E$25*0.00000115</f>
        <v>10.640844550282594</v>
      </c>
      <c r="M52" s="116">
        <f>SUM(K52:L52)</f>
        <v>10.640844550282594</v>
      </c>
      <c r="N52" s="81">
        <f>IF(R17&gt;0.7,'Pradiniai duomenys'!$J$25,'Pradiniai duomenys'!$K$25)</f>
        <v>12.57423558897243</v>
      </c>
      <c r="O52" s="79" t="str">
        <f t="shared" si="20"/>
        <v>- grunto temperatūra</v>
      </c>
      <c r="R52" s="171"/>
      <c r="S52" s="91"/>
      <c r="T52" s="78"/>
      <c r="U52" s="78"/>
    </row>
    <row r="53" spans="1:21" x14ac:dyDescent="0.2">
      <c r="A53" s="107">
        <v>125</v>
      </c>
      <c r="B53" s="107">
        <v>139.69999999999999</v>
      </c>
      <c r="C53" s="157">
        <f t="shared" si="12"/>
        <v>51.550000000000011</v>
      </c>
      <c r="D53" s="157">
        <f t="shared" si="13"/>
        <v>242.8</v>
      </c>
      <c r="E53" s="157">
        <f t="shared" si="14"/>
        <v>250</v>
      </c>
      <c r="F53" s="157">
        <f>E53/1000+0.25</f>
        <v>0.5</v>
      </c>
      <c r="G53" s="108">
        <f t="shared" si="16"/>
        <v>19.276635109123784</v>
      </c>
      <c r="H53" s="108">
        <f t="shared" si="17"/>
        <v>11.020763937082085</v>
      </c>
      <c r="I53" s="108">
        <f t="shared" si="18"/>
        <v>15.989073413314836</v>
      </c>
      <c r="J53" s="108">
        <f t="shared" si="19"/>
        <v>9.2095237710323605</v>
      </c>
      <c r="K53" s="116">
        <f>(G53+H53)*'TV tinklas'!F50*'Pradiniai duomenys'!E$25*0.00000115</f>
        <v>0</v>
      </c>
      <c r="L53" s="116">
        <f>(I53+J53)*'TV tinklas'!K50*'Pradiniai duomenys'!E$25*0.00000115</f>
        <v>0</v>
      </c>
      <c r="M53" s="116">
        <f t="shared" si="21"/>
        <v>0</v>
      </c>
      <c r="N53" s="81">
        <f>IF(R18&gt;0.7,'Pradiniai duomenys'!$J$25,'Pradiniai duomenys'!$K$25)</f>
        <v>12.57423558897243</v>
      </c>
      <c r="O53" s="79" t="str">
        <f t="shared" si="20"/>
        <v>- grunto temperatūra</v>
      </c>
      <c r="R53" s="171"/>
      <c r="S53" s="91"/>
      <c r="T53" s="78"/>
      <c r="U53" s="78"/>
    </row>
    <row r="54" spans="1:21" x14ac:dyDescent="0.2">
      <c r="A54" s="107">
        <v>150</v>
      </c>
      <c r="B54" s="107">
        <v>168.3</v>
      </c>
      <c r="C54" s="157">
        <f t="shared" si="12"/>
        <v>51.949999999999989</v>
      </c>
      <c r="D54" s="157">
        <f t="shared" si="13"/>
        <v>272.2</v>
      </c>
      <c r="E54" s="157">
        <f t="shared" si="14"/>
        <v>280</v>
      </c>
      <c r="F54" s="157">
        <f t="shared" ref="F54:F65" si="22">E54/1000+0.25</f>
        <v>0.53</v>
      </c>
      <c r="G54" s="108">
        <f t="shared" si="16"/>
        <v>22.049292344264735</v>
      </c>
      <c r="H54" s="108">
        <f t="shared" si="17"/>
        <v>12.544215853444873</v>
      </c>
      <c r="I54" s="108">
        <f t="shared" si="18"/>
        <v>18.305760506930749</v>
      </c>
      <c r="J54" s="108">
        <f t="shared" si="19"/>
        <v>10.501766642849422</v>
      </c>
      <c r="K54" s="116">
        <f>(G54+H54)*'TV tinklas'!F51*'Pradiniai duomenys'!E$25*0.00000115</f>
        <v>0</v>
      </c>
      <c r="L54" s="116">
        <f>(I54+J54)*'TV tinklas'!K51*'Pradiniai duomenys'!E$25*0.00000115</f>
        <v>0</v>
      </c>
      <c r="M54" s="116">
        <f t="shared" si="21"/>
        <v>0</v>
      </c>
      <c r="N54" s="81">
        <f>IF(R19&gt;0.7,'Pradiniai duomenys'!$J$25,'Pradiniai duomenys'!$K$25)</f>
        <v>12.57423558897243</v>
      </c>
      <c r="O54" s="79" t="str">
        <f t="shared" si="20"/>
        <v>- grunto temperatūra</v>
      </c>
      <c r="R54" s="171"/>
      <c r="S54" s="91"/>
      <c r="T54" s="78"/>
      <c r="U54" s="78"/>
    </row>
    <row r="55" spans="1:21" x14ac:dyDescent="0.2">
      <c r="A55" s="107">
        <v>200</v>
      </c>
      <c r="B55" s="107">
        <v>219.1</v>
      </c>
      <c r="C55" s="157">
        <f t="shared" si="12"/>
        <v>63.45</v>
      </c>
      <c r="D55" s="157">
        <f t="shared" si="13"/>
        <v>346</v>
      </c>
      <c r="E55" s="157">
        <f t="shared" si="14"/>
        <v>355</v>
      </c>
      <c r="F55" s="157">
        <f t="shared" si="22"/>
        <v>0.60499999999999998</v>
      </c>
      <c r="G55" s="108">
        <f t="shared" si="16"/>
        <v>23.318927469373588</v>
      </c>
      <c r="H55" s="108">
        <f t="shared" si="17"/>
        <v>13.274685786784223</v>
      </c>
      <c r="I55" s="108">
        <f t="shared" si="18"/>
        <v>19.343345427894295</v>
      </c>
      <c r="J55" s="108">
        <f t="shared" si="19"/>
        <v>11.102914825440621</v>
      </c>
      <c r="K55" s="116">
        <f>(G55+H55)*'TV tinklas'!F53*'Pradiniai duomenys'!E$25*0.00000115</f>
        <v>0</v>
      </c>
      <c r="L55" s="116">
        <f>(I55+J55)*'TV tinklas'!K53*'Pradiniai duomenys'!E$25*0.00000115</f>
        <v>0</v>
      </c>
      <c r="M55" s="116">
        <f t="shared" si="21"/>
        <v>0</v>
      </c>
      <c r="N55" s="81">
        <f>IF(R20&gt;0.7,'Pradiniai duomenys'!$J$25,'Pradiniai duomenys'!$K$25)</f>
        <v>12.57423558897243</v>
      </c>
      <c r="O55" s="79" t="str">
        <f t="shared" si="20"/>
        <v>- grunto temperatūra</v>
      </c>
      <c r="R55" s="171"/>
      <c r="S55" s="91"/>
      <c r="T55" s="78"/>
      <c r="U55" s="78"/>
    </row>
    <row r="56" spans="1:21" x14ac:dyDescent="0.2">
      <c r="A56" s="107">
        <v>250</v>
      </c>
      <c r="B56" s="107">
        <v>273</v>
      </c>
      <c r="C56" s="157">
        <f t="shared" si="12"/>
        <v>83.300000000000011</v>
      </c>
      <c r="D56" s="157">
        <f t="shared" si="13"/>
        <v>439.6</v>
      </c>
      <c r="E56" s="157">
        <f t="shared" si="14"/>
        <v>450</v>
      </c>
      <c r="F56" s="157">
        <f t="shared" si="22"/>
        <v>0.7</v>
      </c>
      <c r="G56" s="108">
        <f t="shared" si="16"/>
        <v>22.598937397202207</v>
      </c>
      <c r="H56" s="108">
        <f t="shared" si="17"/>
        <v>12.928844555130773</v>
      </c>
      <c r="I56" s="108">
        <f t="shared" si="18"/>
        <v>18.711912865329197</v>
      </c>
      <c r="J56" s="108">
        <f t="shared" si="19"/>
        <v>10.784390899763579</v>
      </c>
      <c r="K56" s="116">
        <f>(G56+H56)*'TV tinklas'!F54*'Pradiniai duomenys'!E$25*0.00000115</f>
        <v>0</v>
      </c>
      <c r="L56" s="116">
        <f>(I56+J56)*'TV tinklas'!K54*'Pradiniai duomenys'!E$25*0.00000115</f>
        <v>0</v>
      </c>
      <c r="M56" s="116">
        <f t="shared" si="21"/>
        <v>0</v>
      </c>
      <c r="N56" s="81">
        <f>IF(R21&gt;0.7,'Pradiniai duomenys'!$J$25,'Pradiniai duomenys'!$K$25)</f>
        <v>12.57423558897243</v>
      </c>
      <c r="O56" s="79" t="str">
        <f t="shared" si="20"/>
        <v>- grunto temperatūra</v>
      </c>
      <c r="R56" s="171"/>
      <c r="S56" s="91"/>
      <c r="T56" s="78"/>
      <c r="U56" s="78"/>
    </row>
    <row r="57" spans="1:21" x14ac:dyDescent="0.2">
      <c r="A57" s="107">
        <v>300</v>
      </c>
      <c r="B57" s="107">
        <v>323.89999999999998</v>
      </c>
      <c r="C57" s="157">
        <f t="shared" si="12"/>
        <v>82.450000000000017</v>
      </c>
      <c r="D57" s="157">
        <f t="shared" si="13"/>
        <v>488.8</v>
      </c>
      <c r="E57" s="157">
        <f t="shared" si="14"/>
        <v>500</v>
      </c>
      <c r="F57" s="157">
        <f t="shared" si="22"/>
        <v>0.75</v>
      </c>
      <c r="G57" s="108">
        <f t="shared" si="16"/>
        <v>26.058690554207065</v>
      </c>
      <c r="H57" s="108">
        <f t="shared" si="17"/>
        <v>14.835074374057179</v>
      </c>
      <c r="I57" s="108">
        <f t="shared" si="18"/>
        <v>21.592685774904147</v>
      </c>
      <c r="J57" s="108">
        <f t="shared" si="19"/>
        <v>12.395067287136806</v>
      </c>
      <c r="K57" s="116">
        <f>(G57+H57)*'TV tinklas'!F55*'Pradiniai duomenys'!E$25*0.00000115</f>
        <v>0</v>
      </c>
      <c r="L57" s="116">
        <f>(I57+J57)*'TV tinklas'!K55*'Pradiniai duomenys'!E$25*0.00000115</f>
        <v>0</v>
      </c>
      <c r="M57" s="116">
        <f t="shared" si="21"/>
        <v>0</v>
      </c>
      <c r="N57" s="81">
        <f>IF(R22&gt;0.7,'Pradiniai duomenys'!$J$25,'Pradiniai duomenys'!$K$25)</f>
        <v>12.57423558897243</v>
      </c>
      <c r="O57" s="79" t="str">
        <f t="shared" si="20"/>
        <v>- grunto temperatūra</v>
      </c>
      <c r="R57" s="171"/>
      <c r="S57" s="91"/>
      <c r="T57" s="78"/>
      <c r="U57" s="78"/>
    </row>
    <row r="58" spans="1:21" x14ac:dyDescent="0.2">
      <c r="A58" s="107">
        <v>350</v>
      </c>
      <c r="B58" s="107">
        <v>355.6</v>
      </c>
      <c r="C58" s="157">
        <f t="shared" si="12"/>
        <v>96.199999999999989</v>
      </c>
      <c r="D58" s="157">
        <f t="shared" si="13"/>
        <v>548</v>
      </c>
      <c r="E58" s="157">
        <f t="shared" si="14"/>
        <v>560</v>
      </c>
      <c r="F58" s="157">
        <f t="shared" si="22"/>
        <v>0.81</v>
      </c>
      <c r="G58" s="108">
        <f t="shared" si="16"/>
        <v>24.961237823008876</v>
      </c>
      <c r="H58" s="108">
        <f t="shared" si="17"/>
        <v>14.265782488117246</v>
      </c>
      <c r="I58" s="108">
        <f t="shared" si="18"/>
        <v>20.658887030131197</v>
      </c>
      <c r="J58" s="108">
        <f t="shared" si="19"/>
        <v>11.896914532077455</v>
      </c>
      <c r="K58" s="116">
        <f>(G58+H58)*'TV tinklas'!F56*'Pradiniai duomenys'!E$25*0.00000115</f>
        <v>0</v>
      </c>
      <c r="L58" s="116">
        <f>(I58+J58)*'TV tinklas'!K56*'Pradiniai duomenys'!E$25*0.00000115</f>
        <v>0</v>
      </c>
      <c r="M58" s="116">
        <f t="shared" si="21"/>
        <v>0</v>
      </c>
      <c r="N58" s="81">
        <f>IF(R23&gt;0.7,'Pradiniai duomenys'!$J$25,'Pradiniai duomenys'!$K$25)</f>
        <v>12.57423558897243</v>
      </c>
      <c r="O58" s="79" t="str">
        <f t="shared" si="20"/>
        <v>- grunto temperatūra</v>
      </c>
      <c r="R58" s="171"/>
      <c r="S58" s="91"/>
      <c r="T58" s="78"/>
      <c r="U58" s="78"/>
    </row>
    <row r="59" spans="1:21" x14ac:dyDescent="0.2">
      <c r="A59" s="107">
        <v>400</v>
      </c>
      <c r="B59" s="107">
        <v>406.4</v>
      </c>
      <c r="C59" s="157">
        <f t="shared" si="12"/>
        <v>105.19999999999999</v>
      </c>
      <c r="D59" s="157">
        <f t="shared" si="13"/>
        <v>616.79999999999995</v>
      </c>
      <c r="E59" s="157">
        <f t="shared" si="14"/>
        <v>630</v>
      </c>
      <c r="F59" s="157">
        <f t="shared" si="22"/>
        <v>0.88</v>
      </c>
      <c r="G59" s="108">
        <f t="shared" si="16"/>
        <v>25.937722017897073</v>
      </c>
      <c r="H59" s="108">
        <f t="shared" si="17"/>
        <v>14.827039500344434</v>
      </c>
      <c r="I59" s="108">
        <f t="shared" si="18"/>
        <v>21.458131172538469</v>
      </c>
      <c r="J59" s="108">
        <f t="shared" si="19"/>
        <v>12.359510688627157</v>
      </c>
      <c r="K59" s="116">
        <f>(G59+H59)*'TV tinklas'!F57*'Pradiniai duomenys'!E$25*0.00000115</f>
        <v>0</v>
      </c>
      <c r="L59" s="116">
        <f>(I59+J59)*'TV tinklas'!K57*'Pradiniai duomenys'!E$25*0.00000115</f>
        <v>0</v>
      </c>
      <c r="M59" s="116">
        <f t="shared" si="21"/>
        <v>0</v>
      </c>
      <c r="N59" s="81">
        <f>IF(R24&gt;0.7,'Pradiniai duomenys'!$J$25,'Pradiniai duomenys'!$K$25)</f>
        <v>12.57423558897243</v>
      </c>
      <c r="O59" s="79" t="str">
        <f t="shared" si="20"/>
        <v>- grunto temperatūra</v>
      </c>
      <c r="R59" s="171"/>
      <c r="S59" s="91"/>
      <c r="T59" s="78"/>
      <c r="U59" s="78"/>
    </row>
    <row r="60" spans="1:21" x14ac:dyDescent="0.2">
      <c r="A60" s="107">
        <v>450</v>
      </c>
      <c r="B60" s="107">
        <v>457.2</v>
      </c>
      <c r="C60" s="157">
        <f t="shared" si="12"/>
        <v>119.20000000000002</v>
      </c>
      <c r="D60" s="157">
        <f t="shared" si="13"/>
        <v>695.6</v>
      </c>
      <c r="E60" s="157">
        <f t="shared" si="14"/>
        <v>710</v>
      </c>
      <c r="F60" s="157">
        <f t="shared" si="22"/>
        <v>0.96</v>
      </c>
      <c r="G60" s="108">
        <f t="shared" si="16"/>
        <v>25.900013927833854</v>
      </c>
      <c r="H60" s="108">
        <f t="shared" si="17"/>
        <v>14.835296995388042</v>
      </c>
      <c r="I60" s="108">
        <f t="shared" si="18"/>
        <v>21.410284500607968</v>
      </c>
      <c r="J60" s="108">
        <f t="shared" si="19"/>
        <v>12.352334767095295</v>
      </c>
      <c r="K60" s="116">
        <f>(G60+H60)*'TV tinklas'!F58*'Pradiniai duomenys'!E$25*0.00000115</f>
        <v>0</v>
      </c>
      <c r="L60" s="116">
        <f>(I60+J60)*'TV tinklas'!K58*'Pradiniai duomenys'!E$25*0.00000115</f>
        <v>0</v>
      </c>
      <c r="M60" s="116">
        <f t="shared" si="21"/>
        <v>0</v>
      </c>
      <c r="N60" s="81">
        <f>IF(R25&gt;0.7,'Pradiniai duomenys'!$J$25,'Pradiniai duomenys'!$K$25)</f>
        <v>12.57423558897243</v>
      </c>
      <c r="O60" s="79" t="str">
        <f t="shared" si="20"/>
        <v>- grunto temperatūra</v>
      </c>
      <c r="R60" s="171"/>
      <c r="S60" s="91"/>
      <c r="T60" s="78"/>
      <c r="U60" s="78"/>
    </row>
    <row r="61" spans="1:21" x14ac:dyDescent="0.2">
      <c r="A61" s="107">
        <v>500</v>
      </c>
      <c r="B61" s="107">
        <v>508</v>
      </c>
      <c r="C61" s="157">
        <f t="shared" si="12"/>
        <v>138.10000000000002</v>
      </c>
      <c r="D61" s="157">
        <f t="shared" si="13"/>
        <v>784.2</v>
      </c>
      <c r="E61" s="157">
        <f t="shared" si="14"/>
        <v>800</v>
      </c>
      <c r="F61" s="157">
        <f t="shared" si="22"/>
        <v>1.05</v>
      </c>
      <c r="G61" s="108">
        <f t="shared" si="16"/>
        <v>25.164728471840579</v>
      </c>
      <c r="H61" s="108">
        <f t="shared" si="17"/>
        <v>14.457724561651728</v>
      </c>
      <c r="I61" s="108">
        <f t="shared" si="18"/>
        <v>20.782923416135276</v>
      </c>
      <c r="J61" s="108">
        <f t="shared" si="19"/>
        <v>12.020042555726096</v>
      </c>
      <c r="K61" s="116">
        <f>(G61+H61)*'TV tinklas'!F59*'Pradiniai duomenys'!E$25*0.00000115</f>
        <v>0</v>
      </c>
      <c r="L61" s="116">
        <f>(I61+J61)*'TV tinklas'!K59*'Pradiniai duomenys'!E$25*0.00000115</f>
        <v>0</v>
      </c>
      <c r="M61" s="116">
        <f t="shared" si="21"/>
        <v>0</v>
      </c>
      <c r="N61" s="81">
        <f>IF(R26&gt;0.7,'Pradiniai duomenys'!$J$25,'Pradiniai duomenys'!$K$25)</f>
        <v>12.57423558897243</v>
      </c>
      <c r="O61" s="79" t="str">
        <f t="shared" si="20"/>
        <v>- grunto temperatūra</v>
      </c>
      <c r="R61" s="171"/>
      <c r="S61" s="91"/>
      <c r="T61" s="78"/>
      <c r="U61" s="78"/>
    </row>
    <row r="62" spans="1:21" x14ac:dyDescent="0.2">
      <c r="A62" s="107">
        <v>550</v>
      </c>
      <c r="B62" s="107">
        <v>558.79999999999995</v>
      </c>
      <c r="C62" s="157">
        <f t="shared" si="12"/>
        <v>112.70000000000005</v>
      </c>
      <c r="D62" s="157">
        <f t="shared" si="13"/>
        <v>784.2</v>
      </c>
      <c r="E62" s="157">
        <f t="shared" si="14"/>
        <v>800</v>
      </c>
      <c r="F62" s="157">
        <f t="shared" si="22"/>
        <v>1.05</v>
      </c>
      <c r="G62" s="108">
        <f t="shared" si="16"/>
        <v>31.916547399464275</v>
      </c>
      <c r="H62" s="108">
        <f t="shared" si="17"/>
        <v>18.144279308619183</v>
      </c>
      <c r="I62" s="108">
        <f t="shared" si="18"/>
        <v>26.409500160267545</v>
      </c>
      <c r="J62" s="108">
        <f t="shared" si="19"/>
        <v>15.14379511289663</v>
      </c>
      <c r="K62" s="116">
        <f>(G62+H62)*'TV tinklas'!F60*'Pradiniai duomenys'!E$25*0.00000115</f>
        <v>0</v>
      </c>
      <c r="L62" s="116">
        <f>(I62+J62)*'TV tinklas'!K60*'Pradiniai duomenys'!E$25*0.00000115</f>
        <v>0</v>
      </c>
      <c r="M62" s="116">
        <f>SUM(K62:L62)</f>
        <v>0</v>
      </c>
      <c r="N62" s="81">
        <f>IF(R27&gt;0.7,'Pradiniai duomenys'!$J$25,'Pradiniai duomenys'!$K$25)</f>
        <v>12.57423558897243</v>
      </c>
      <c r="O62" s="79" t="str">
        <f t="shared" si="20"/>
        <v>- grunto temperatūra</v>
      </c>
      <c r="R62" s="172"/>
      <c r="S62" s="91"/>
      <c r="T62" s="78"/>
      <c r="U62" s="78"/>
    </row>
    <row r="63" spans="1:21" x14ac:dyDescent="0.2">
      <c r="A63" s="154">
        <v>600</v>
      </c>
      <c r="B63" s="154">
        <v>609.6</v>
      </c>
      <c r="C63" s="157">
        <f t="shared" si="12"/>
        <v>136.5</v>
      </c>
      <c r="D63" s="157">
        <f t="shared" si="13"/>
        <v>882.6</v>
      </c>
      <c r="E63" s="157">
        <f t="shared" si="14"/>
        <v>900</v>
      </c>
      <c r="F63" s="157">
        <f t="shared" si="22"/>
        <v>1.1499999999999999</v>
      </c>
      <c r="G63" s="108">
        <f t="shared" si="16"/>
        <v>29.46731820399815</v>
      </c>
      <c r="H63" s="108">
        <f t="shared" si="17"/>
        <v>16.851937345594816</v>
      </c>
      <c r="I63" s="108">
        <f t="shared" si="18"/>
        <v>24.346270317145216</v>
      </c>
      <c r="J63" s="108">
        <f t="shared" si="19"/>
        <v>14.028574702903153</v>
      </c>
      <c r="K63" s="116">
        <f>(G63+H63)*'TV tinklas'!F60*'Pradiniai duomenys'!E$25*0.00000115</f>
        <v>0</v>
      </c>
      <c r="L63" s="116">
        <f>(I63+J63)*'TV tinklas'!K60*'Pradiniai duomenys'!E$25*0.00000115</f>
        <v>0</v>
      </c>
      <c r="M63" s="116">
        <f t="shared" si="21"/>
        <v>0</v>
      </c>
      <c r="N63" s="81">
        <f>IF(R28&gt;0.7,'Pradiniai duomenys'!$J$25,'Pradiniai duomenys'!$K$25)</f>
        <v>12.57423558897243</v>
      </c>
      <c r="O63" s="79" t="str">
        <f t="shared" si="20"/>
        <v>- grunto temperatūra</v>
      </c>
      <c r="R63" s="171"/>
      <c r="S63" s="91"/>
      <c r="T63" s="78"/>
      <c r="U63" s="78"/>
    </row>
    <row r="64" spans="1:21" x14ac:dyDescent="0.2">
      <c r="A64" s="107">
        <v>700</v>
      </c>
      <c r="B64" s="107">
        <v>711</v>
      </c>
      <c r="C64" s="157">
        <f t="shared" si="12"/>
        <v>85.800000000000011</v>
      </c>
      <c r="D64" s="157">
        <f t="shared" si="13"/>
        <v>882.6</v>
      </c>
      <c r="E64" s="157">
        <f t="shared" si="14"/>
        <v>900</v>
      </c>
      <c r="F64" s="157">
        <f t="shared" si="22"/>
        <v>1.1499999999999999</v>
      </c>
      <c r="G64" s="108">
        <f t="shared" si="16"/>
        <v>49.053367969346553</v>
      </c>
      <c r="H64" s="108">
        <f t="shared" si="17"/>
        <v>27.204872494591346</v>
      </c>
      <c r="I64" s="108">
        <f t="shared" si="18"/>
        <v>40.7467146834083</v>
      </c>
      <c r="J64" s="108">
        <f t="shared" si="19"/>
        <v>22.903015565756029</v>
      </c>
      <c r="K64" s="116">
        <f>(G64+H64)*'TV tinklas'!F61*'Pradiniai duomenys'!E$25*0.00000115</f>
        <v>0</v>
      </c>
      <c r="L64" s="116">
        <f>(I64+J64)*'TV tinklas'!K61*'Pradiniai duomenys'!E$25*0.00000115</f>
        <v>0</v>
      </c>
      <c r="M64" s="116">
        <f t="shared" si="21"/>
        <v>0</v>
      </c>
      <c r="N64" s="81">
        <f>IF(R29&gt;0.7,'Pradiniai duomenys'!$J$25,'Pradiniai duomenys'!$K$25)</f>
        <v>12.57423558897243</v>
      </c>
      <c r="O64" s="79" t="str">
        <f t="shared" si="20"/>
        <v>- grunto temperatūra</v>
      </c>
      <c r="R64" s="171"/>
      <c r="S64" s="91"/>
      <c r="T64" s="78"/>
      <c r="U64" s="78"/>
    </row>
    <row r="65" spans="1:21" x14ac:dyDescent="0.2">
      <c r="A65" s="107">
        <v>800</v>
      </c>
      <c r="B65" s="107">
        <v>820</v>
      </c>
      <c r="C65" s="157">
        <f t="shared" si="12"/>
        <v>80.600000000000023</v>
      </c>
      <c r="D65" s="157">
        <f t="shared" si="13"/>
        <v>981.2</v>
      </c>
      <c r="E65" s="157">
        <f t="shared" si="14"/>
        <v>1000</v>
      </c>
      <c r="F65" s="157">
        <f t="shared" si="22"/>
        <v>1.25</v>
      </c>
      <c r="G65" s="108">
        <f t="shared" si="16"/>
        <v>58.701946666058689</v>
      </c>
      <c r="H65" s="108">
        <f t="shared" si="17"/>
        <v>32.159978037779545</v>
      </c>
      <c r="I65" s="108">
        <f t="shared" si="18"/>
        <v>48.832911743617849</v>
      </c>
      <c r="J65" s="108">
        <f t="shared" si="19"/>
        <v>27.181014396953593</v>
      </c>
      <c r="K65" s="116">
        <f>(G65+H65)*'TV tinklas'!F62*'Pradiniai duomenys'!E$25*0.00000115</f>
        <v>0</v>
      </c>
      <c r="L65" s="116">
        <f>(I65+J65)*'TV tinklas'!K62*'Pradiniai duomenys'!E$25*0.00000115</f>
        <v>0</v>
      </c>
      <c r="M65" s="116">
        <f t="shared" si="21"/>
        <v>0</v>
      </c>
      <c r="N65" s="81">
        <f>IF(R30&gt;0.7,'Pradiniai duomenys'!$J$25,'Pradiniai duomenys'!$K$25)</f>
        <v>12.57423558897243</v>
      </c>
      <c r="O65" s="79" t="str">
        <f t="shared" si="20"/>
        <v>- grunto temperatūra</v>
      </c>
      <c r="R65" s="171"/>
      <c r="S65" s="91"/>
      <c r="T65" s="78"/>
      <c r="U65" s="78"/>
    </row>
    <row r="66" spans="1:21" x14ac:dyDescent="0.2">
      <c r="A66" s="107">
        <v>900</v>
      </c>
      <c r="B66" s="107">
        <v>914</v>
      </c>
      <c r="C66" s="157">
        <f t="shared" si="12"/>
        <v>82.799999999999955</v>
      </c>
      <c r="D66" s="157">
        <f t="shared" si="13"/>
        <v>1079.5999999999999</v>
      </c>
      <c r="E66" s="157">
        <f t="shared" si="14"/>
        <v>1100</v>
      </c>
      <c r="F66" s="157">
        <f>E66/1000+0.25</f>
        <v>1.35</v>
      </c>
      <c r="G66" s="108">
        <f t="shared" si="16"/>
        <v>63.337835600930532</v>
      </c>
      <c r="H66" s="108">
        <f t="shared" si="17"/>
        <v>34.567688280273643</v>
      </c>
      <c r="I66" s="108">
        <f t="shared" si="18"/>
        <v>52.687625709076407</v>
      </c>
      <c r="J66" s="108">
        <f t="shared" si="19"/>
        <v>29.238987901127949</v>
      </c>
      <c r="K66" s="116">
        <f>(G66+H66)*'TV tinklas'!F63*'Pradiniai duomenys'!E$25*0.00000115</f>
        <v>0</v>
      </c>
      <c r="L66" s="116">
        <f>(I66+J66)*'TV tinklas'!K63*'Pradiniai duomenys'!E$25*0.00000115</f>
        <v>0</v>
      </c>
      <c r="M66" s="116">
        <f t="shared" si="21"/>
        <v>0</v>
      </c>
      <c r="N66" s="81">
        <f>IF(R31&gt;0.7,'Pradiniai duomenys'!$J$25,'Pradiniai duomenys'!$K$25)</f>
        <v>12.57423558897243</v>
      </c>
      <c r="O66" s="79" t="str">
        <f t="shared" si="20"/>
        <v>- grunto temperatūra</v>
      </c>
      <c r="R66" s="171"/>
      <c r="S66" s="91"/>
      <c r="T66" s="78"/>
      <c r="U66" s="78"/>
    </row>
    <row r="67" spans="1:21" x14ac:dyDescent="0.2">
      <c r="A67" s="107">
        <v>1000</v>
      </c>
      <c r="B67" s="107">
        <v>1016</v>
      </c>
      <c r="C67" s="157">
        <f t="shared" si="12"/>
        <v>81</v>
      </c>
      <c r="D67" s="157">
        <f t="shared" si="13"/>
        <v>1178</v>
      </c>
      <c r="E67" s="157">
        <f t="shared" si="14"/>
        <v>1200</v>
      </c>
      <c r="F67" s="157">
        <f>E67/1000+0.25</f>
        <v>1.45</v>
      </c>
      <c r="G67" s="108">
        <f t="shared" si="16"/>
        <v>71.094351219967137</v>
      </c>
      <c r="H67" s="108">
        <f t="shared" si="17"/>
        <v>38.462162871765734</v>
      </c>
      <c r="I67" s="108">
        <f t="shared" si="18"/>
        <v>59.185659867803182</v>
      </c>
      <c r="J67" s="108">
        <f t="shared" si="19"/>
        <v>32.618337526313148</v>
      </c>
      <c r="K67" s="116">
        <f>(G67+H67)*'TV tinklas'!F64*'Pradiniai duomenys'!E$25*0.00000115</f>
        <v>0</v>
      </c>
      <c r="L67" s="116">
        <f>(I67+J67)*'TV tinklas'!K64*'Pradiniai duomenys'!E$25*0.00000115</f>
        <v>0</v>
      </c>
      <c r="M67" s="116">
        <f t="shared" si="21"/>
        <v>0</v>
      </c>
      <c r="N67" s="81">
        <f>IF(R32&gt;0.7,'Pradiniai duomenys'!$J$25,'Pradiniai duomenys'!$K$25)</f>
        <v>12.57423558897243</v>
      </c>
      <c r="O67" s="79" t="str">
        <f t="shared" si="20"/>
        <v>- grunto temperatūra</v>
      </c>
      <c r="R67" s="171"/>
      <c r="S67" s="91"/>
      <c r="T67" s="78"/>
      <c r="U67" s="78"/>
    </row>
    <row r="68" spans="1:21" x14ac:dyDescent="0.2">
      <c r="A68" s="107">
        <v>1100</v>
      </c>
      <c r="B68" s="107">
        <v>1118</v>
      </c>
      <c r="C68" s="157">
        <f t="shared" si="12"/>
        <v>79.200000000000045</v>
      </c>
      <c r="D68" s="157">
        <f t="shared" si="13"/>
        <v>1276.4000000000001</v>
      </c>
      <c r="E68" s="157">
        <f t="shared" si="14"/>
        <v>1300</v>
      </c>
      <c r="F68" s="157">
        <f>E68/1000+0.25</f>
        <v>1.55</v>
      </c>
      <c r="G68" s="108">
        <f t="shared" si="16"/>
        <v>79.171250417400117</v>
      </c>
      <c r="H68" s="108">
        <f t="shared" si="17"/>
        <v>42.43992342056422</v>
      </c>
      <c r="I68" s="108">
        <f t="shared" si="18"/>
        <v>65.962787708798515</v>
      </c>
      <c r="J68" s="108">
        <f t="shared" si="19"/>
        <v>36.091823548717379</v>
      </c>
      <c r="K68" s="116">
        <f>(G68+H68)*'TV tinklas'!F65*'Pradiniai duomenys'!E$25*0.00000115</f>
        <v>0</v>
      </c>
      <c r="L68" s="116">
        <f>(I68+J68)*'TV tinklas'!K65*'Pradiniai duomenys'!E$25*0.00000115</f>
        <v>0</v>
      </c>
      <c r="M68" s="116">
        <f t="shared" si="21"/>
        <v>0</v>
      </c>
      <c r="N68" s="81">
        <f>IF(R33&gt;0.7,'Pradiniai duomenys'!$J$25,'Pradiniai duomenys'!$K$25)</f>
        <v>12.57423558897243</v>
      </c>
      <c r="O68" s="79" t="str">
        <f t="shared" si="20"/>
        <v>- grunto temperatūra</v>
      </c>
      <c r="R68" s="171"/>
      <c r="S68" s="91"/>
      <c r="T68" s="78"/>
      <c r="U68" s="78"/>
    </row>
    <row r="69" spans="1:21" x14ac:dyDescent="0.2">
      <c r="A69" s="107">
        <v>1200</v>
      </c>
      <c r="B69" s="107">
        <v>1219</v>
      </c>
      <c r="C69" s="157">
        <f t="shared" si="12"/>
        <v>78</v>
      </c>
      <c r="D69" s="157">
        <f t="shared" si="13"/>
        <v>1375</v>
      </c>
      <c r="E69" s="157">
        <f t="shared" si="14"/>
        <v>1400</v>
      </c>
      <c r="F69" s="157">
        <f>E69/1000+0.25</f>
        <v>1.65</v>
      </c>
      <c r="G69" s="108">
        <f t="shared" si="16"/>
        <v>86.950124088475661</v>
      </c>
      <c r="H69" s="108">
        <f t="shared" si="17"/>
        <v>46.207444184081773</v>
      </c>
      <c r="I69" s="108">
        <f t="shared" si="18"/>
        <v>72.494079478997406</v>
      </c>
      <c r="J69" s="108">
        <f t="shared" si="19"/>
        <v>39.398072735338651</v>
      </c>
      <c r="K69" s="116">
        <f>(G69+H69)*'TV tinklas'!F66*'Pradiniai duomenys'!E$25*0.00000115</f>
        <v>0</v>
      </c>
      <c r="L69" s="116">
        <f>(I69+J69)*'TV tinklas'!K66*'Pradiniai duomenys'!E$25*0.00000115</f>
        <v>0</v>
      </c>
      <c r="M69" s="116">
        <f t="shared" si="21"/>
        <v>0</v>
      </c>
      <c r="N69" s="81">
        <f>IF(R34&gt;0.7,'Pradiniai duomenys'!$J$25,'Pradiniai duomenys'!$K$25)</f>
        <v>12.57423558897243</v>
      </c>
      <c r="O69" s="79" t="str">
        <f t="shared" si="20"/>
        <v>- grunto temperatūra</v>
      </c>
      <c r="R69" s="171"/>
      <c r="S69" s="91"/>
      <c r="T69" s="78"/>
      <c r="U69" s="78"/>
    </row>
    <row r="70" spans="1:21" x14ac:dyDescent="0.2">
      <c r="A70" s="113" t="s">
        <v>40</v>
      </c>
      <c r="J70" s="113" t="s">
        <v>138</v>
      </c>
      <c r="K70" s="174">
        <f>SUM(K46:K69)</f>
        <v>0</v>
      </c>
      <c r="L70" s="174">
        <f>SUM(L46:L69)</f>
        <v>10.640844550282594</v>
      </c>
      <c r="M70" s="174">
        <f>SUM(M46:M69)</f>
        <v>10.640844550282594</v>
      </c>
      <c r="S70" s="91"/>
      <c r="T70" s="78"/>
      <c r="U70" s="78"/>
    </row>
    <row r="71" spans="1:21" x14ac:dyDescent="0.2">
      <c r="A71" s="112" t="s">
        <v>323</v>
      </c>
    </row>
    <row r="72" spans="1:21" x14ac:dyDescent="0.2">
      <c r="A72" s="112" t="s">
        <v>98</v>
      </c>
      <c r="O72" s="169"/>
    </row>
    <row r="73" spans="1:21" x14ac:dyDescent="0.2">
      <c r="A73" s="112" t="s">
        <v>324</v>
      </c>
      <c r="O73" s="169"/>
    </row>
  </sheetData>
  <protectedRanges>
    <protectedRange sqref="D11:E34" name="Range3"/>
    <protectedRange sqref="F11:F34" name="Range1"/>
    <protectedRange sqref="H11:H34" name="Range2"/>
  </protectedRanges>
  <mergeCells count="34">
    <mergeCell ref="N43:N45"/>
    <mergeCell ref="S8:S10"/>
    <mergeCell ref="T8:T10"/>
    <mergeCell ref="A44:A45"/>
    <mergeCell ref="B44:B45"/>
    <mergeCell ref="G43:H44"/>
    <mergeCell ref="I43:J44"/>
    <mergeCell ref="K43:K45"/>
    <mergeCell ref="U8:U10"/>
    <mergeCell ref="A9:A10"/>
    <mergeCell ref="B9:B10"/>
    <mergeCell ref="A43:B43"/>
    <mergeCell ref="C43:C45"/>
    <mergeCell ref="D43:D45"/>
    <mergeCell ref="E43:E45"/>
    <mergeCell ref="F43:F45"/>
    <mergeCell ref="J8:K9"/>
    <mergeCell ref="L8:M9"/>
    <mergeCell ref="N8:N10"/>
    <mergeCell ref="O8:O10"/>
    <mergeCell ref="P8:P10"/>
    <mergeCell ref="R8:R10"/>
    <mergeCell ref="L43:L45"/>
    <mergeCell ref="M43:M45"/>
    <mergeCell ref="A2:P2"/>
    <mergeCell ref="A3:P3"/>
    <mergeCell ref="A8:B8"/>
    <mergeCell ref="C8:C10"/>
    <mergeCell ref="D8:D10"/>
    <mergeCell ref="E8:E10"/>
    <mergeCell ref="F8:F10"/>
    <mergeCell ref="G8:G10"/>
    <mergeCell ref="H8:H10"/>
    <mergeCell ref="I8:I10"/>
  </mergeCells>
  <printOptions horizontalCentered="1" verticalCentered="1"/>
  <pageMargins left="0.4" right="0.4" top="0.98425196850393704" bottom="0.98425196850393704" header="0.51181102362204722" footer="0.51181102362204722"/>
  <pageSetup paperSize="9" orientation="landscape" horizontalDpi="4294967293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B2A8-6176-4BA1-BF07-4AD30FD4AB22}">
  <dimension ref="A1:U73"/>
  <sheetViews>
    <sheetView showGridLines="0" showZeros="0" workbookViewId="0">
      <selection activeCell="E11" sqref="E11:E34"/>
    </sheetView>
  </sheetViews>
  <sheetFormatPr defaultColWidth="9.33203125" defaultRowHeight="12.75" x14ac:dyDescent="0.2"/>
  <cols>
    <col min="1" max="2" width="11.33203125" style="112" customWidth="1"/>
    <col min="3" max="3" width="12.6640625" style="112" customWidth="1"/>
    <col min="4" max="13" width="11.33203125" style="112" customWidth="1"/>
    <col min="14" max="14" width="11.83203125" style="112" customWidth="1"/>
    <col min="15" max="16" width="11.33203125" style="112" customWidth="1"/>
    <col min="17" max="17" width="5" style="112" customWidth="1"/>
    <col min="18" max="18" width="20.5" style="112" customWidth="1"/>
    <col min="19" max="19" width="14.33203125" style="112" customWidth="1"/>
    <col min="20" max="20" width="21" style="112" customWidth="1"/>
    <col min="21" max="21" width="22.6640625" style="112" customWidth="1"/>
    <col min="22" max="16384" width="9.33203125" style="1"/>
  </cols>
  <sheetData>
    <row r="1" spans="1:21" x14ac:dyDescent="0.2">
      <c r="A1" s="67">
        <f>'Pradiniai duomenys'!A1</f>
        <v>0</v>
      </c>
    </row>
    <row r="2" spans="1:21" ht="15.75" x14ac:dyDescent="0.25">
      <c r="A2" s="584" t="s">
        <v>325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21" ht="15.75" x14ac:dyDescent="0.25">
      <c r="A3" s="584" t="s">
        <v>312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</row>
    <row r="4" spans="1:21" x14ac:dyDescent="0.2">
      <c r="A4" s="253" t="s">
        <v>279</v>
      </c>
    </row>
    <row r="5" spans="1:21" hidden="1" x14ac:dyDescent="0.2">
      <c r="M5" s="165" t="s">
        <v>192</v>
      </c>
      <c r="N5" s="322">
        <f>'Pradiniai duomenys'!J32</f>
        <v>3.3000000000000002E-2</v>
      </c>
      <c r="O5" s="67" t="s">
        <v>194</v>
      </c>
    </row>
    <row r="6" spans="1:21" hidden="1" x14ac:dyDescent="0.2">
      <c r="A6" s="113"/>
      <c r="M6" s="165" t="s">
        <v>193</v>
      </c>
      <c r="N6" s="322">
        <f>'Pradiniai duomenys'!J33</f>
        <v>2.7E-2</v>
      </c>
      <c r="O6" s="67" t="s">
        <v>194</v>
      </c>
    </row>
    <row r="7" spans="1:21" hidden="1" x14ac:dyDescent="0.2">
      <c r="M7" s="166" t="s">
        <v>201</v>
      </c>
      <c r="N7" s="167">
        <f>'Pradiniai duomenys'!J31</f>
        <v>2</v>
      </c>
      <c r="O7" s="67" t="s">
        <v>194</v>
      </c>
    </row>
    <row r="8" spans="1:21" ht="12.75" customHeight="1" x14ac:dyDescent="0.2">
      <c r="A8" s="576" t="s">
        <v>97</v>
      </c>
      <c r="B8" s="601"/>
      <c r="C8" s="577" t="s">
        <v>209</v>
      </c>
      <c r="D8" s="577" t="s">
        <v>243</v>
      </c>
      <c r="E8" s="577" t="s">
        <v>210</v>
      </c>
      <c r="F8" s="600" t="s">
        <v>179</v>
      </c>
      <c r="G8" s="600" t="s">
        <v>212</v>
      </c>
      <c r="H8" s="600" t="s">
        <v>183</v>
      </c>
      <c r="I8" s="577" t="s">
        <v>215</v>
      </c>
      <c r="J8" s="596" t="s">
        <v>320</v>
      </c>
      <c r="K8" s="597"/>
      <c r="L8" s="596" t="s">
        <v>321</v>
      </c>
      <c r="M8" s="597"/>
      <c r="N8" s="593" t="s">
        <v>216</v>
      </c>
      <c r="O8" s="593" t="s">
        <v>322</v>
      </c>
      <c r="P8" s="593" t="s">
        <v>218</v>
      </c>
      <c r="R8" s="617" t="s">
        <v>289</v>
      </c>
      <c r="S8" s="617" t="s">
        <v>180</v>
      </c>
      <c r="T8" s="575" t="s">
        <v>184</v>
      </c>
      <c r="U8" s="575" t="s">
        <v>185</v>
      </c>
    </row>
    <row r="9" spans="1:21" ht="13.5" customHeight="1" x14ac:dyDescent="0.2">
      <c r="A9" s="577" t="s">
        <v>213</v>
      </c>
      <c r="B9" s="577" t="s">
        <v>214</v>
      </c>
      <c r="C9" s="578"/>
      <c r="D9" s="578"/>
      <c r="E9" s="578"/>
      <c r="F9" s="600"/>
      <c r="G9" s="600"/>
      <c r="H9" s="600"/>
      <c r="I9" s="578"/>
      <c r="J9" s="598"/>
      <c r="K9" s="599"/>
      <c r="L9" s="598"/>
      <c r="M9" s="599"/>
      <c r="N9" s="594"/>
      <c r="O9" s="594"/>
      <c r="P9" s="594"/>
      <c r="R9" s="618"/>
      <c r="S9" s="618"/>
      <c r="T9" s="575"/>
      <c r="U9" s="575"/>
    </row>
    <row r="10" spans="1:21" ht="47.25" customHeight="1" x14ac:dyDescent="0.2">
      <c r="A10" s="579"/>
      <c r="B10" s="579"/>
      <c r="C10" s="579"/>
      <c r="D10" s="579"/>
      <c r="E10" s="579"/>
      <c r="F10" s="600"/>
      <c r="G10" s="600"/>
      <c r="H10" s="600"/>
      <c r="I10" s="592"/>
      <c r="J10" s="106">
        <f>'Pradiniai duomenys'!C13</f>
        <v>71.482161285566846</v>
      </c>
      <c r="K10" s="106">
        <f>'Pradiniai duomenys'!D13</f>
        <v>43.67489901223648</v>
      </c>
      <c r="L10" s="106">
        <f>'Pradiniai duomenys'!C13</f>
        <v>71.482161285566846</v>
      </c>
      <c r="M10" s="106">
        <f>'Pradiniai duomenys'!D13</f>
        <v>43.67489901223648</v>
      </c>
      <c r="N10" s="599"/>
      <c r="O10" s="595"/>
      <c r="P10" s="595"/>
      <c r="R10" s="619"/>
      <c r="S10" s="619"/>
      <c r="T10" s="575"/>
      <c r="U10" s="575"/>
    </row>
    <row r="11" spans="1:21" x14ac:dyDescent="0.2">
      <c r="A11" s="157">
        <v>25</v>
      </c>
      <c r="B11" s="322">
        <v>33.700000000000003</v>
      </c>
      <c r="C11" s="176">
        <v>25</v>
      </c>
      <c r="D11" s="117">
        <v>3</v>
      </c>
      <c r="E11" s="314">
        <f>(G11-B11)/2</f>
        <v>42.65</v>
      </c>
      <c r="F11" s="117">
        <v>125</v>
      </c>
      <c r="G11" s="157">
        <f>F11-2*D11</f>
        <v>119</v>
      </c>
      <c r="H11" s="316">
        <v>0.75</v>
      </c>
      <c r="I11" s="107">
        <f t="shared" ref="I11:I17" si="0">F11/1000+0.15</f>
        <v>0.27500000000000002</v>
      </c>
      <c r="J11" s="115">
        <f t="shared" ref="J11:J34" si="1">($J$10-T11)/((($N$7/$N$5*LN(G11/B11)+LN(R11/B11*1000))^2+LN(SQRT(((I11)^2+(R11+R11)^2)/((I11)^2+(R11-R11)^2))))/(6.28*$N$7*($N$7/$N$5*LN(G11/B11)+LN(R11/B11*1000)-($K$10-T11)/($J$10-T11)*LN(SQRT(((I11)^2+(R11+R11)^2)/((I11)^2+(R11-R11)^2))))))</f>
        <v>10.37747539954831</v>
      </c>
      <c r="K11" s="115">
        <f t="shared" ref="K11:K34" si="2">($K$10-T11)/((($N$7/$N$5*LN(G11/B11)+LN(R11/B11*1000))^2+LN(SQRT(((I11)^2+(R11+R11)^2)/((I11)^2+(R11-R11)^2))))/(6.28*$N$7*($N$7/$N$5*LN(G11/B11)+LN(R11/B11*1000)-($J$10-T11)/($K$10-T11)*LN(SQRT(((I11)^2+(R11+R11)^2)/((I11)^2+(R11-R11)^2))))))</f>
        <v>5.89493875034709</v>
      </c>
      <c r="L11" s="115">
        <f t="shared" ref="L11:L34" si="3">($L$10-T11)/((($N$7/$N$6*LN(G11/B11)+LN(R11/B11*1000))^2+LN(SQRT(((I11)^2+(R11+R11)^2)/((I11)^2+(R11-R11)^2))))/(6.28*$N$7*($N$7/$N$6*LN(G11/B11)+LN(R11/B11*1000)-($M$10-T11)/($L$10-T11)*LN(SQRT(((I11)^2+(R11+R11)^2)/((I11)^2+(R11-R11)^2))))))</f>
        <v>8.5735540367972387</v>
      </c>
      <c r="M11" s="115">
        <f t="shared" ref="M11:M34" si="4">($M$10-T11)/((($N$7/$N$6*LN(G11/B11)+LN(R11/B11*1000))^2+LN(SQRT(((I11)^2+(R11+R11)^2)/((I11)^2+(R11-R11)^2))))/(6.28*$N$7*($N$7/$N$6*LN(G11/B11)+LN(R11/B11*1000)-($L$10-T11)/($M$10-T11)*LN(SQRT(((I11)^2+(R11+R11)^2)/((I11)^2+(R11-R11)^2))))))</f>
        <v>4.8931326026671371</v>
      </c>
      <c r="N11" s="116">
        <f>(J11+K11)*'TV tinklas'!F9*'Pradiniai duomenys'!E$13*0.00000115</f>
        <v>0</v>
      </c>
      <c r="O11" s="116">
        <f>(L11+M11)*'TV tinklas'!K9*'Pradiniai duomenys'!E$13*0.00000115</f>
        <v>0</v>
      </c>
      <c r="P11" s="116">
        <f>SUM(N11:O11)</f>
        <v>0</v>
      </c>
      <c r="R11" s="322">
        <f t="shared" ref="R11:R34" si="5">H11+(F11/1000/2)</f>
        <v>0.8125</v>
      </c>
      <c r="S11" s="179">
        <f t="shared" ref="S11:S34" si="6">H11+F11/1000+0.1</f>
        <v>0.97499999999999998</v>
      </c>
      <c r="T11" s="81">
        <f>IF(R11&gt;0.7,'Pradiniai duomenys'!$J$13,'Pradiniai duomenys'!$K$13)</f>
        <v>4.784151555358986</v>
      </c>
      <c r="U11" s="79" t="str">
        <f>IF(R11&gt;0.7,"- grunto temperatūra","- aplinkos oro temperatūra")</f>
        <v>- grunto temperatūra</v>
      </c>
    </row>
    <row r="12" spans="1:21" x14ac:dyDescent="0.2">
      <c r="A12" s="157">
        <v>32</v>
      </c>
      <c r="B12" s="322">
        <v>42.4</v>
      </c>
      <c r="C12" s="176">
        <v>30.8</v>
      </c>
      <c r="D12" s="117">
        <v>3</v>
      </c>
      <c r="E12" s="314">
        <f t="shared" ref="E12:E34" si="7">(G12-B12)/2</f>
        <v>45.8</v>
      </c>
      <c r="F12" s="117">
        <v>140</v>
      </c>
      <c r="G12" s="157">
        <f t="shared" ref="G12:G34" si="8">F12-2*D12</f>
        <v>134</v>
      </c>
      <c r="H12" s="316">
        <v>0.75</v>
      </c>
      <c r="I12" s="107">
        <f t="shared" si="0"/>
        <v>0.29000000000000004</v>
      </c>
      <c r="J12" s="115">
        <f t="shared" si="1"/>
        <v>11.357605098311005</v>
      </c>
      <c r="K12" s="115">
        <f t="shared" si="2"/>
        <v>6.4396792339882838</v>
      </c>
      <c r="L12" s="115">
        <f t="shared" si="3"/>
        <v>9.3863242100032149</v>
      </c>
      <c r="M12" s="115">
        <f t="shared" si="4"/>
        <v>5.3488319332144165</v>
      </c>
      <c r="N12" s="116">
        <f>(J12+K12)*'TV tinklas'!F10*'Pradiniai duomenys'!E$13*0.00000115</f>
        <v>0</v>
      </c>
      <c r="O12" s="116">
        <f>(L12+M12)*'TV tinklas'!K10*'Pradiniai duomenys'!E$13*0.00000115</f>
        <v>0</v>
      </c>
      <c r="P12" s="116">
        <f t="shared" ref="P12:P34" si="9">SUM(N12:O12)</f>
        <v>0</v>
      </c>
      <c r="R12" s="322">
        <f t="shared" si="5"/>
        <v>0.82000000000000006</v>
      </c>
      <c r="S12" s="179">
        <f t="shared" si="6"/>
        <v>0.99</v>
      </c>
      <c r="T12" s="81">
        <f>IF(R12&gt;0.7,'Pradiniai duomenys'!$J$13,'Pradiniai duomenys'!$K$13)</f>
        <v>4.784151555358986</v>
      </c>
      <c r="U12" s="79" t="str">
        <f t="shared" ref="U12:U34" si="10">IF(R12&gt;0.7,"- grunto temperatūra","- aplinkos oro temperatūra")</f>
        <v>- grunto temperatūra</v>
      </c>
    </row>
    <row r="13" spans="1:21" x14ac:dyDescent="0.2">
      <c r="A13" s="157">
        <v>40</v>
      </c>
      <c r="B13" s="322">
        <v>48.3</v>
      </c>
      <c r="C13" s="176">
        <v>27.85</v>
      </c>
      <c r="D13" s="117">
        <v>3</v>
      </c>
      <c r="E13" s="314">
        <f t="shared" si="7"/>
        <v>42.85</v>
      </c>
      <c r="F13" s="117">
        <v>140</v>
      </c>
      <c r="G13" s="157">
        <f t="shared" si="8"/>
        <v>134</v>
      </c>
      <c r="H13" s="316">
        <v>0.75</v>
      </c>
      <c r="I13" s="107">
        <f t="shared" si="0"/>
        <v>0.29000000000000004</v>
      </c>
      <c r="J13" s="115">
        <f t="shared" si="1"/>
        <v>12.74346135081287</v>
      </c>
      <c r="K13" s="115">
        <f t="shared" si="2"/>
        <v>7.1995891268141188</v>
      </c>
      <c r="L13" s="115">
        <f t="shared" si="3"/>
        <v>10.54104115664501</v>
      </c>
      <c r="M13" s="115">
        <f t="shared" si="4"/>
        <v>5.989223863434284</v>
      </c>
      <c r="N13" s="116">
        <f>(J13+K13)*'TV tinklas'!F11*'Pradiniai duomenys'!E$13*0.00000115</f>
        <v>0</v>
      </c>
      <c r="O13" s="116">
        <f>(L13+M13)*'TV tinklas'!K11*'Pradiniai duomenys'!E$13*0.00000115</f>
        <v>0</v>
      </c>
      <c r="P13" s="116">
        <f t="shared" si="9"/>
        <v>0</v>
      </c>
      <c r="R13" s="322">
        <f t="shared" si="5"/>
        <v>0.82000000000000006</v>
      </c>
      <c r="S13" s="179">
        <f t="shared" si="6"/>
        <v>0.99</v>
      </c>
      <c r="T13" s="81">
        <f>IF(R13&gt;0.7,'Pradiniai duomenys'!$J$13,'Pradiniai duomenys'!$K$13)</f>
        <v>4.784151555358986</v>
      </c>
      <c r="U13" s="79" t="str">
        <f t="shared" si="10"/>
        <v>- grunto temperatūra</v>
      </c>
    </row>
    <row r="14" spans="1:21" x14ac:dyDescent="0.2">
      <c r="A14" s="157">
        <v>50</v>
      </c>
      <c r="B14" s="322">
        <v>60.3</v>
      </c>
      <c r="C14" s="176">
        <v>29.35</v>
      </c>
      <c r="D14" s="117">
        <v>3</v>
      </c>
      <c r="E14" s="314">
        <f t="shared" si="7"/>
        <v>46.85</v>
      </c>
      <c r="F14" s="117">
        <v>160</v>
      </c>
      <c r="G14" s="157">
        <f t="shared" si="8"/>
        <v>154</v>
      </c>
      <c r="H14" s="316">
        <v>0.75</v>
      </c>
      <c r="I14" s="107">
        <f t="shared" si="0"/>
        <v>0.31</v>
      </c>
      <c r="J14" s="115">
        <f t="shared" si="1"/>
        <v>13.850916499199775</v>
      </c>
      <c r="K14" s="115">
        <f t="shared" si="2"/>
        <v>7.81120744054056</v>
      </c>
      <c r="L14" s="115">
        <f t="shared" si="3"/>
        <v>11.459783629027106</v>
      </c>
      <c r="M14" s="115">
        <f t="shared" si="4"/>
        <v>6.5016910613368264</v>
      </c>
      <c r="N14" s="116">
        <f>(J14+K14)*'TV tinklas'!F12*'Pradiniai duomenys'!E$13*0.00000115</f>
        <v>0</v>
      </c>
      <c r="O14" s="116">
        <f>(L14+M14)*'TV tinklas'!K12*'Pradiniai duomenys'!E$13*0.00000115</f>
        <v>0</v>
      </c>
      <c r="P14" s="116">
        <f t="shared" si="9"/>
        <v>0</v>
      </c>
      <c r="R14" s="322">
        <f t="shared" si="5"/>
        <v>0.83</v>
      </c>
      <c r="S14" s="179">
        <f t="shared" si="6"/>
        <v>1.01</v>
      </c>
      <c r="T14" s="81">
        <f>IF(R14&gt;0.7,'Pradiniai duomenys'!$J$13,'Pradiniai duomenys'!$K$13)</f>
        <v>4.784151555358986</v>
      </c>
      <c r="U14" s="79" t="str">
        <f t="shared" si="10"/>
        <v>- grunto temperatūra</v>
      </c>
    </row>
    <row r="15" spans="1:21" x14ac:dyDescent="0.2">
      <c r="A15" s="157">
        <v>65</v>
      </c>
      <c r="B15" s="322">
        <v>76.099999999999994</v>
      </c>
      <c r="C15" s="176">
        <v>28.95</v>
      </c>
      <c r="D15" s="117">
        <v>3</v>
      </c>
      <c r="E15" s="314">
        <f t="shared" si="7"/>
        <v>48.95</v>
      </c>
      <c r="F15" s="117">
        <v>180</v>
      </c>
      <c r="G15" s="157">
        <f t="shared" si="8"/>
        <v>174</v>
      </c>
      <c r="H15" s="316">
        <v>0.75</v>
      </c>
      <c r="I15" s="107">
        <f t="shared" si="0"/>
        <v>0.32999999999999996</v>
      </c>
      <c r="J15" s="115">
        <f t="shared" si="1"/>
        <v>15.648860243679053</v>
      </c>
      <c r="K15" s="115">
        <f t="shared" si="2"/>
        <v>8.794866716722737</v>
      </c>
      <c r="L15" s="115">
        <f t="shared" si="3"/>
        <v>12.955461042132772</v>
      </c>
      <c r="M15" s="115">
        <f t="shared" si="4"/>
        <v>7.3296397873778503</v>
      </c>
      <c r="N15" s="116">
        <f>(J15+K15)*'TV tinklas'!F13*'Pradiniai duomenys'!E$13*0.00000115</f>
        <v>0</v>
      </c>
      <c r="O15" s="116">
        <f>(L15+M15)*'TV tinklas'!K13*'Pradiniai duomenys'!E$13*0.00000115</f>
        <v>0</v>
      </c>
      <c r="P15" s="116">
        <f t="shared" si="9"/>
        <v>0</v>
      </c>
      <c r="R15" s="322">
        <f t="shared" si="5"/>
        <v>0.84</v>
      </c>
      <c r="S15" s="179">
        <f t="shared" si="6"/>
        <v>1.03</v>
      </c>
      <c r="T15" s="81">
        <f>IF(R15&gt;0.7,'Pradiniai duomenys'!$J$13,'Pradiniai duomenys'!$K$13)</f>
        <v>4.784151555358986</v>
      </c>
      <c r="U15" s="79" t="str">
        <f t="shared" si="10"/>
        <v>- grunto temperatūra</v>
      </c>
    </row>
    <row r="16" spans="1:21" x14ac:dyDescent="0.2">
      <c r="A16" s="157">
        <v>80</v>
      </c>
      <c r="B16" s="322">
        <v>88.9</v>
      </c>
      <c r="C16" s="176">
        <v>32.549999999999997</v>
      </c>
      <c r="D16" s="117">
        <v>3.2</v>
      </c>
      <c r="E16" s="314">
        <f t="shared" si="7"/>
        <v>52.349999999999994</v>
      </c>
      <c r="F16" s="117">
        <v>200</v>
      </c>
      <c r="G16" s="157">
        <f t="shared" si="8"/>
        <v>193.6</v>
      </c>
      <c r="H16" s="316">
        <v>0.75</v>
      </c>
      <c r="I16" s="107">
        <f t="shared" si="0"/>
        <v>0.35</v>
      </c>
      <c r="J16" s="115">
        <f t="shared" si="1"/>
        <v>16.617950215509467</v>
      </c>
      <c r="K16" s="115">
        <f t="shared" si="2"/>
        <v>9.3275533137943789</v>
      </c>
      <c r="L16" s="115">
        <f t="shared" si="3"/>
        <v>13.759435642338602</v>
      </c>
      <c r="M16" s="115">
        <f t="shared" si="4"/>
        <v>7.7763830199021164</v>
      </c>
      <c r="N16" s="116">
        <f>(J16+K16)*'TV tinklas'!F15*'Pradiniai duomenys'!E$13*0.00000115</f>
        <v>0</v>
      </c>
      <c r="O16" s="116">
        <f>(L16+M16)*'TV tinklas'!K15*'Pradiniai duomenys'!E$13*0.00000115</f>
        <v>0</v>
      </c>
      <c r="P16" s="116">
        <f t="shared" si="9"/>
        <v>0</v>
      </c>
      <c r="R16" s="322">
        <f t="shared" si="5"/>
        <v>0.85</v>
      </c>
      <c r="S16" s="179">
        <f t="shared" si="6"/>
        <v>1.05</v>
      </c>
      <c r="T16" s="81">
        <f>IF(R16&gt;0.7,'Pradiniai duomenys'!$J$13,'Pradiniai duomenys'!$K$13)</f>
        <v>4.784151555358986</v>
      </c>
      <c r="U16" s="79" t="str">
        <f t="shared" si="10"/>
        <v>- grunto temperatūra</v>
      </c>
    </row>
    <row r="17" spans="1:21" x14ac:dyDescent="0.2">
      <c r="A17" s="157">
        <v>100</v>
      </c>
      <c r="B17" s="322">
        <v>114.3</v>
      </c>
      <c r="C17" s="176">
        <v>39.65</v>
      </c>
      <c r="D17" s="117">
        <v>3.6</v>
      </c>
      <c r="E17" s="314">
        <f t="shared" si="7"/>
        <v>64.25</v>
      </c>
      <c r="F17" s="117">
        <v>250</v>
      </c>
      <c r="G17" s="157">
        <f t="shared" si="8"/>
        <v>242.8</v>
      </c>
      <c r="H17" s="316">
        <v>0.75</v>
      </c>
      <c r="I17" s="107">
        <f t="shared" si="0"/>
        <v>0.4</v>
      </c>
      <c r="J17" s="115">
        <f t="shared" si="1"/>
        <v>17.229891077754765</v>
      </c>
      <c r="K17" s="115">
        <f t="shared" si="2"/>
        <v>9.6818760841335276</v>
      </c>
      <c r="L17" s="115">
        <f>($L$10-T17)/((($N$7/$N$6*LN(G17/B17)+LN(R17/B17*1000))^2+LN(SQRT(((I17)^2+(R17+R17)^2)/((I17)^2+(R17-R17)^2))))/(6.28*$N$7*($N$7/$N$6*LN(G17/B17)+LN(R17/B17*1000)-($M$10-T17)/($L$10-T17)*LN(SQRT(((I17)^2+(R17+R17)^2)/((I17)^2+(R17-R17)^2))))))</f>
        <v>14.257025159680692</v>
      </c>
      <c r="M17" s="115">
        <f t="shared" si="4"/>
        <v>8.0650972322943488</v>
      </c>
      <c r="N17" s="116">
        <f>(J17+K17)*'TV tinklas'!F16*'Pradiniai duomenys'!E$13*0.00000115</f>
        <v>0</v>
      </c>
      <c r="O17" s="116">
        <f>(L17+M17)*'TV tinklas'!K16*'Pradiniai duomenys'!E$13*0.00000115</f>
        <v>11.500357456345542</v>
      </c>
      <c r="P17" s="116">
        <f t="shared" si="9"/>
        <v>11.500357456345542</v>
      </c>
      <c r="R17" s="322">
        <f t="shared" si="5"/>
        <v>0.875</v>
      </c>
      <c r="S17" s="179">
        <f t="shared" si="6"/>
        <v>1.1000000000000001</v>
      </c>
      <c r="T17" s="81">
        <f>IF(R17&gt;0.7,'Pradiniai duomenys'!$J$13,'Pradiniai duomenys'!$K$13)</f>
        <v>4.784151555358986</v>
      </c>
      <c r="U17" s="79" t="str">
        <f t="shared" si="10"/>
        <v>- grunto temperatūra</v>
      </c>
    </row>
    <row r="18" spans="1:21" x14ac:dyDescent="0.2">
      <c r="A18" s="157">
        <v>125</v>
      </c>
      <c r="B18" s="322">
        <v>139.69999999999999</v>
      </c>
      <c r="C18" s="176">
        <v>39.25</v>
      </c>
      <c r="D18" s="117">
        <v>3.9</v>
      </c>
      <c r="E18" s="314">
        <f t="shared" si="7"/>
        <v>66.25</v>
      </c>
      <c r="F18" s="117">
        <v>280</v>
      </c>
      <c r="G18" s="157">
        <f t="shared" si="8"/>
        <v>272.2</v>
      </c>
      <c r="H18" s="316">
        <v>0.75</v>
      </c>
      <c r="I18" s="107">
        <f t="shared" ref="I18:I34" si="11">F18/1000+0.25</f>
        <v>0.53</v>
      </c>
      <c r="J18" s="115">
        <f t="shared" si="1"/>
        <v>19.458221131586413</v>
      </c>
      <c r="K18" s="115">
        <f t="shared" si="2"/>
        <v>10.958225920161592</v>
      </c>
      <c r="L18" s="115">
        <f t="shared" si="3"/>
        <v>16.101264309666274</v>
      </c>
      <c r="M18" s="115">
        <f t="shared" si="4"/>
        <v>9.1247221678194848</v>
      </c>
      <c r="N18" s="116">
        <f>(J18+K18)*'TV tinklas'!F17*'Pradiniai duomenys'!E$13*0.00000115</f>
        <v>0</v>
      </c>
      <c r="O18" s="116">
        <f>(L18+M18)*'TV tinklas'!K17*'Pradiniai duomenys'!E$13*0.00000115</f>
        <v>0</v>
      </c>
      <c r="P18" s="116">
        <f t="shared" si="9"/>
        <v>0</v>
      </c>
      <c r="R18" s="322">
        <f t="shared" si="5"/>
        <v>0.89</v>
      </c>
      <c r="S18" s="179">
        <f t="shared" si="6"/>
        <v>1.1300000000000001</v>
      </c>
      <c r="T18" s="81">
        <f>IF(R18&gt;0.7,'Pradiniai duomenys'!$J$13,'Pradiniai duomenys'!$K$13)</f>
        <v>4.784151555358986</v>
      </c>
      <c r="U18" s="79" t="str">
        <f t="shared" si="10"/>
        <v>- grunto temperatūra</v>
      </c>
    </row>
    <row r="19" spans="1:21" x14ac:dyDescent="0.2">
      <c r="A19" s="157">
        <v>150</v>
      </c>
      <c r="B19" s="322">
        <v>168.3</v>
      </c>
      <c r="C19" s="176">
        <v>37.25</v>
      </c>
      <c r="D19" s="117">
        <v>4.0999999999999996</v>
      </c>
      <c r="E19" s="314">
        <f t="shared" si="7"/>
        <v>69.25</v>
      </c>
      <c r="F19" s="117">
        <v>315</v>
      </c>
      <c r="G19" s="157">
        <f t="shared" si="8"/>
        <v>306.8</v>
      </c>
      <c r="H19" s="316">
        <v>0.75</v>
      </c>
      <c r="I19" s="107">
        <f>F19/1000+0.25</f>
        <v>0.56499999999999995</v>
      </c>
      <c r="J19" s="115">
        <f t="shared" si="1"/>
        <v>21.574760674078291</v>
      </c>
      <c r="K19" s="115">
        <f t="shared" si="2"/>
        <v>12.117639383538778</v>
      </c>
      <c r="L19" s="115">
        <f t="shared" si="3"/>
        <v>17.85904667835463</v>
      </c>
      <c r="M19" s="115">
        <f t="shared" si="4"/>
        <v>10.098764085647973</v>
      </c>
      <c r="N19" s="116">
        <f>(J19+K19)*'TV tinklas'!F18*'Pradiniai duomenys'!E$13*0.00000115</f>
        <v>0</v>
      </c>
      <c r="O19" s="116">
        <f>(L19+M19)*'TV tinklas'!K18*'Pradiniai duomenys'!E$13*0.00000115</f>
        <v>0</v>
      </c>
      <c r="P19" s="116">
        <f t="shared" si="9"/>
        <v>0</v>
      </c>
      <c r="R19" s="322">
        <f t="shared" si="5"/>
        <v>0.90749999999999997</v>
      </c>
      <c r="S19" s="179">
        <f t="shared" si="6"/>
        <v>1.165</v>
      </c>
      <c r="T19" s="81">
        <f>IF(R19&gt;0.7,'Pradiniai duomenys'!$J$13,'Pradiniai duomenys'!$K$13)</f>
        <v>4.784151555358986</v>
      </c>
      <c r="U19" s="79" t="str">
        <f t="shared" si="10"/>
        <v>- grunto temperatūra</v>
      </c>
    </row>
    <row r="20" spans="1:21" x14ac:dyDescent="0.2">
      <c r="A20" s="157">
        <v>200</v>
      </c>
      <c r="B20" s="322">
        <v>219.1</v>
      </c>
      <c r="C20" s="176">
        <v>43.85</v>
      </c>
      <c r="D20" s="117">
        <v>4.8</v>
      </c>
      <c r="E20" s="314">
        <f t="shared" si="7"/>
        <v>85.649999999999991</v>
      </c>
      <c r="F20" s="117">
        <v>400</v>
      </c>
      <c r="G20" s="157">
        <f t="shared" si="8"/>
        <v>390.4</v>
      </c>
      <c r="H20" s="316">
        <v>0.75</v>
      </c>
      <c r="I20" s="107">
        <f t="shared" si="11"/>
        <v>0.65</v>
      </c>
      <c r="J20" s="115">
        <f t="shared" si="1"/>
        <v>22.533526744050054</v>
      </c>
      <c r="K20" s="115">
        <f t="shared" si="2"/>
        <v>12.670649304036772</v>
      </c>
      <c r="L20" s="115">
        <f t="shared" si="3"/>
        <v>18.637339222893623</v>
      </c>
      <c r="M20" s="115">
        <f t="shared" si="4"/>
        <v>10.548939723680716</v>
      </c>
      <c r="N20" s="116">
        <f>(J20+K20)*'TV tinklas'!F20*'Pradiniai duomenys'!E$13*0.00000115</f>
        <v>0</v>
      </c>
      <c r="O20" s="116">
        <f>(L20+M20)*'TV tinklas'!K20*'Pradiniai duomenys'!E$13*0.00000115</f>
        <v>0</v>
      </c>
      <c r="P20" s="116">
        <f t="shared" si="9"/>
        <v>0</v>
      </c>
      <c r="R20" s="322">
        <f t="shared" si="5"/>
        <v>0.95</v>
      </c>
      <c r="S20" s="179">
        <f t="shared" si="6"/>
        <v>1.25</v>
      </c>
      <c r="T20" s="81">
        <f>IF(R20&gt;0.7,'Pradiniai duomenys'!$J$13,'Pradiniai duomenys'!$K$13)</f>
        <v>4.784151555358986</v>
      </c>
      <c r="U20" s="79" t="str">
        <f t="shared" si="10"/>
        <v>- grunto temperatūra</v>
      </c>
    </row>
    <row r="21" spans="1:21" x14ac:dyDescent="0.2">
      <c r="A21" s="157">
        <v>250</v>
      </c>
      <c r="B21" s="322">
        <v>273</v>
      </c>
      <c r="C21" s="176">
        <v>58.7</v>
      </c>
      <c r="D21" s="117">
        <v>5.6</v>
      </c>
      <c r="E21" s="314">
        <f t="shared" si="7"/>
        <v>107.9</v>
      </c>
      <c r="F21" s="117">
        <v>500</v>
      </c>
      <c r="G21" s="157">
        <f t="shared" si="8"/>
        <v>488.8</v>
      </c>
      <c r="H21" s="316">
        <v>0.75</v>
      </c>
      <c r="I21" s="107">
        <f t="shared" si="11"/>
        <v>0.75</v>
      </c>
      <c r="J21" s="115">
        <f t="shared" si="1"/>
        <v>22.489377397827162</v>
      </c>
      <c r="K21" s="115">
        <f t="shared" si="2"/>
        <v>12.681612513956667</v>
      </c>
      <c r="L21" s="115">
        <f t="shared" si="3"/>
        <v>18.579940702991287</v>
      </c>
      <c r="M21" s="115">
        <f t="shared" si="4"/>
        <v>10.54092845621105</v>
      </c>
      <c r="N21" s="116">
        <f>(J21+K21)*'TV tinklas'!F21*'Pradiniai duomenys'!E$13*0.00000115</f>
        <v>0</v>
      </c>
      <c r="O21" s="116">
        <f>(L21+M21)*'TV tinklas'!K21*'Pradiniai duomenys'!E$13*0.00000115</f>
        <v>0</v>
      </c>
      <c r="P21" s="116">
        <f t="shared" si="9"/>
        <v>0</v>
      </c>
      <c r="R21" s="322">
        <f t="shared" si="5"/>
        <v>1</v>
      </c>
      <c r="S21" s="179">
        <f t="shared" si="6"/>
        <v>1.35</v>
      </c>
      <c r="T21" s="81">
        <f>IF(R21&gt;0.7,'Pradiniai duomenys'!$J$13,'Pradiniai duomenys'!$K$13)</f>
        <v>4.784151555358986</v>
      </c>
      <c r="U21" s="79" t="str">
        <f t="shared" si="10"/>
        <v>- grunto temperatūra</v>
      </c>
    </row>
    <row r="22" spans="1:21" x14ac:dyDescent="0.2">
      <c r="A22" s="157">
        <v>300</v>
      </c>
      <c r="B22" s="322">
        <v>323.89999999999998</v>
      </c>
      <c r="C22" s="176">
        <v>57.85</v>
      </c>
      <c r="D22" s="117">
        <v>6</v>
      </c>
      <c r="E22" s="314">
        <f t="shared" si="7"/>
        <v>112.05000000000001</v>
      </c>
      <c r="F22" s="117">
        <v>560</v>
      </c>
      <c r="G22" s="157">
        <f t="shared" si="8"/>
        <v>548</v>
      </c>
      <c r="H22" s="316">
        <v>0.75</v>
      </c>
      <c r="I22" s="107">
        <f t="shared" si="11"/>
        <v>0.81</v>
      </c>
      <c r="J22" s="115">
        <f t="shared" si="1"/>
        <v>24.892521473665365</v>
      </c>
      <c r="K22" s="115">
        <f t="shared" si="2"/>
        <v>14.005364508392608</v>
      </c>
      <c r="L22" s="115">
        <f t="shared" si="3"/>
        <v>20.568652015972066</v>
      </c>
      <c r="M22" s="115">
        <f t="shared" si="4"/>
        <v>11.647998158492838</v>
      </c>
      <c r="N22" s="116">
        <f>(J22+K22)*'TV tinklas'!F22*'Pradiniai duomenys'!E$13*0.00000115</f>
        <v>0</v>
      </c>
      <c r="O22" s="116">
        <f>(L22+M22)*'TV tinklas'!K22*'Pradiniai duomenys'!E$13*0.00000115</f>
        <v>0</v>
      </c>
      <c r="P22" s="116">
        <f t="shared" si="9"/>
        <v>0</v>
      </c>
      <c r="R22" s="322">
        <f t="shared" si="5"/>
        <v>1.03</v>
      </c>
      <c r="S22" s="179">
        <f t="shared" si="6"/>
        <v>1.4100000000000001</v>
      </c>
      <c r="T22" s="81">
        <f>IF(R22&gt;0.7,'Pradiniai duomenys'!$J$13,'Pradiniai duomenys'!$K$13)</f>
        <v>4.784151555358986</v>
      </c>
      <c r="U22" s="79" t="str">
        <f t="shared" si="10"/>
        <v>- grunto temperatūra</v>
      </c>
    </row>
    <row r="23" spans="1:21" x14ac:dyDescent="0.2">
      <c r="A23" s="157">
        <v>350</v>
      </c>
      <c r="B23" s="322">
        <v>355.6</v>
      </c>
      <c r="C23" s="176">
        <v>66.599999999999994</v>
      </c>
      <c r="D23" s="117">
        <v>6.6</v>
      </c>
      <c r="E23" s="314">
        <f t="shared" si="7"/>
        <v>130.59999999999997</v>
      </c>
      <c r="F23" s="117">
        <v>630</v>
      </c>
      <c r="G23" s="157">
        <f t="shared" si="8"/>
        <v>616.79999999999995</v>
      </c>
      <c r="H23" s="316">
        <v>0.75</v>
      </c>
      <c r="I23" s="107">
        <f t="shared" si="11"/>
        <v>0.88</v>
      </c>
      <c r="J23" s="115">
        <f t="shared" si="1"/>
        <v>23.88452291612094</v>
      </c>
      <c r="K23" s="115">
        <f t="shared" si="2"/>
        <v>13.479242576856073</v>
      </c>
      <c r="L23" s="115">
        <f t="shared" si="3"/>
        <v>19.718349563632835</v>
      </c>
      <c r="M23" s="115">
        <f t="shared" si="4"/>
        <v>11.194363623954795</v>
      </c>
      <c r="N23" s="116">
        <f>(J23+K23)*'TV tinklas'!F23*'Pradiniai duomenys'!E$13*0.00000115</f>
        <v>0</v>
      </c>
      <c r="O23" s="116">
        <f>(L23+M23)*'TV tinklas'!K23*'Pradiniai duomenys'!E$13*0.00000115</f>
        <v>0</v>
      </c>
      <c r="P23" s="116">
        <f t="shared" si="9"/>
        <v>0</v>
      </c>
      <c r="R23" s="322">
        <f t="shared" si="5"/>
        <v>1.0649999999999999</v>
      </c>
      <c r="S23" s="179">
        <f t="shared" si="6"/>
        <v>1.48</v>
      </c>
      <c r="T23" s="81">
        <f>IF(R23&gt;0.7,'Pradiniai duomenys'!$J$13,'Pradiniai duomenys'!$K$13)</f>
        <v>4.784151555358986</v>
      </c>
      <c r="U23" s="79" t="str">
        <f t="shared" si="10"/>
        <v>- grunto temperatūra</v>
      </c>
    </row>
    <row r="24" spans="1:21" x14ac:dyDescent="0.2">
      <c r="A24" s="157">
        <v>400</v>
      </c>
      <c r="B24" s="322">
        <v>406.4</v>
      </c>
      <c r="C24" s="176">
        <v>51.1</v>
      </c>
      <c r="D24" s="117">
        <v>7.2</v>
      </c>
      <c r="E24" s="314">
        <f t="shared" si="7"/>
        <v>144.60000000000002</v>
      </c>
      <c r="F24" s="117">
        <v>710</v>
      </c>
      <c r="G24" s="157">
        <f t="shared" si="8"/>
        <v>695.6</v>
      </c>
      <c r="H24" s="316">
        <v>0.75</v>
      </c>
      <c r="I24" s="107">
        <f t="shared" si="11"/>
        <v>0.96</v>
      </c>
      <c r="J24" s="115">
        <f t="shared" si="1"/>
        <v>24.534147458770146</v>
      </c>
      <c r="K24" s="115">
        <f t="shared" si="2"/>
        <v>13.854477518697722</v>
      </c>
      <c r="L24" s="115">
        <f t="shared" si="3"/>
        <v>20.246208249992016</v>
      </c>
      <c r="M24" s="115">
        <f t="shared" si="4"/>
        <v>11.499969805846787</v>
      </c>
      <c r="N24" s="116">
        <f>(J24+K24)*'TV tinklas'!F24*'Pradiniai duomenys'!E$13*0.00000115</f>
        <v>0</v>
      </c>
      <c r="O24" s="116">
        <f>(L24+M24)*'TV tinklas'!K24*'Pradiniai duomenys'!E$13*0.00000115</f>
        <v>0</v>
      </c>
      <c r="P24" s="116">
        <f t="shared" si="9"/>
        <v>0</v>
      </c>
      <c r="R24" s="322">
        <f t="shared" si="5"/>
        <v>1.105</v>
      </c>
      <c r="S24" s="179">
        <f t="shared" si="6"/>
        <v>1.56</v>
      </c>
      <c r="T24" s="81">
        <f>IF(R24&gt;0.7,'Pradiniai duomenys'!$J$13,'Pradiniai duomenys'!$K$13)</f>
        <v>4.784151555358986</v>
      </c>
      <c r="U24" s="79" t="str">
        <f t="shared" si="10"/>
        <v>- grunto temperatūra</v>
      </c>
    </row>
    <row r="25" spans="1:21" x14ac:dyDescent="0.2">
      <c r="A25" s="157">
        <v>450</v>
      </c>
      <c r="B25" s="322">
        <v>457.2</v>
      </c>
      <c r="C25" s="176">
        <v>45.4</v>
      </c>
      <c r="D25" s="117">
        <v>7.9</v>
      </c>
      <c r="E25" s="314">
        <f t="shared" si="7"/>
        <v>163.50000000000003</v>
      </c>
      <c r="F25" s="117">
        <v>800</v>
      </c>
      <c r="G25" s="157">
        <f t="shared" si="8"/>
        <v>784.2</v>
      </c>
      <c r="H25" s="316">
        <v>0.75</v>
      </c>
      <c r="I25" s="107">
        <f t="shared" si="11"/>
        <v>1.05</v>
      </c>
      <c r="J25" s="115">
        <f t="shared" si="1"/>
        <v>24.517269689445829</v>
      </c>
      <c r="K25" s="115">
        <f t="shared" si="2"/>
        <v>13.866220990801395</v>
      </c>
      <c r="L25" s="115">
        <f t="shared" si="3"/>
        <v>20.220677893725448</v>
      </c>
      <c r="M25" s="115">
        <f t="shared" si="4"/>
        <v>11.499948546466502</v>
      </c>
      <c r="N25" s="116">
        <f>(J25+K25)*'TV tinklas'!F25*'Pradiniai duomenys'!E$13*0.00000115</f>
        <v>0</v>
      </c>
      <c r="O25" s="116">
        <f>(L25+M25)*'TV tinklas'!K25*'Pradiniai duomenys'!E$13*0.00000115</f>
        <v>0</v>
      </c>
      <c r="P25" s="116">
        <f t="shared" si="9"/>
        <v>0</v>
      </c>
      <c r="R25" s="322">
        <f t="shared" si="5"/>
        <v>1.1499999999999999</v>
      </c>
      <c r="S25" s="179">
        <f t="shared" si="6"/>
        <v>1.6500000000000001</v>
      </c>
      <c r="T25" s="81">
        <f>IF(R25&gt;0.7,'Pradiniai duomenys'!$J$13,'Pradiniai duomenys'!$K$13)</f>
        <v>4.784151555358986</v>
      </c>
      <c r="U25" s="79" t="str">
        <f t="shared" si="10"/>
        <v>- grunto temperatūra</v>
      </c>
    </row>
    <row r="26" spans="1:21" x14ac:dyDescent="0.2">
      <c r="A26" s="157">
        <v>500</v>
      </c>
      <c r="B26" s="322">
        <v>508</v>
      </c>
      <c r="C26" s="176">
        <v>54.4</v>
      </c>
      <c r="D26" s="117">
        <v>8.6999999999999993</v>
      </c>
      <c r="E26" s="314">
        <f t="shared" si="7"/>
        <v>187.3</v>
      </c>
      <c r="F26" s="117">
        <v>900</v>
      </c>
      <c r="G26" s="157">
        <f t="shared" si="8"/>
        <v>882.6</v>
      </c>
      <c r="H26" s="316">
        <v>0.75</v>
      </c>
      <c r="I26" s="107">
        <f t="shared" si="11"/>
        <v>1.1499999999999999</v>
      </c>
      <c r="J26" s="115">
        <f t="shared" si="1"/>
        <v>24.031928938273921</v>
      </c>
      <c r="K26" s="115">
        <f t="shared" si="2"/>
        <v>13.61953115293637</v>
      </c>
      <c r="L26" s="115">
        <f t="shared" si="3"/>
        <v>19.807801575456299</v>
      </c>
      <c r="M26" s="115">
        <f t="shared" si="4"/>
        <v>11.283998935110263</v>
      </c>
      <c r="N26" s="116">
        <f>(J26+K26)*'TV tinklas'!F26*'Pradiniai duomenys'!E$13*0.00000115</f>
        <v>0</v>
      </c>
      <c r="O26" s="116">
        <f>(L26+M26)*'TV tinklas'!K26*'Pradiniai duomenys'!E$13*0.00000115</f>
        <v>0</v>
      </c>
      <c r="P26" s="116">
        <f t="shared" si="9"/>
        <v>0</v>
      </c>
      <c r="R26" s="322">
        <f t="shared" si="5"/>
        <v>1.2</v>
      </c>
      <c r="S26" s="179">
        <f t="shared" si="6"/>
        <v>1.75</v>
      </c>
      <c r="T26" s="81">
        <f>IF(R26&gt;0.7,'Pradiniai duomenys'!$J$13,'Pradiniai duomenys'!$K$13)</f>
        <v>4.784151555358986</v>
      </c>
      <c r="U26" s="79" t="str">
        <f t="shared" si="10"/>
        <v>- grunto temperatūra</v>
      </c>
    </row>
    <row r="27" spans="1:21" x14ac:dyDescent="0.2">
      <c r="A27" s="355">
        <v>550</v>
      </c>
      <c r="B27" s="355">
        <v>558.79999999999995</v>
      </c>
      <c r="C27" s="356">
        <v>68.400000000000006</v>
      </c>
      <c r="D27" s="355">
        <v>7.9</v>
      </c>
      <c r="E27" s="314">
        <f t="shared" si="7"/>
        <v>112.70000000000005</v>
      </c>
      <c r="F27" s="355">
        <v>800</v>
      </c>
      <c r="G27" s="157">
        <f t="shared" si="8"/>
        <v>784.2</v>
      </c>
      <c r="H27" s="357">
        <v>0.75</v>
      </c>
      <c r="I27" s="358">
        <f t="shared" si="11"/>
        <v>1.05</v>
      </c>
      <c r="J27" s="359">
        <f t="shared" si="1"/>
        <v>38.380549699504705</v>
      </c>
      <c r="K27" s="359">
        <f t="shared" si="2"/>
        <v>21.306247542212585</v>
      </c>
      <c r="L27" s="359">
        <f t="shared" si="3"/>
        <v>31.755078711129272</v>
      </c>
      <c r="M27" s="359">
        <f t="shared" si="4"/>
        <v>17.788312255166485</v>
      </c>
      <c r="N27" s="360">
        <f>(J27+K27)*'TV tinklas'!F27*'Pradiniai duomenys'!E$13*0.00000115</f>
        <v>0</v>
      </c>
      <c r="O27" s="360">
        <f>(L27+M27)*'TV tinklas'!K27*'Pradiniai duomenys'!E$13*0.00000115</f>
        <v>0</v>
      </c>
      <c r="P27" s="360">
        <f>SUM(N27:O27)</f>
        <v>0</v>
      </c>
      <c r="Q27" s="361"/>
      <c r="R27" s="355">
        <f t="shared" si="5"/>
        <v>1.1499999999999999</v>
      </c>
      <c r="S27" s="362">
        <f t="shared" si="6"/>
        <v>1.6500000000000001</v>
      </c>
      <c r="T27" s="363">
        <f>IF(R27&gt;0.7,'Pradiniai duomenys'!$J$13,'Pradiniai duomenys'!$K$13)</f>
        <v>4.784151555358986</v>
      </c>
      <c r="U27" s="364" t="str">
        <f t="shared" si="10"/>
        <v>- grunto temperatūra</v>
      </c>
    </row>
    <row r="28" spans="1:21" x14ac:dyDescent="0.2">
      <c r="A28" s="160">
        <v>600</v>
      </c>
      <c r="B28" s="177">
        <v>609.6</v>
      </c>
      <c r="C28" s="178">
        <v>77.400000000000006</v>
      </c>
      <c r="D28" s="117">
        <v>8.6999999999999993</v>
      </c>
      <c r="E28" s="314">
        <f t="shared" si="7"/>
        <v>136.5</v>
      </c>
      <c r="F28" s="117">
        <v>900</v>
      </c>
      <c r="G28" s="157">
        <f t="shared" si="8"/>
        <v>882.6</v>
      </c>
      <c r="H28" s="316">
        <v>0.75</v>
      </c>
      <c r="I28" s="154">
        <f t="shared" si="11"/>
        <v>1.1499999999999999</v>
      </c>
      <c r="J28" s="115">
        <f t="shared" si="1"/>
        <v>35.432908150161254</v>
      </c>
      <c r="K28" s="115">
        <f t="shared" si="2"/>
        <v>19.792868093949966</v>
      </c>
      <c r="L28" s="115">
        <f t="shared" si="3"/>
        <v>29.272616736591651</v>
      </c>
      <c r="M28" s="115">
        <f t="shared" si="4"/>
        <v>16.481154116019997</v>
      </c>
      <c r="N28" s="168">
        <f>(J28+K28)*'TV tinklas'!F27*'Pradiniai duomenys'!E$13*0.00000115</f>
        <v>0</v>
      </c>
      <c r="O28" s="168">
        <f>(L28+M28)*'TV tinklas'!K27*'Pradiniai duomenys'!E$13*0.00000115</f>
        <v>0</v>
      </c>
      <c r="P28" s="168">
        <f t="shared" si="9"/>
        <v>0</v>
      </c>
      <c r="R28" s="322">
        <f t="shared" si="5"/>
        <v>1.2</v>
      </c>
      <c r="S28" s="179">
        <f t="shared" si="6"/>
        <v>1.75</v>
      </c>
      <c r="T28" s="81">
        <f>IF(R28&gt;0.7,'Pradiniai duomenys'!$J$13,'Pradiniai duomenys'!$K$13)</f>
        <v>4.784151555358986</v>
      </c>
      <c r="U28" s="79" t="str">
        <f t="shared" si="10"/>
        <v>- grunto temperatūra</v>
      </c>
    </row>
    <row r="29" spans="1:21" x14ac:dyDescent="0.2">
      <c r="A29" s="157">
        <v>700</v>
      </c>
      <c r="B29" s="322">
        <v>711</v>
      </c>
      <c r="C29" s="176">
        <v>85.8</v>
      </c>
      <c r="D29" s="117">
        <v>8.6999999999999993</v>
      </c>
      <c r="E29" s="314">
        <f t="shared" si="7"/>
        <v>85.800000000000011</v>
      </c>
      <c r="F29" s="117">
        <v>900</v>
      </c>
      <c r="G29" s="157">
        <f t="shared" si="8"/>
        <v>882.6</v>
      </c>
      <c r="H29" s="316">
        <v>0.75</v>
      </c>
      <c r="I29" s="107">
        <f t="shared" si="11"/>
        <v>1.1499999999999999</v>
      </c>
      <c r="J29" s="115">
        <f t="shared" si="1"/>
        <v>59.004238217125078</v>
      </c>
      <c r="K29" s="115">
        <f t="shared" si="2"/>
        <v>31.917355289963801</v>
      </c>
      <c r="L29" s="115">
        <f t="shared" si="3"/>
        <v>49.005273885948348</v>
      </c>
      <c r="M29" s="115">
        <f t="shared" si="4"/>
        <v>26.883375856594316</v>
      </c>
      <c r="N29" s="168">
        <f>(J29+K29)*'TV tinklas'!F28*'Pradiniai duomenys'!E$13*0.00000115</f>
        <v>0</v>
      </c>
      <c r="O29" s="168">
        <f>(L29+M29)*'TV tinklas'!K28*'Pradiniai duomenys'!E$13*0.00000115</f>
        <v>0</v>
      </c>
      <c r="P29" s="168">
        <f t="shared" si="9"/>
        <v>0</v>
      </c>
      <c r="R29" s="322">
        <f t="shared" si="5"/>
        <v>1.2</v>
      </c>
      <c r="S29" s="179">
        <f t="shared" si="6"/>
        <v>1.75</v>
      </c>
      <c r="T29" s="81">
        <f>IF(R29&gt;0.7,'Pradiniai duomenys'!$J$13,'Pradiniai duomenys'!$K$13)</f>
        <v>4.784151555358986</v>
      </c>
      <c r="U29" s="79" t="str">
        <f t="shared" si="10"/>
        <v>- grunto temperatūra</v>
      </c>
    </row>
    <row r="30" spans="1:21" x14ac:dyDescent="0.2">
      <c r="A30" s="157">
        <v>800</v>
      </c>
      <c r="B30" s="322">
        <v>820</v>
      </c>
      <c r="C30" s="176">
        <v>80.599999999999994</v>
      </c>
      <c r="D30" s="117">
        <v>9.4</v>
      </c>
      <c r="E30" s="314">
        <f t="shared" si="7"/>
        <v>80.600000000000023</v>
      </c>
      <c r="F30" s="117">
        <v>1000</v>
      </c>
      <c r="G30" s="157">
        <f t="shared" si="8"/>
        <v>981.2</v>
      </c>
      <c r="H30" s="316">
        <v>0.75</v>
      </c>
      <c r="I30" s="107">
        <f t="shared" si="11"/>
        <v>1.25</v>
      </c>
      <c r="J30" s="115">
        <f t="shared" si="1"/>
        <v>70.619507916481936</v>
      </c>
      <c r="K30" s="115">
        <f t="shared" si="2"/>
        <v>37.713846392955944</v>
      </c>
      <c r="L30" s="115">
        <f t="shared" si="3"/>
        <v>58.736724793450257</v>
      </c>
      <c r="M30" s="115">
        <f t="shared" si="4"/>
        <v>31.893576291181152</v>
      </c>
      <c r="N30" s="116">
        <f>(J30+K30)*'TV tinklas'!F29*'Pradiniai duomenys'!E$13*0.00000115</f>
        <v>0</v>
      </c>
      <c r="O30" s="116">
        <f>(L30+M30)*'TV tinklas'!K29*'Pradiniai duomenys'!E$13*0.00000115</f>
        <v>0</v>
      </c>
      <c r="P30" s="116">
        <f t="shared" si="9"/>
        <v>0</v>
      </c>
      <c r="R30" s="322">
        <f t="shared" si="5"/>
        <v>1.25</v>
      </c>
      <c r="S30" s="179">
        <f t="shared" si="6"/>
        <v>1.85</v>
      </c>
      <c r="T30" s="81">
        <f>IF(R30&gt;0.7,'Pradiniai duomenys'!$J$13,'Pradiniai duomenys'!$K$13)</f>
        <v>4.784151555358986</v>
      </c>
      <c r="U30" s="79" t="str">
        <f t="shared" si="10"/>
        <v>- grunto temperatūra</v>
      </c>
    </row>
    <row r="31" spans="1:21" x14ac:dyDescent="0.2">
      <c r="A31" s="157">
        <v>900</v>
      </c>
      <c r="B31" s="322">
        <v>914</v>
      </c>
      <c r="C31" s="176">
        <v>82.8</v>
      </c>
      <c r="D31" s="117">
        <v>10.199999999999999</v>
      </c>
      <c r="E31" s="314">
        <f t="shared" si="7"/>
        <v>82.799999999999955</v>
      </c>
      <c r="F31" s="117">
        <v>1100</v>
      </c>
      <c r="G31" s="157">
        <f t="shared" si="8"/>
        <v>1079.5999999999999</v>
      </c>
      <c r="H31" s="316">
        <v>0.75</v>
      </c>
      <c r="I31" s="107">
        <f t="shared" si="11"/>
        <v>1.35</v>
      </c>
      <c r="J31" s="115">
        <f t="shared" si="1"/>
        <v>76.199701469497512</v>
      </c>
      <c r="K31" s="115">
        <f t="shared" si="2"/>
        <v>40.531633928084943</v>
      </c>
      <c r="L31" s="115">
        <f t="shared" si="3"/>
        <v>63.37529368388563</v>
      </c>
      <c r="M31" s="115">
        <f t="shared" si="4"/>
        <v>34.30461887063862</v>
      </c>
      <c r="N31" s="116">
        <f>(J31+K31)*'TV tinklas'!F30*'Pradiniai duomenys'!E$13*0.00000115</f>
        <v>0</v>
      </c>
      <c r="O31" s="116">
        <f>(L31+M31)*'TV tinklas'!K30*'Pradiniai duomenys'!E$13*0.00000115</f>
        <v>0</v>
      </c>
      <c r="P31" s="116">
        <f t="shared" si="9"/>
        <v>0</v>
      </c>
      <c r="R31" s="322">
        <f t="shared" si="5"/>
        <v>1.3</v>
      </c>
      <c r="S31" s="179">
        <f t="shared" si="6"/>
        <v>1.9500000000000002</v>
      </c>
      <c r="T31" s="81">
        <f>IF(R31&gt;0.7,'Pradiniai duomenys'!$J$13,'Pradiniai duomenys'!$K$13)</f>
        <v>4.784151555358986</v>
      </c>
      <c r="U31" s="79" t="str">
        <f t="shared" si="10"/>
        <v>- grunto temperatūra</v>
      </c>
    </row>
    <row r="32" spans="1:21" x14ac:dyDescent="0.2">
      <c r="A32" s="157">
        <v>1000</v>
      </c>
      <c r="B32" s="322">
        <v>1016</v>
      </c>
      <c r="C32" s="176">
        <v>81</v>
      </c>
      <c r="D32" s="117">
        <v>11</v>
      </c>
      <c r="E32" s="314">
        <f t="shared" si="7"/>
        <v>81</v>
      </c>
      <c r="F32" s="117">
        <v>1200</v>
      </c>
      <c r="G32" s="157">
        <f t="shared" si="8"/>
        <v>1178</v>
      </c>
      <c r="H32" s="316">
        <v>0.75</v>
      </c>
      <c r="I32" s="107">
        <f t="shared" si="11"/>
        <v>1.45</v>
      </c>
      <c r="J32" s="115">
        <f t="shared" si="1"/>
        <v>85.539356049391913</v>
      </c>
      <c r="K32" s="115">
        <f t="shared" si="2"/>
        <v>45.083285906433417</v>
      </c>
      <c r="L32" s="115">
        <f t="shared" si="3"/>
        <v>71.196833970698151</v>
      </c>
      <c r="M32" s="115">
        <f t="shared" si="4"/>
        <v>38.259739936759438</v>
      </c>
      <c r="N32" s="116">
        <f>(J32+K32)*'TV tinklas'!F31*'Pradiniai duomenys'!E$13*0.00000115</f>
        <v>0</v>
      </c>
      <c r="O32" s="116">
        <f>(L32+M32)*'TV tinklas'!K31*'Pradiniai duomenys'!E$13*0.00000115</f>
        <v>0</v>
      </c>
      <c r="P32" s="116">
        <f t="shared" si="9"/>
        <v>0</v>
      </c>
      <c r="R32" s="322">
        <f t="shared" si="5"/>
        <v>1.35</v>
      </c>
      <c r="S32" s="179">
        <f t="shared" si="6"/>
        <v>2.0499999999999998</v>
      </c>
      <c r="T32" s="81">
        <f>IF(R32&gt;0.7,'Pradiniai duomenys'!$J$13,'Pradiniai duomenys'!$K$13)</f>
        <v>4.784151555358986</v>
      </c>
      <c r="U32" s="79" t="str">
        <f t="shared" si="10"/>
        <v>- grunto temperatūra</v>
      </c>
    </row>
    <row r="33" spans="1:21" x14ac:dyDescent="0.2">
      <c r="A33" s="157">
        <v>1100</v>
      </c>
      <c r="B33" s="322">
        <v>1118</v>
      </c>
      <c r="C33" s="176">
        <v>79.2</v>
      </c>
      <c r="D33" s="117">
        <v>11.8</v>
      </c>
      <c r="E33" s="314">
        <f t="shared" si="7"/>
        <v>79.200000000000045</v>
      </c>
      <c r="F33" s="117">
        <v>1300</v>
      </c>
      <c r="G33" s="157">
        <f t="shared" si="8"/>
        <v>1276.4000000000001</v>
      </c>
      <c r="H33" s="316">
        <v>0.75</v>
      </c>
      <c r="I33" s="107">
        <f t="shared" si="11"/>
        <v>1.55</v>
      </c>
      <c r="J33" s="115">
        <f t="shared" si="1"/>
        <v>95.266627325048304</v>
      </c>
      <c r="K33" s="115">
        <f t="shared" si="2"/>
        <v>49.728610518711669</v>
      </c>
      <c r="L33" s="115">
        <f t="shared" si="3"/>
        <v>79.355523950135805</v>
      </c>
      <c r="M33" s="115">
        <f t="shared" si="4"/>
        <v>42.322708118014383</v>
      </c>
      <c r="N33" s="116">
        <f>(J33+K33)*'TV tinklas'!F32*'Pradiniai duomenys'!E$13*0.00000115</f>
        <v>0</v>
      </c>
      <c r="O33" s="116">
        <f>(L33+M33)*'TV tinklas'!K32*'Pradiniai duomenys'!E$13*0.00000115</f>
        <v>0</v>
      </c>
      <c r="P33" s="116">
        <f t="shared" si="9"/>
        <v>0</v>
      </c>
      <c r="R33" s="322">
        <f t="shared" si="5"/>
        <v>1.4</v>
      </c>
      <c r="S33" s="179">
        <f t="shared" si="6"/>
        <v>2.15</v>
      </c>
      <c r="T33" s="81">
        <f>IF(R33&gt;0.7,'Pradiniai duomenys'!$J$13,'Pradiniai duomenys'!$K$13)</f>
        <v>4.784151555358986</v>
      </c>
      <c r="U33" s="79" t="str">
        <f t="shared" si="10"/>
        <v>- grunto temperatūra</v>
      </c>
    </row>
    <row r="34" spans="1:21" x14ac:dyDescent="0.2">
      <c r="A34" s="157">
        <v>1200</v>
      </c>
      <c r="B34" s="322">
        <v>1219</v>
      </c>
      <c r="C34" s="176">
        <v>78</v>
      </c>
      <c r="D34" s="117">
        <v>12.5</v>
      </c>
      <c r="E34" s="314">
        <f t="shared" si="7"/>
        <v>78</v>
      </c>
      <c r="F34" s="117">
        <v>1400</v>
      </c>
      <c r="G34" s="157">
        <f t="shared" si="8"/>
        <v>1375</v>
      </c>
      <c r="H34" s="316">
        <v>0.75</v>
      </c>
      <c r="I34" s="107">
        <f t="shared" si="11"/>
        <v>1.65</v>
      </c>
      <c r="J34" s="115">
        <f t="shared" si="1"/>
        <v>104.63648331347643</v>
      </c>
      <c r="K34" s="115">
        <f t="shared" si="2"/>
        <v>54.1253530626879</v>
      </c>
      <c r="L34" s="115">
        <f t="shared" si="3"/>
        <v>87.219241433677212</v>
      </c>
      <c r="M34" s="115">
        <f t="shared" si="4"/>
        <v>46.188147962831742</v>
      </c>
      <c r="N34" s="116">
        <f>(J34+K34)*'TV tinklas'!F33*'Pradiniai duomenys'!E$13*0.00000115</f>
        <v>0</v>
      </c>
      <c r="O34" s="116">
        <f>(L34+M34)*'TV tinklas'!K33*'Pradiniai duomenys'!E$13*0.00000115</f>
        <v>0</v>
      </c>
      <c r="P34" s="116">
        <f t="shared" si="9"/>
        <v>0</v>
      </c>
      <c r="R34" s="322">
        <f t="shared" si="5"/>
        <v>1.45</v>
      </c>
      <c r="S34" s="179">
        <f t="shared" si="6"/>
        <v>2.25</v>
      </c>
      <c r="T34" s="81">
        <f>IF(R34&gt;0.7,'Pradiniai duomenys'!$J$13,'Pradiniai duomenys'!$K$13)</f>
        <v>4.784151555358986</v>
      </c>
      <c r="U34" s="79" t="str">
        <f t="shared" si="10"/>
        <v>- grunto temperatūra</v>
      </c>
    </row>
    <row r="35" spans="1:21" x14ac:dyDescent="0.2">
      <c r="A35" s="113" t="s">
        <v>40</v>
      </c>
      <c r="L35" s="113" t="s">
        <v>138</v>
      </c>
      <c r="M35" s="173">
        <f>SUM(N11:N34)</f>
        <v>0</v>
      </c>
      <c r="N35" s="173">
        <f>SUM(O11:O34)</f>
        <v>11.500357456345542</v>
      </c>
      <c r="O35" s="173">
        <f>SUM(P11:P34)</f>
        <v>11.500357456345542</v>
      </c>
    </row>
    <row r="36" spans="1:21" x14ac:dyDescent="0.2">
      <c r="A36" s="112" t="s">
        <v>323</v>
      </c>
    </row>
    <row r="37" spans="1:21" x14ac:dyDescent="0.2">
      <c r="A37" s="112" t="s">
        <v>211</v>
      </c>
      <c r="O37" s="169"/>
    </row>
    <row r="38" spans="1:21" x14ac:dyDescent="0.2">
      <c r="O38" s="169"/>
    </row>
    <row r="39" spans="1:21" x14ac:dyDescent="0.2">
      <c r="A39" s="253" t="s">
        <v>280</v>
      </c>
      <c r="O39" s="169"/>
    </row>
    <row r="40" spans="1:21" hidden="1" x14ac:dyDescent="0.2">
      <c r="I40" s="165" t="s">
        <v>192</v>
      </c>
      <c r="J40" s="322">
        <f>'Pradiniai duomenys'!J32</f>
        <v>3.3000000000000002E-2</v>
      </c>
      <c r="K40" s="67" t="s">
        <v>194</v>
      </c>
    </row>
    <row r="41" spans="1:21" hidden="1" x14ac:dyDescent="0.2">
      <c r="I41" s="165" t="s">
        <v>193</v>
      </c>
      <c r="J41" s="322">
        <f>'Pradiniai duomenys'!J33</f>
        <v>2.7E-2</v>
      </c>
      <c r="K41" s="67" t="s">
        <v>194</v>
      </c>
    </row>
    <row r="42" spans="1:21" hidden="1" x14ac:dyDescent="0.2">
      <c r="I42" s="166" t="s">
        <v>201</v>
      </c>
      <c r="J42" s="167">
        <f>'Pradiniai duomenys'!J31</f>
        <v>2</v>
      </c>
      <c r="K42" s="67" t="s">
        <v>194</v>
      </c>
    </row>
    <row r="43" spans="1:21" ht="16.5" customHeight="1" x14ac:dyDescent="0.2">
      <c r="A43" s="576" t="s">
        <v>97</v>
      </c>
      <c r="B43" s="601"/>
      <c r="C43" s="577" t="s">
        <v>210</v>
      </c>
      <c r="D43" s="600" t="s">
        <v>212</v>
      </c>
      <c r="E43" s="600" t="s">
        <v>179</v>
      </c>
      <c r="F43" s="577" t="s">
        <v>215</v>
      </c>
      <c r="G43" s="596" t="s">
        <v>320</v>
      </c>
      <c r="H43" s="597"/>
      <c r="I43" s="596" t="s">
        <v>321</v>
      </c>
      <c r="J43" s="597"/>
      <c r="K43" s="593" t="s">
        <v>216</v>
      </c>
      <c r="L43" s="593" t="s">
        <v>322</v>
      </c>
      <c r="M43" s="593" t="s">
        <v>218</v>
      </c>
      <c r="N43" s="577" t="s">
        <v>184</v>
      </c>
      <c r="R43" s="170"/>
    </row>
    <row r="44" spans="1:21" ht="15" customHeight="1" x14ac:dyDescent="0.2">
      <c r="A44" s="577" t="s">
        <v>213</v>
      </c>
      <c r="B44" s="577" t="s">
        <v>214</v>
      </c>
      <c r="C44" s="578"/>
      <c r="D44" s="600"/>
      <c r="E44" s="600"/>
      <c r="F44" s="578"/>
      <c r="G44" s="598"/>
      <c r="H44" s="599"/>
      <c r="I44" s="598"/>
      <c r="J44" s="599"/>
      <c r="K44" s="594"/>
      <c r="L44" s="594"/>
      <c r="M44" s="594"/>
      <c r="N44" s="578"/>
      <c r="R44" s="170"/>
    </row>
    <row r="45" spans="1:21" ht="15.75" customHeight="1" x14ac:dyDescent="0.2">
      <c r="A45" s="579"/>
      <c r="B45" s="579"/>
      <c r="C45" s="579"/>
      <c r="D45" s="600"/>
      <c r="E45" s="600"/>
      <c r="F45" s="579"/>
      <c r="G45" s="106">
        <f>'Pradiniai duomenys'!C25</f>
        <v>68.068996019460414</v>
      </c>
      <c r="H45" s="106">
        <f>'Pradiniai duomenys'!D25</f>
        <v>45.639436827362523</v>
      </c>
      <c r="I45" s="106">
        <f>'Pradiniai duomenys'!C25</f>
        <v>68.068996019460414</v>
      </c>
      <c r="J45" s="106">
        <f>'Pradiniai duomenys'!D25</f>
        <v>45.639436827362523</v>
      </c>
      <c r="K45" s="595"/>
      <c r="L45" s="595"/>
      <c r="M45" s="595"/>
      <c r="N45" s="579"/>
      <c r="R45" s="170"/>
    </row>
    <row r="46" spans="1:21" x14ac:dyDescent="0.2">
      <c r="A46" s="107">
        <v>25</v>
      </c>
      <c r="B46" s="107">
        <v>33.700000000000003</v>
      </c>
      <c r="C46" s="157">
        <f t="shared" ref="C46:C69" si="12">E11</f>
        <v>42.65</v>
      </c>
      <c r="D46" s="157">
        <f t="shared" ref="D46:D69" si="13">G11</f>
        <v>119</v>
      </c>
      <c r="E46" s="157">
        <f t="shared" ref="E46:E69" si="14">F11</f>
        <v>125</v>
      </c>
      <c r="F46" s="157">
        <f t="shared" ref="F46:F52" si="15">E46/1000+0.15</f>
        <v>0.27500000000000002</v>
      </c>
      <c r="G46" s="108">
        <f t="shared" ref="G46:G69" si="16">($G$45-N46)/((($J$42/$J$40*LN(D46/B46)+LN(R11/B46*1000))^2+LN(SQRT(((F46)^2+(R11+R11)^2)/((F46)^2+(R11-R11)^2))))/(6.28*$J$42*($J$42/$J$40*LN(D46/B46)+LN(R11/B46*1000)-($H$45-N46)/($G$45-N46)*LN(SQRT(((F46)^2+(R11+R11)^2)/((F46)^2+(R11-R11)^2))))))</f>
        <v>8.6318675694624591</v>
      </c>
      <c r="H46" s="108">
        <f t="shared" ref="H46:H69" si="17">($H$45-N46)/((($J$42/$J$40*LN(D46/B46)+LN(R11/B46*1000))^2+LN(SQRT(((F46)^2+(R11+R11)^2)/((F46)^2+(R11-R11)^2))))/(6.28*$J$42*($J$42/$J$40*LN(D46/B46)+LN(R11/B46*1000)-($G$45-N46)/($H$45-N46)*LN(SQRT(((F46)^2+(R11+R11)^2)/((F46)^2+(R11-R11)^2))))))</f>
        <v>5.0162178116495548</v>
      </c>
      <c r="I46" s="108">
        <f t="shared" ref="I46:I69" si="18">($I$45-N46)/((($J$42/$J$41*LN(D46/B46)+LN(R11/B46*1000))^2+LN(SQRT(((F46)^2+(R11+R11)^2)/((F46)^2+(R11-R11)^2))))/(6.28*$J$42*($J$42/$J$41*LN(D46/B46)+LN(R11/B46*1000)-($J$45-N46)/($I$45-N46)*LN(SQRT(((F46)^2+(R11+R11)^2)/((F46)^2+(R11-R11)^2))))))</f>
        <v>7.1317539905018199</v>
      </c>
      <c r="J46" s="108">
        <f t="shared" ref="J46:J69" si="19">($J$45-N46)/((($J$42/$J$41*LN(D46/B46)+LN(R11/B46*1000))^2+LN(SQRT(((F46)^2+(R11+R11)^2)/((F46)^2+(R11-R11)^2))))/(6.28*$J$42*($J$42/$J$41*LN(D46/B46)+LN(R11/B46*1000)-($I$45-N46)/($J$45-N46)*LN(SQRT(((F46)^2+(R11+R11)^2)/((F46)^2+(R11-R11)^2))))))</f>
        <v>4.1630967527895013</v>
      </c>
      <c r="K46" s="116">
        <f>(G46+H46)*'TV tinklas'!F42*'Pradiniai duomenys'!E$25*0.00000115</f>
        <v>0</v>
      </c>
      <c r="L46" s="116">
        <f>(I46+J46)*'TV tinklas'!K42*'Pradiniai duomenys'!E$25*0.00000115</f>
        <v>0</v>
      </c>
      <c r="M46" s="116">
        <f>SUM(K46:L46)</f>
        <v>0</v>
      </c>
      <c r="N46" s="81">
        <f>IF(R11&gt;0.7,'Pradiniai duomenys'!$J$25,'Pradiniai duomenys'!$K$25)</f>
        <v>12.57423558897243</v>
      </c>
      <c r="O46" s="79" t="str">
        <f t="shared" ref="O46:O69" si="20">U11</f>
        <v>- grunto temperatūra</v>
      </c>
      <c r="R46" s="171"/>
      <c r="S46" s="91"/>
      <c r="T46" s="172"/>
      <c r="U46" s="78"/>
    </row>
    <row r="47" spans="1:21" x14ac:dyDescent="0.2">
      <c r="A47" s="107">
        <v>32</v>
      </c>
      <c r="B47" s="107">
        <v>42.4</v>
      </c>
      <c r="C47" s="157">
        <f t="shared" si="12"/>
        <v>45.8</v>
      </c>
      <c r="D47" s="157">
        <f t="shared" si="13"/>
        <v>134</v>
      </c>
      <c r="E47" s="157">
        <f t="shared" si="14"/>
        <v>140</v>
      </c>
      <c r="F47" s="157">
        <f t="shared" si="15"/>
        <v>0.29000000000000004</v>
      </c>
      <c r="G47" s="108">
        <f t="shared" si="16"/>
        <v>9.4469353713851412</v>
      </c>
      <c r="H47" s="108">
        <f t="shared" si="17"/>
        <v>5.4800972054442312</v>
      </c>
      <c r="I47" s="108">
        <f t="shared" si="18"/>
        <v>7.8077108133670876</v>
      </c>
      <c r="J47" s="108">
        <f t="shared" si="19"/>
        <v>4.5510373904416408</v>
      </c>
      <c r="K47" s="116">
        <f>(G47+H47)*'TV tinklas'!F43*'Pradiniai duomenys'!E$25*0.00000115</f>
        <v>0</v>
      </c>
      <c r="L47" s="116">
        <f>(I47+J47)*'TV tinklas'!K43*'Pradiniai duomenys'!E$25*0.00000115</f>
        <v>0</v>
      </c>
      <c r="M47" s="116">
        <f t="shared" ref="M47:M69" si="21">SUM(K47:L47)</f>
        <v>0</v>
      </c>
      <c r="N47" s="81">
        <f>IF(R12&gt;0.7,'Pradiniai duomenys'!$J$25,'Pradiniai duomenys'!$K$25)</f>
        <v>12.57423558897243</v>
      </c>
      <c r="O47" s="79" t="str">
        <f t="shared" si="20"/>
        <v>- grunto temperatūra</v>
      </c>
      <c r="R47" s="171"/>
      <c r="S47" s="91"/>
      <c r="T47" s="78"/>
      <c r="U47" s="78"/>
    </row>
    <row r="48" spans="1:21" x14ac:dyDescent="0.2">
      <c r="A48" s="107">
        <v>40</v>
      </c>
      <c r="B48" s="107">
        <v>48.3</v>
      </c>
      <c r="C48" s="157">
        <f t="shared" si="12"/>
        <v>42.85</v>
      </c>
      <c r="D48" s="157">
        <f t="shared" si="13"/>
        <v>134</v>
      </c>
      <c r="E48" s="157">
        <f t="shared" si="14"/>
        <v>140</v>
      </c>
      <c r="F48" s="157">
        <f t="shared" si="15"/>
        <v>0.29000000000000004</v>
      </c>
      <c r="G48" s="108">
        <f t="shared" si="16"/>
        <v>10.599236203725438</v>
      </c>
      <c r="H48" s="108">
        <f t="shared" si="17"/>
        <v>6.127504719361843</v>
      </c>
      <c r="I48" s="108">
        <f t="shared" si="18"/>
        <v>8.7679417528105876</v>
      </c>
      <c r="J48" s="108">
        <f t="shared" si="19"/>
        <v>5.0964096758249582</v>
      </c>
      <c r="K48" s="116">
        <f>(G48+H48)*'TV tinklas'!F44*'Pradiniai duomenys'!E$25*0.00000115</f>
        <v>0</v>
      </c>
      <c r="L48" s="116">
        <f>(I48+J48)*'TV tinklas'!K44*'Pradiniai duomenys'!E$25*0.00000115</f>
        <v>0</v>
      </c>
      <c r="M48" s="116">
        <f t="shared" si="21"/>
        <v>0</v>
      </c>
      <c r="N48" s="81">
        <f>IF(R13&gt;0.7,'Pradiniai duomenys'!$J$25,'Pradiniai duomenys'!$K$25)</f>
        <v>12.57423558897243</v>
      </c>
      <c r="O48" s="79" t="str">
        <f t="shared" si="20"/>
        <v>- grunto temperatūra</v>
      </c>
      <c r="R48" s="171"/>
      <c r="S48" s="91"/>
      <c r="T48" s="78"/>
      <c r="U48" s="78"/>
    </row>
    <row r="49" spans="1:21" x14ac:dyDescent="0.2">
      <c r="A49" s="107">
        <v>50</v>
      </c>
      <c r="B49" s="107">
        <v>60.3</v>
      </c>
      <c r="C49" s="157">
        <f t="shared" si="12"/>
        <v>46.85</v>
      </c>
      <c r="D49" s="157">
        <f t="shared" si="13"/>
        <v>154</v>
      </c>
      <c r="E49" s="157">
        <f t="shared" si="14"/>
        <v>160</v>
      </c>
      <c r="F49" s="157">
        <f t="shared" si="15"/>
        <v>0.31</v>
      </c>
      <c r="G49" s="108">
        <f t="shared" si="16"/>
        <v>11.520124372963389</v>
      </c>
      <c r="H49" s="108">
        <f t="shared" si="17"/>
        <v>6.6484469491785765</v>
      </c>
      <c r="I49" s="108">
        <f t="shared" si="18"/>
        <v>9.5319900661539236</v>
      </c>
      <c r="J49" s="108">
        <f t="shared" si="19"/>
        <v>5.532753117410218</v>
      </c>
      <c r="K49" s="116">
        <f>(G49+H49)*'TV tinklas'!F45*'Pradiniai duomenys'!E$25*0.00000115</f>
        <v>0</v>
      </c>
      <c r="L49" s="116">
        <f>(I49+J49)*'TV tinklas'!K45*'Pradiniai duomenys'!E$25*0.00000115</f>
        <v>0</v>
      </c>
      <c r="M49" s="116">
        <f t="shared" si="21"/>
        <v>0</v>
      </c>
      <c r="N49" s="81">
        <f>IF(R14&gt;0.7,'Pradiniai duomenys'!$J$25,'Pradiniai duomenys'!$K$25)</f>
        <v>12.57423558897243</v>
      </c>
      <c r="O49" s="79" t="str">
        <f t="shared" si="20"/>
        <v>- grunto temperatūra</v>
      </c>
      <c r="R49" s="171"/>
      <c r="S49" s="91"/>
      <c r="T49" s="78"/>
      <c r="U49" s="78"/>
    </row>
    <row r="50" spans="1:21" x14ac:dyDescent="0.2">
      <c r="A50" s="107">
        <v>65</v>
      </c>
      <c r="B50" s="107">
        <v>76.099999999999994</v>
      </c>
      <c r="C50" s="157">
        <f t="shared" si="12"/>
        <v>48.95</v>
      </c>
      <c r="D50" s="157">
        <f t="shared" si="13"/>
        <v>174</v>
      </c>
      <c r="E50" s="157">
        <f t="shared" si="14"/>
        <v>180</v>
      </c>
      <c r="F50" s="157">
        <f t="shared" si="15"/>
        <v>0.32999999999999996</v>
      </c>
      <c r="G50" s="108">
        <f t="shared" si="16"/>
        <v>13.015028950288528</v>
      </c>
      <c r="H50" s="108">
        <f t="shared" si="17"/>
        <v>7.4865431898415116</v>
      </c>
      <c r="I50" s="108">
        <f t="shared" si="18"/>
        <v>10.775729715513606</v>
      </c>
      <c r="J50" s="108">
        <f t="shared" si="19"/>
        <v>6.2378974903430509</v>
      </c>
      <c r="K50" s="116">
        <f>(G50+H50)*'TV tinklas'!F46*'Pradiniai duomenys'!E$25*0.00000115</f>
        <v>0</v>
      </c>
      <c r="L50" s="116">
        <f>(I50+J50)*'TV tinklas'!K46*'Pradiniai duomenys'!E$25*0.00000115</f>
        <v>0</v>
      </c>
      <c r="M50" s="116">
        <f t="shared" si="21"/>
        <v>0</v>
      </c>
      <c r="N50" s="81">
        <f>IF(R15&gt;0.7,'Pradiniai duomenys'!$J$25,'Pradiniai duomenys'!$K$25)</f>
        <v>12.57423558897243</v>
      </c>
      <c r="O50" s="79" t="str">
        <f t="shared" si="20"/>
        <v>- grunto temperatūra</v>
      </c>
      <c r="R50" s="171"/>
      <c r="S50" s="91"/>
      <c r="T50" s="78"/>
      <c r="U50" s="78"/>
    </row>
    <row r="51" spans="1:21" x14ac:dyDescent="0.2">
      <c r="A51" s="107">
        <v>80</v>
      </c>
      <c r="B51" s="107">
        <v>88.9</v>
      </c>
      <c r="C51" s="157">
        <f t="shared" si="12"/>
        <v>52.349999999999994</v>
      </c>
      <c r="D51" s="157">
        <f t="shared" si="13"/>
        <v>193.6</v>
      </c>
      <c r="E51" s="157">
        <f t="shared" si="14"/>
        <v>200</v>
      </c>
      <c r="F51" s="157">
        <f t="shared" si="15"/>
        <v>0.35</v>
      </c>
      <c r="G51" s="108">
        <f t="shared" si="16"/>
        <v>13.820821167916332</v>
      </c>
      <c r="H51" s="108">
        <f t="shared" si="17"/>
        <v>7.9403289701016524</v>
      </c>
      <c r="I51" s="108">
        <f t="shared" si="18"/>
        <v>11.444306890989463</v>
      </c>
      <c r="J51" s="108">
        <f t="shared" si="19"/>
        <v>6.6183289998439978</v>
      </c>
      <c r="K51" s="116">
        <f>(G51+H51)*'TV tinklas'!F48*'Pradiniai duomenys'!E$25*0.00000115</f>
        <v>0</v>
      </c>
      <c r="L51" s="116">
        <f>(I51+J51)*'TV tinklas'!K48*'Pradiniai duomenys'!E$25*0.00000115</f>
        <v>0</v>
      </c>
      <c r="M51" s="116">
        <f t="shared" si="21"/>
        <v>0</v>
      </c>
      <c r="N51" s="81">
        <f>IF(R16&gt;0.7,'Pradiniai duomenys'!$J$25,'Pradiniai duomenys'!$K$25)</f>
        <v>12.57423558897243</v>
      </c>
      <c r="O51" s="79" t="str">
        <f t="shared" si="20"/>
        <v>- grunto temperatūra</v>
      </c>
      <c r="R51" s="171"/>
      <c r="S51" s="91"/>
      <c r="T51" s="78"/>
      <c r="U51" s="78"/>
    </row>
    <row r="52" spans="1:21" x14ac:dyDescent="0.2">
      <c r="A52" s="107">
        <v>100</v>
      </c>
      <c r="B52" s="107">
        <v>114.3</v>
      </c>
      <c r="C52" s="157">
        <f t="shared" si="12"/>
        <v>64.25</v>
      </c>
      <c r="D52" s="157">
        <f t="shared" si="13"/>
        <v>242.8</v>
      </c>
      <c r="E52" s="157">
        <f t="shared" si="14"/>
        <v>250</v>
      </c>
      <c r="F52" s="157">
        <f t="shared" si="15"/>
        <v>0.4</v>
      </c>
      <c r="G52" s="108">
        <f t="shared" si="16"/>
        <v>14.329934445972519</v>
      </c>
      <c r="H52" s="108">
        <f t="shared" si="17"/>
        <v>8.2416454436911817</v>
      </c>
      <c r="I52" s="108">
        <f t="shared" si="18"/>
        <v>11.85829354755562</v>
      </c>
      <c r="J52" s="108">
        <f t="shared" si="19"/>
        <v>6.8638351720643946</v>
      </c>
      <c r="K52" s="116">
        <f>(G52+H52)*'TV tinklas'!F49*'Pradiniai duomenys'!E$25*0.00000115</f>
        <v>0</v>
      </c>
      <c r="L52" s="116">
        <f>(I52+J52)*'TV tinklas'!K49*'Pradiniai duomenys'!E$25*0.00000115</f>
        <v>9.2322561142190231</v>
      </c>
      <c r="M52" s="116">
        <f>SUM(K52:L52)</f>
        <v>9.2322561142190231</v>
      </c>
      <c r="N52" s="81">
        <f>IF(R17&gt;0.7,'Pradiniai duomenys'!$J$25,'Pradiniai duomenys'!$K$25)</f>
        <v>12.57423558897243</v>
      </c>
      <c r="O52" s="79" t="str">
        <f t="shared" si="20"/>
        <v>- grunto temperatūra</v>
      </c>
      <c r="R52" s="171"/>
      <c r="S52" s="91"/>
      <c r="T52" s="78"/>
      <c r="U52" s="78"/>
    </row>
    <row r="53" spans="1:21" x14ac:dyDescent="0.2">
      <c r="A53" s="107">
        <v>125</v>
      </c>
      <c r="B53" s="107">
        <v>139.69999999999999</v>
      </c>
      <c r="C53" s="157">
        <f t="shared" si="12"/>
        <v>66.25</v>
      </c>
      <c r="D53" s="157">
        <f t="shared" si="13"/>
        <v>272.2</v>
      </c>
      <c r="E53" s="157">
        <f t="shared" si="14"/>
        <v>280</v>
      </c>
      <c r="F53" s="157">
        <f>E53/1000+0.25</f>
        <v>0.53</v>
      </c>
      <c r="G53" s="108">
        <f t="shared" si="16"/>
        <v>16.183603698063241</v>
      </c>
      <c r="H53" s="108">
        <f t="shared" si="17"/>
        <v>9.327439871031153</v>
      </c>
      <c r="I53" s="108">
        <f t="shared" si="18"/>
        <v>13.392503717296583</v>
      </c>
      <c r="J53" s="108">
        <f t="shared" si="19"/>
        <v>7.7651692681661135</v>
      </c>
      <c r="K53" s="116">
        <f>(G53+H53)*'TV tinklas'!F50*'Pradiniai duomenys'!E$25*0.00000115</f>
        <v>0</v>
      </c>
      <c r="L53" s="116">
        <f>(I53+J53)*'TV tinklas'!K50*'Pradiniai duomenys'!E$25*0.00000115</f>
        <v>0</v>
      </c>
      <c r="M53" s="116">
        <f t="shared" si="21"/>
        <v>0</v>
      </c>
      <c r="N53" s="81">
        <f>IF(R18&gt;0.7,'Pradiniai duomenys'!$J$25,'Pradiniai duomenys'!$K$25)</f>
        <v>12.57423558897243</v>
      </c>
      <c r="O53" s="79" t="str">
        <f t="shared" si="20"/>
        <v>- grunto temperatūra</v>
      </c>
      <c r="R53" s="171"/>
      <c r="S53" s="91"/>
      <c r="T53" s="78"/>
      <c r="U53" s="78"/>
    </row>
    <row r="54" spans="1:21" x14ac:dyDescent="0.2">
      <c r="A54" s="107">
        <v>150</v>
      </c>
      <c r="B54" s="107">
        <v>168.3</v>
      </c>
      <c r="C54" s="157">
        <f t="shared" si="12"/>
        <v>69.25</v>
      </c>
      <c r="D54" s="157">
        <f t="shared" si="13"/>
        <v>306.8</v>
      </c>
      <c r="E54" s="157">
        <f t="shared" si="14"/>
        <v>315</v>
      </c>
      <c r="F54" s="157">
        <f t="shared" ref="F54:F65" si="22">E54/1000+0.25</f>
        <v>0.56499999999999995</v>
      </c>
      <c r="G54" s="108">
        <f t="shared" si="16"/>
        <v>17.943428784724663</v>
      </c>
      <c r="H54" s="108">
        <f t="shared" si="17"/>
        <v>10.31523944022935</v>
      </c>
      <c r="I54" s="108">
        <f t="shared" si="18"/>
        <v>14.854214428995952</v>
      </c>
      <c r="J54" s="108">
        <f t="shared" si="19"/>
        <v>8.5947086909046622</v>
      </c>
      <c r="K54" s="116">
        <f>(G54+H54)*'TV tinklas'!F51*'Pradiniai duomenys'!E$25*0.00000115</f>
        <v>0</v>
      </c>
      <c r="L54" s="116">
        <f>(I54+J54)*'TV tinklas'!K51*'Pradiniai duomenys'!E$25*0.00000115</f>
        <v>0</v>
      </c>
      <c r="M54" s="116">
        <f t="shared" si="21"/>
        <v>0</v>
      </c>
      <c r="N54" s="81">
        <f>IF(R19&gt;0.7,'Pradiniai duomenys'!$J$25,'Pradiniai duomenys'!$K$25)</f>
        <v>12.57423558897243</v>
      </c>
      <c r="O54" s="79" t="str">
        <f t="shared" si="20"/>
        <v>- grunto temperatūra</v>
      </c>
      <c r="R54" s="171"/>
      <c r="S54" s="91"/>
      <c r="T54" s="78"/>
      <c r="U54" s="78"/>
    </row>
    <row r="55" spans="1:21" x14ac:dyDescent="0.2">
      <c r="A55" s="107">
        <v>200</v>
      </c>
      <c r="B55" s="107">
        <v>219.1</v>
      </c>
      <c r="C55" s="157">
        <f t="shared" si="12"/>
        <v>85.649999999999991</v>
      </c>
      <c r="D55" s="157">
        <f t="shared" si="13"/>
        <v>390.4</v>
      </c>
      <c r="E55" s="157">
        <f t="shared" si="14"/>
        <v>400</v>
      </c>
      <c r="F55" s="157">
        <f t="shared" si="22"/>
        <v>0.65</v>
      </c>
      <c r="G55" s="108">
        <f t="shared" si="16"/>
        <v>18.741054238274948</v>
      </c>
      <c r="H55" s="108">
        <f t="shared" si="17"/>
        <v>10.785578752385266</v>
      </c>
      <c r="I55" s="108">
        <f t="shared" si="18"/>
        <v>15.501718954141664</v>
      </c>
      <c r="J55" s="108">
        <f t="shared" si="19"/>
        <v>8.9775515063117499</v>
      </c>
      <c r="K55" s="116">
        <f>(G55+H55)*'TV tinklas'!F53*'Pradiniai duomenys'!E$25*0.00000115</f>
        <v>0</v>
      </c>
      <c r="L55" s="116">
        <f>(I55+J55)*'TV tinklas'!K53*'Pradiniai duomenys'!E$25*0.00000115</f>
        <v>0</v>
      </c>
      <c r="M55" s="116">
        <f t="shared" si="21"/>
        <v>0</v>
      </c>
      <c r="N55" s="81">
        <f>IF(R20&gt;0.7,'Pradiniai duomenys'!$J$25,'Pradiniai duomenys'!$K$25)</f>
        <v>12.57423558897243</v>
      </c>
      <c r="O55" s="79" t="str">
        <f t="shared" si="20"/>
        <v>- grunto temperatūra</v>
      </c>
      <c r="R55" s="171"/>
      <c r="S55" s="91"/>
      <c r="T55" s="78"/>
      <c r="U55" s="78"/>
    </row>
    <row r="56" spans="1:21" x14ac:dyDescent="0.2">
      <c r="A56" s="107">
        <v>250</v>
      </c>
      <c r="B56" s="107">
        <v>273</v>
      </c>
      <c r="C56" s="157">
        <f t="shared" si="12"/>
        <v>107.9</v>
      </c>
      <c r="D56" s="157">
        <f t="shared" si="13"/>
        <v>488.8</v>
      </c>
      <c r="E56" s="157">
        <f t="shared" si="14"/>
        <v>500</v>
      </c>
      <c r="F56" s="157">
        <f t="shared" si="22"/>
        <v>0.75</v>
      </c>
      <c r="G56" s="108">
        <f t="shared" si="16"/>
        <v>18.704910098935187</v>
      </c>
      <c r="H56" s="108">
        <f t="shared" si="17"/>
        <v>10.793888839717724</v>
      </c>
      <c r="I56" s="108">
        <f t="shared" si="18"/>
        <v>15.454370456937783</v>
      </c>
      <c r="J56" s="108">
        <f t="shared" si="19"/>
        <v>8.9700391602141956</v>
      </c>
      <c r="K56" s="116">
        <f>(G56+H56)*'TV tinklas'!F54*'Pradiniai duomenys'!E$25*0.00000115</f>
        <v>0</v>
      </c>
      <c r="L56" s="116">
        <f>(I56+J56)*'TV tinklas'!K54*'Pradiniai duomenys'!E$25*0.00000115</f>
        <v>0</v>
      </c>
      <c r="M56" s="116">
        <f t="shared" si="21"/>
        <v>0</v>
      </c>
      <c r="N56" s="81">
        <f>IF(R21&gt;0.7,'Pradiniai duomenys'!$J$25,'Pradiniai duomenys'!$K$25)</f>
        <v>12.57423558897243</v>
      </c>
      <c r="O56" s="79" t="str">
        <f t="shared" si="20"/>
        <v>- grunto temperatūra</v>
      </c>
      <c r="R56" s="171"/>
      <c r="S56" s="91"/>
      <c r="T56" s="78"/>
      <c r="U56" s="78"/>
    </row>
    <row r="57" spans="1:21" x14ac:dyDescent="0.2">
      <c r="A57" s="107">
        <v>300</v>
      </c>
      <c r="B57" s="107">
        <v>323.89999999999998</v>
      </c>
      <c r="C57" s="157">
        <f t="shared" si="12"/>
        <v>112.05000000000001</v>
      </c>
      <c r="D57" s="157">
        <f t="shared" si="13"/>
        <v>548</v>
      </c>
      <c r="E57" s="157">
        <f t="shared" si="14"/>
        <v>560</v>
      </c>
      <c r="F57" s="157">
        <f t="shared" si="22"/>
        <v>0.81</v>
      </c>
      <c r="G57" s="108">
        <f t="shared" si="16"/>
        <v>20.70315422882798</v>
      </c>
      <c r="H57" s="108">
        <f t="shared" si="17"/>
        <v>11.921486721039921</v>
      </c>
      <c r="I57" s="108">
        <f t="shared" si="18"/>
        <v>17.108194953815083</v>
      </c>
      <c r="J57" s="108">
        <f t="shared" si="19"/>
        <v>9.9127245129710264</v>
      </c>
      <c r="K57" s="116">
        <f>(G57+H57)*'TV tinklas'!F55*'Pradiniai duomenys'!E$25*0.00000115</f>
        <v>0</v>
      </c>
      <c r="L57" s="116">
        <f>(I57+J57)*'TV tinklas'!K55*'Pradiniai duomenys'!E$25*0.00000115</f>
        <v>0</v>
      </c>
      <c r="M57" s="116">
        <f t="shared" si="21"/>
        <v>0</v>
      </c>
      <c r="N57" s="81">
        <f>IF(R22&gt;0.7,'Pradiniai duomenys'!$J$25,'Pradiniai duomenys'!$K$25)</f>
        <v>12.57423558897243</v>
      </c>
      <c r="O57" s="79" t="str">
        <f t="shared" si="20"/>
        <v>- grunto temperatūra</v>
      </c>
      <c r="R57" s="171"/>
      <c r="S57" s="91"/>
      <c r="T57" s="78"/>
      <c r="U57" s="78"/>
    </row>
    <row r="58" spans="1:21" x14ac:dyDescent="0.2">
      <c r="A58" s="107">
        <v>350</v>
      </c>
      <c r="B58" s="107">
        <v>355.6</v>
      </c>
      <c r="C58" s="157">
        <f t="shared" si="12"/>
        <v>130.59999999999997</v>
      </c>
      <c r="D58" s="157">
        <f t="shared" si="13"/>
        <v>616.79999999999995</v>
      </c>
      <c r="E58" s="157">
        <f t="shared" si="14"/>
        <v>630</v>
      </c>
      <c r="F58" s="157">
        <f t="shared" si="22"/>
        <v>0.88</v>
      </c>
      <c r="G58" s="108">
        <f t="shared" si="16"/>
        <v>19.865458635889382</v>
      </c>
      <c r="H58" s="108">
        <f t="shared" si="17"/>
        <v>11.472476652051601</v>
      </c>
      <c r="I58" s="108">
        <f t="shared" si="18"/>
        <v>16.401394735231715</v>
      </c>
      <c r="J58" s="108">
        <f t="shared" si="19"/>
        <v>9.5258797957410248</v>
      </c>
      <c r="K58" s="116">
        <f>(G58+H58)*'TV tinklas'!F56*'Pradiniai duomenys'!E$25*0.00000115</f>
        <v>0</v>
      </c>
      <c r="L58" s="116">
        <f>(I58+J58)*'TV tinklas'!K56*'Pradiniai duomenys'!E$25*0.00000115</f>
        <v>0</v>
      </c>
      <c r="M58" s="116">
        <f t="shared" si="21"/>
        <v>0</v>
      </c>
      <c r="N58" s="81">
        <f>IF(R23&gt;0.7,'Pradiniai duomenys'!$J$25,'Pradiniai duomenys'!$K$25)</f>
        <v>12.57423558897243</v>
      </c>
      <c r="O58" s="79" t="str">
        <f t="shared" si="20"/>
        <v>- grunto temperatūra</v>
      </c>
      <c r="R58" s="171"/>
      <c r="S58" s="91"/>
      <c r="T58" s="78"/>
      <c r="U58" s="78"/>
    </row>
    <row r="59" spans="1:21" x14ac:dyDescent="0.2">
      <c r="A59" s="107">
        <v>400</v>
      </c>
      <c r="B59" s="107">
        <v>406.4</v>
      </c>
      <c r="C59" s="157">
        <f t="shared" si="12"/>
        <v>144.60000000000002</v>
      </c>
      <c r="D59" s="157">
        <f t="shared" si="13"/>
        <v>695.6</v>
      </c>
      <c r="E59" s="157">
        <f t="shared" si="14"/>
        <v>710</v>
      </c>
      <c r="F59" s="157">
        <f t="shared" si="22"/>
        <v>0.96</v>
      </c>
      <c r="G59" s="108">
        <f t="shared" si="16"/>
        <v>20.40590884189443</v>
      </c>
      <c r="H59" s="108">
        <f t="shared" si="17"/>
        <v>11.791602020950631</v>
      </c>
      <c r="I59" s="108">
        <f t="shared" si="18"/>
        <v>16.8405540895684</v>
      </c>
      <c r="J59" s="108">
        <f t="shared" si="19"/>
        <v>9.7857685100722804</v>
      </c>
      <c r="K59" s="116">
        <f>(G59+H59)*'TV tinklas'!F57*'Pradiniai duomenys'!E$25*0.00000115</f>
        <v>0</v>
      </c>
      <c r="L59" s="116">
        <f>(I59+J59)*'TV tinklas'!K57*'Pradiniai duomenys'!E$25*0.00000115</f>
        <v>0</v>
      </c>
      <c r="M59" s="116">
        <f t="shared" si="21"/>
        <v>0</v>
      </c>
      <c r="N59" s="81">
        <f>IF(R24&gt;0.7,'Pradiniai duomenys'!$J$25,'Pradiniai duomenys'!$K$25)</f>
        <v>12.57423558897243</v>
      </c>
      <c r="O59" s="79" t="str">
        <f t="shared" si="20"/>
        <v>- grunto temperatūra</v>
      </c>
      <c r="R59" s="171"/>
      <c r="S59" s="91"/>
      <c r="T59" s="78"/>
      <c r="U59" s="78"/>
    </row>
    <row r="60" spans="1:21" x14ac:dyDescent="0.2">
      <c r="A60" s="107">
        <v>450</v>
      </c>
      <c r="B60" s="107">
        <v>457.2</v>
      </c>
      <c r="C60" s="157">
        <f t="shared" si="12"/>
        <v>163.50000000000003</v>
      </c>
      <c r="D60" s="157">
        <f t="shared" si="13"/>
        <v>784.2</v>
      </c>
      <c r="E60" s="157">
        <f t="shared" si="14"/>
        <v>800</v>
      </c>
      <c r="F60" s="157">
        <f t="shared" si="22"/>
        <v>1.05</v>
      </c>
      <c r="G60" s="108">
        <f t="shared" si="16"/>
        <v>20.392212648785144</v>
      </c>
      <c r="H60" s="108">
        <f t="shared" si="17"/>
        <v>11.800991949101695</v>
      </c>
      <c r="I60" s="108">
        <f t="shared" si="18"/>
        <v>16.819550776020105</v>
      </c>
      <c r="J60" s="108">
        <f t="shared" si="19"/>
        <v>9.7853410372135112</v>
      </c>
      <c r="K60" s="116">
        <f>(G60+H60)*'TV tinklas'!F58*'Pradiniai duomenys'!E$25*0.00000115</f>
        <v>0</v>
      </c>
      <c r="L60" s="116">
        <f>(I60+J60)*'TV tinklas'!K58*'Pradiniai duomenys'!E$25*0.00000115</f>
        <v>0</v>
      </c>
      <c r="M60" s="116">
        <f t="shared" si="21"/>
        <v>0</v>
      </c>
      <c r="N60" s="81">
        <f>IF(R25&gt;0.7,'Pradiniai duomenys'!$J$25,'Pradiniai duomenys'!$K$25)</f>
        <v>12.57423558897243</v>
      </c>
      <c r="O60" s="79" t="str">
        <f t="shared" si="20"/>
        <v>- grunto temperatūra</v>
      </c>
      <c r="R60" s="171"/>
      <c r="S60" s="91"/>
      <c r="T60" s="78"/>
      <c r="U60" s="78"/>
    </row>
    <row r="61" spans="1:21" x14ac:dyDescent="0.2">
      <c r="A61" s="107">
        <v>500</v>
      </c>
      <c r="B61" s="107">
        <v>508</v>
      </c>
      <c r="C61" s="157">
        <f t="shared" si="12"/>
        <v>187.3</v>
      </c>
      <c r="D61" s="157">
        <f t="shared" si="13"/>
        <v>882.6</v>
      </c>
      <c r="E61" s="157">
        <f t="shared" si="14"/>
        <v>900</v>
      </c>
      <c r="F61" s="157">
        <f t="shared" si="22"/>
        <v>1.1499999999999999</v>
      </c>
      <c r="G61" s="108">
        <f t="shared" si="16"/>
        <v>19.9889774988191</v>
      </c>
      <c r="H61" s="108">
        <f t="shared" si="17"/>
        <v>11.590254526299489</v>
      </c>
      <c r="I61" s="108">
        <f t="shared" si="18"/>
        <v>16.476423343905299</v>
      </c>
      <c r="J61" s="108">
        <f t="shared" si="19"/>
        <v>9.6010562551155019</v>
      </c>
      <c r="K61" s="116">
        <f>(G61+H61)*'TV tinklas'!F59*'Pradiniai duomenys'!E$25*0.00000115</f>
        <v>0</v>
      </c>
      <c r="L61" s="116">
        <f>(I61+J61)*'TV tinklas'!K59*'Pradiniai duomenys'!E$25*0.00000115</f>
        <v>0</v>
      </c>
      <c r="M61" s="116">
        <f t="shared" si="21"/>
        <v>0</v>
      </c>
      <c r="N61" s="81">
        <f>IF(R26&gt;0.7,'Pradiniai duomenys'!$J$25,'Pradiniai duomenys'!$K$25)</f>
        <v>12.57423558897243</v>
      </c>
      <c r="O61" s="79" t="str">
        <f t="shared" si="20"/>
        <v>- grunto temperatūra</v>
      </c>
      <c r="R61" s="171"/>
      <c r="S61" s="91"/>
      <c r="T61" s="78"/>
      <c r="U61" s="78"/>
    </row>
    <row r="62" spans="1:21" x14ac:dyDescent="0.2">
      <c r="A62" s="107">
        <v>550</v>
      </c>
      <c r="B62" s="107">
        <v>558.79999999999995</v>
      </c>
      <c r="C62" s="157">
        <f t="shared" si="12"/>
        <v>112.70000000000005</v>
      </c>
      <c r="D62" s="157">
        <f t="shared" si="13"/>
        <v>784.2</v>
      </c>
      <c r="E62" s="157">
        <f t="shared" si="14"/>
        <v>800</v>
      </c>
      <c r="F62" s="157">
        <f t="shared" si="22"/>
        <v>1.05</v>
      </c>
      <c r="G62" s="108">
        <f t="shared" si="16"/>
        <v>31.916547399464275</v>
      </c>
      <c r="H62" s="108">
        <f t="shared" si="17"/>
        <v>18.144279308619183</v>
      </c>
      <c r="I62" s="108">
        <f t="shared" si="18"/>
        <v>26.409500160267545</v>
      </c>
      <c r="J62" s="108">
        <f t="shared" si="19"/>
        <v>15.14379511289663</v>
      </c>
      <c r="K62" s="116">
        <f>(G62+H62)*'TV tinklas'!F60*'Pradiniai duomenys'!E$25*0.00000115</f>
        <v>0</v>
      </c>
      <c r="L62" s="116">
        <f>(I62+J62)*'TV tinklas'!K60*'Pradiniai duomenys'!E$25*0.00000115</f>
        <v>0</v>
      </c>
      <c r="M62" s="116">
        <f>SUM(K62:L62)</f>
        <v>0</v>
      </c>
      <c r="N62" s="81">
        <f>IF(R27&gt;0.7,'Pradiniai duomenys'!$J$25,'Pradiniai duomenys'!$K$25)</f>
        <v>12.57423558897243</v>
      </c>
      <c r="O62" s="79" t="str">
        <f t="shared" si="20"/>
        <v>- grunto temperatūra</v>
      </c>
      <c r="R62" s="172"/>
      <c r="S62" s="91"/>
      <c r="T62" s="78"/>
      <c r="U62" s="78"/>
    </row>
    <row r="63" spans="1:21" x14ac:dyDescent="0.2">
      <c r="A63" s="154">
        <v>600</v>
      </c>
      <c r="B63" s="154">
        <v>609.6</v>
      </c>
      <c r="C63" s="157">
        <f t="shared" si="12"/>
        <v>136.5</v>
      </c>
      <c r="D63" s="157">
        <f t="shared" si="13"/>
        <v>882.6</v>
      </c>
      <c r="E63" s="157">
        <f t="shared" si="14"/>
        <v>900</v>
      </c>
      <c r="F63" s="157">
        <f t="shared" si="22"/>
        <v>1.1499999999999999</v>
      </c>
      <c r="G63" s="108">
        <f t="shared" si="16"/>
        <v>29.46731820399815</v>
      </c>
      <c r="H63" s="108">
        <f t="shared" si="17"/>
        <v>16.851937345594816</v>
      </c>
      <c r="I63" s="108">
        <f t="shared" si="18"/>
        <v>24.346270317145216</v>
      </c>
      <c r="J63" s="108">
        <f t="shared" si="19"/>
        <v>14.028574702903153</v>
      </c>
      <c r="K63" s="116">
        <f>(G63+H63)*'TV tinklas'!F60*'Pradiniai duomenys'!E$25*0.00000115</f>
        <v>0</v>
      </c>
      <c r="L63" s="116">
        <f>(I63+J63)*'TV tinklas'!K60*'Pradiniai duomenys'!E$25*0.00000115</f>
        <v>0</v>
      </c>
      <c r="M63" s="116">
        <f t="shared" si="21"/>
        <v>0</v>
      </c>
      <c r="N63" s="81">
        <f>IF(R28&gt;0.7,'Pradiniai duomenys'!$J$25,'Pradiniai duomenys'!$K$25)</f>
        <v>12.57423558897243</v>
      </c>
      <c r="O63" s="79" t="str">
        <f t="shared" si="20"/>
        <v>- grunto temperatūra</v>
      </c>
      <c r="R63" s="171"/>
      <c r="S63" s="91"/>
      <c r="T63" s="78"/>
      <c r="U63" s="78"/>
    </row>
    <row r="64" spans="1:21" x14ac:dyDescent="0.2">
      <c r="A64" s="107">
        <v>700</v>
      </c>
      <c r="B64" s="107">
        <v>711</v>
      </c>
      <c r="C64" s="157">
        <f t="shared" si="12"/>
        <v>85.800000000000011</v>
      </c>
      <c r="D64" s="157">
        <f t="shared" si="13"/>
        <v>882.6</v>
      </c>
      <c r="E64" s="157">
        <f t="shared" si="14"/>
        <v>900</v>
      </c>
      <c r="F64" s="157">
        <f t="shared" si="22"/>
        <v>1.1499999999999999</v>
      </c>
      <c r="G64" s="108">
        <f t="shared" si="16"/>
        <v>49.053367969346553</v>
      </c>
      <c r="H64" s="108">
        <f t="shared" si="17"/>
        <v>27.204872494591346</v>
      </c>
      <c r="I64" s="108">
        <f t="shared" si="18"/>
        <v>40.7467146834083</v>
      </c>
      <c r="J64" s="108">
        <f t="shared" si="19"/>
        <v>22.903015565756029</v>
      </c>
      <c r="K64" s="116">
        <f>(G64+H64)*'TV tinklas'!F61*'Pradiniai duomenys'!E$25*0.00000115</f>
        <v>0</v>
      </c>
      <c r="L64" s="116">
        <f>(I64+J64)*'TV tinklas'!K61*'Pradiniai duomenys'!E$25*0.00000115</f>
        <v>0</v>
      </c>
      <c r="M64" s="116">
        <f t="shared" si="21"/>
        <v>0</v>
      </c>
      <c r="N64" s="81">
        <f>IF(R29&gt;0.7,'Pradiniai duomenys'!$J$25,'Pradiniai duomenys'!$K$25)</f>
        <v>12.57423558897243</v>
      </c>
      <c r="O64" s="79" t="str">
        <f t="shared" si="20"/>
        <v>- grunto temperatūra</v>
      </c>
      <c r="R64" s="171"/>
      <c r="S64" s="91"/>
      <c r="T64" s="78"/>
      <c r="U64" s="78"/>
    </row>
    <row r="65" spans="1:21" x14ac:dyDescent="0.2">
      <c r="A65" s="107">
        <v>800</v>
      </c>
      <c r="B65" s="107">
        <v>820</v>
      </c>
      <c r="C65" s="157">
        <f t="shared" si="12"/>
        <v>80.600000000000023</v>
      </c>
      <c r="D65" s="157">
        <f t="shared" si="13"/>
        <v>981.2</v>
      </c>
      <c r="E65" s="157">
        <f t="shared" si="14"/>
        <v>1000</v>
      </c>
      <c r="F65" s="157">
        <f t="shared" si="22"/>
        <v>1.25</v>
      </c>
      <c r="G65" s="108">
        <f t="shared" si="16"/>
        <v>58.701946666058689</v>
      </c>
      <c r="H65" s="108">
        <f t="shared" si="17"/>
        <v>32.159978037779545</v>
      </c>
      <c r="I65" s="108">
        <f t="shared" si="18"/>
        <v>48.832911743617849</v>
      </c>
      <c r="J65" s="108">
        <f t="shared" si="19"/>
        <v>27.181014396953593</v>
      </c>
      <c r="K65" s="116">
        <f>(G65+H65)*'TV tinklas'!F62*'Pradiniai duomenys'!E$25*0.00000115</f>
        <v>0</v>
      </c>
      <c r="L65" s="116">
        <f>(I65+J65)*'TV tinklas'!K62*'Pradiniai duomenys'!E$25*0.00000115</f>
        <v>0</v>
      </c>
      <c r="M65" s="116">
        <f t="shared" si="21"/>
        <v>0</v>
      </c>
      <c r="N65" s="81">
        <f>IF(R30&gt;0.7,'Pradiniai duomenys'!$J$25,'Pradiniai duomenys'!$K$25)</f>
        <v>12.57423558897243</v>
      </c>
      <c r="O65" s="79" t="str">
        <f t="shared" si="20"/>
        <v>- grunto temperatūra</v>
      </c>
      <c r="R65" s="171"/>
      <c r="S65" s="91"/>
      <c r="T65" s="78"/>
      <c r="U65" s="78"/>
    </row>
    <row r="66" spans="1:21" x14ac:dyDescent="0.2">
      <c r="A66" s="107">
        <v>900</v>
      </c>
      <c r="B66" s="107">
        <v>914</v>
      </c>
      <c r="C66" s="157">
        <f t="shared" si="12"/>
        <v>82.799999999999955</v>
      </c>
      <c r="D66" s="157">
        <f t="shared" si="13"/>
        <v>1079.5999999999999</v>
      </c>
      <c r="E66" s="157">
        <f t="shared" si="14"/>
        <v>1100</v>
      </c>
      <c r="F66" s="157">
        <f>E66/1000+0.25</f>
        <v>1.35</v>
      </c>
      <c r="G66" s="108">
        <f t="shared" si="16"/>
        <v>63.337835600930532</v>
      </c>
      <c r="H66" s="108">
        <f t="shared" si="17"/>
        <v>34.567688280273643</v>
      </c>
      <c r="I66" s="108">
        <f t="shared" si="18"/>
        <v>52.687625709076407</v>
      </c>
      <c r="J66" s="108">
        <f t="shared" si="19"/>
        <v>29.238987901127949</v>
      </c>
      <c r="K66" s="116">
        <f>(G66+H66)*'TV tinklas'!F63*'Pradiniai duomenys'!E$25*0.00000115</f>
        <v>0</v>
      </c>
      <c r="L66" s="116">
        <f>(I66+J66)*'TV tinklas'!K63*'Pradiniai duomenys'!E$25*0.00000115</f>
        <v>0</v>
      </c>
      <c r="M66" s="116">
        <f t="shared" si="21"/>
        <v>0</v>
      </c>
      <c r="N66" s="81">
        <f>IF(R31&gt;0.7,'Pradiniai duomenys'!$J$25,'Pradiniai duomenys'!$K$25)</f>
        <v>12.57423558897243</v>
      </c>
      <c r="O66" s="79" t="str">
        <f t="shared" si="20"/>
        <v>- grunto temperatūra</v>
      </c>
      <c r="R66" s="171"/>
      <c r="S66" s="91"/>
      <c r="T66" s="78"/>
      <c r="U66" s="78"/>
    </row>
    <row r="67" spans="1:21" x14ac:dyDescent="0.2">
      <c r="A67" s="107">
        <v>1000</v>
      </c>
      <c r="B67" s="107">
        <v>1016</v>
      </c>
      <c r="C67" s="157">
        <f t="shared" si="12"/>
        <v>81</v>
      </c>
      <c r="D67" s="157">
        <f t="shared" si="13"/>
        <v>1178</v>
      </c>
      <c r="E67" s="157">
        <f t="shared" si="14"/>
        <v>1200</v>
      </c>
      <c r="F67" s="157">
        <f>E67/1000+0.25</f>
        <v>1.45</v>
      </c>
      <c r="G67" s="108">
        <f t="shared" si="16"/>
        <v>71.094351219967137</v>
      </c>
      <c r="H67" s="108">
        <f t="shared" si="17"/>
        <v>38.462162871765734</v>
      </c>
      <c r="I67" s="108">
        <f t="shared" si="18"/>
        <v>59.185659867803182</v>
      </c>
      <c r="J67" s="108">
        <f t="shared" si="19"/>
        <v>32.618337526313148</v>
      </c>
      <c r="K67" s="116">
        <f>(G67+H67)*'TV tinklas'!F64*'Pradiniai duomenys'!E$25*0.00000115</f>
        <v>0</v>
      </c>
      <c r="L67" s="116">
        <f>(I67+J67)*'TV tinklas'!K64*'Pradiniai duomenys'!E$25*0.00000115</f>
        <v>0</v>
      </c>
      <c r="M67" s="116">
        <f t="shared" si="21"/>
        <v>0</v>
      </c>
      <c r="N67" s="81">
        <f>IF(R32&gt;0.7,'Pradiniai duomenys'!$J$25,'Pradiniai duomenys'!$K$25)</f>
        <v>12.57423558897243</v>
      </c>
      <c r="O67" s="79" t="str">
        <f t="shared" si="20"/>
        <v>- grunto temperatūra</v>
      </c>
      <c r="R67" s="171"/>
      <c r="S67" s="91"/>
      <c r="T67" s="78"/>
      <c r="U67" s="78"/>
    </row>
    <row r="68" spans="1:21" x14ac:dyDescent="0.2">
      <c r="A68" s="107">
        <v>1100</v>
      </c>
      <c r="B68" s="107">
        <v>1118</v>
      </c>
      <c r="C68" s="157">
        <f t="shared" si="12"/>
        <v>79.200000000000045</v>
      </c>
      <c r="D68" s="157">
        <f t="shared" si="13"/>
        <v>1276.4000000000001</v>
      </c>
      <c r="E68" s="157">
        <f t="shared" si="14"/>
        <v>1300</v>
      </c>
      <c r="F68" s="157">
        <f>E68/1000+0.25</f>
        <v>1.55</v>
      </c>
      <c r="G68" s="108">
        <f t="shared" si="16"/>
        <v>79.171250417400117</v>
      </c>
      <c r="H68" s="108">
        <f t="shared" si="17"/>
        <v>42.43992342056422</v>
      </c>
      <c r="I68" s="108">
        <f t="shared" si="18"/>
        <v>65.962787708798515</v>
      </c>
      <c r="J68" s="108">
        <f t="shared" si="19"/>
        <v>36.091823548717379</v>
      </c>
      <c r="K68" s="116">
        <f>(G68+H68)*'TV tinklas'!F65*'Pradiniai duomenys'!E$25*0.00000115</f>
        <v>0</v>
      </c>
      <c r="L68" s="116">
        <f>(I68+J68)*'TV tinklas'!K65*'Pradiniai duomenys'!E$25*0.00000115</f>
        <v>0</v>
      </c>
      <c r="M68" s="116">
        <f t="shared" si="21"/>
        <v>0</v>
      </c>
      <c r="N68" s="81">
        <f>IF(R33&gt;0.7,'Pradiniai duomenys'!$J$25,'Pradiniai duomenys'!$K$25)</f>
        <v>12.57423558897243</v>
      </c>
      <c r="O68" s="79" t="str">
        <f t="shared" si="20"/>
        <v>- grunto temperatūra</v>
      </c>
      <c r="R68" s="171"/>
      <c r="S68" s="91"/>
      <c r="T68" s="78"/>
      <c r="U68" s="78"/>
    </row>
    <row r="69" spans="1:21" x14ac:dyDescent="0.2">
      <c r="A69" s="107">
        <v>1200</v>
      </c>
      <c r="B69" s="107">
        <v>1219</v>
      </c>
      <c r="C69" s="157">
        <f t="shared" si="12"/>
        <v>78</v>
      </c>
      <c r="D69" s="157">
        <f t="shared" si="13"/>
        <v>1375</v>
      </c>
      <c r="E69" s="157">
        <f t="shared" si="14"/>
        <v>1400</v>
      </c>
      <c r="F69" s="157">
        <f>E69/1000+0.25</f>
        <v>1.65</v>
      </c>
      <c r="G69" s="108">
        <f t="shared" si="16"/>
        <v>86.950124088475661</v>
      </c>
      <c r="H69" s="108">
        <f t="shared" si="17"/>
        <v>46.207444184081773</v>
      </c>
      <c r="I69" s="108">
        <f t="shared" si="18"/>
        <v>72.494079478997406</v>
      </c>
      <c r="J69" s="108">
        <f t="shared" si="19"/>
        <v>39.398072735338651</v>
      </c>
      <c r="K69" s="116">
        <f>(G69+H69)*'TV tinklas'!F66*'Pradiniai duomenys'!E$25*0.00000115</f>
        <v>0</v>
      </c>
      <c r="L69" s="116">
        <f>(I69+J69)*'TV tinklas'!K66*'Pradiniai duomenys'!E$25*0.00000115</f>
        <v>0</v>
      </c>
      <c r="M69" s="116">
        <f t="shared" si="21"/>
        <v>0</v>
      </c>
      <c r="N69" s="81">
        <f>IF(R34&gt;0.7,'Pradiniai duomenys'!$J$25,'Pradiniai duomenys'!$K$25)</f>
        <v>12.57423558897243</v>
      </c>
      <c r="O69" s="79" t="str">
        <f t="shared" si="20"/>
        <v>- grunto temperatūra</v>
      </c>
      <c r="R69" s="171"/>
      <c r="S69" s="91"/>
      <c r="T69" s="78"/>
      <c r="U69" s="78"/>
    </row>
    <row r="70" spans="1:21" x14ac:dyDescent="0.2">
      <c r="A70" s="113" t="s">
        <v>40</v>
      </c>
      <c r="J70" s="113" t="s">
        <v>138</v>
      </c>
      <c r="K70" s="174">
        <f>SUM(K46:K69)</f>
        <v>0</v>
      </c>
      <c r="L70" s="174">
        <f>SUM(L46:L69)</f>
        <v>9.2322561142190231</v>
      </c>
      <c r="M70" s="174">
        <f>SUM(M46:M69)</f>
        <v>9.2322561142190231</v>
      </c>
      <c r="S70" s="91"/>
      <c r="T70" s="78"/>
      <c r="U70" s="78"/>
    </row>
    <row r="71" spans="1:21" x14ac:dyDescent="0.2">
      <c r="A71" s="112" t="s">
        <v>323</v>
      </c>
    </row>
    <row r="72" spans="1:21" x14ac:dyDescent="0.2">
      <c r="A72" s="112" t="s">
        <v>98</v>
      </c>
      <c r="O72" s="169"/>
    </row>
    <row r="73" spans="1:21" x14ac:dyDescent="0.2">
      <c r="A73" s="112" t="s">
        <v>324</v>
      </c>
      <c r="O73" s="169"/>
    </row>
  </sheetData>
  <protectedRanges>
    <protectedRange sqref="D11:E34" name="Range3"/>
    <protectedRange sqref="F11:F34" name="Range1"/>
    <protectedRange sqref="H11:H34" name="Range2"/>
  </protectedRanges>
  <mergeCells count="34">
    <mergeCell ref="A2:P2"/>
    <mergeCell ref="A3:P3"/>
    <mergeCell ref="A8:B8"/>
    <mergeCell ref="C8:C10"/>
    <mergeCell ref="D8:D10"/>
    <mergeCell ref="E8:E10"/>
    <mergeCell ref="F8:F10"/>
    <mergeCell ref="G8:G10"/>
    <mergeCell ref="H8:H10"/>
    <mergeCell ref="I8:I10"/>
    <mergeCell ref="U8:U10"/>
    <mergeCell ref="A9:A10"/>
    <mergeCell ref="B9:B10"/>
    <mergeCell ref="A43:B43"/>
    <mergeCell ref="C43:C45"/>
    <mergeCell ref="D43:D45"/>
    <mergeCell ref="E43:E45"/>
    <mergeCell ref="F43:F45"/>
    <mergeCell ref="J8:K9"/>
    <mergeCell ref="L8:M9"/>
    <mergeCell ref="N8:N10"/>
    <mergeCell ref="O8:O10"/>
    <mergeCell ref="P8:P10"/>
    <mergeCell ref="R8:R10"/>
    <mergeCell ref="L43:L45"/>
    <mergeCell ref="M43:M45"/>
    <mergeCell ref="N43:N45"/>
    <mergeCell ref="S8:S10"/>
    <mergeCell ref="T8:T10"/>
    <mergeCell ref="A44:A45"/>
    <mergeCell ref="B44:B45"/>
    <mergeCell ref="G43:H44"/>
    <mergeCell ref="I43:J44"/>
    <mergeCell ref="K43:K45"/>
  </mergeCells>
  <printOptions horizontalCentered="1" verticalCentered="1"/>
  <pageMargins left="0.4" right="0.4" top="0.98425196850393704" bottom="0.98425196850393704" header="0.51181102362204722" footer="0.51181102362204722"/>
  <pageSetup paperSize="9" orientation="landscape" horizontalDpi="4294967293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2A68-009A-4749-BA1B-39D8035D3260}">
  <dimension ref="A1:W73"/>
  <sheetViews>
    <sheetView showGridLines="0" showZeros="0" workbookViewId="0">
      <selection activeCell="F16" sqref="F16"/>
    </sheetView>
  </sheetViews>
  <sheetFormatPr defaultColWidth="9.33203125" defaultRowHeight="12.75" x14ac:dyDescent="0.2"/>
  <cols>
    <col min="1" max="2" width="11.33203125" style="112" customWidth="1"/>
    <col min="3" max="3" width="12.6640625" style="112" customWidth="1"/>
    <col min="4" max="13" width="11.33203125" style="112" customWidth="1"/>
    <col min="14" max="14" width="11.83203125" style="112" customWidth="1"/>
    <col min="15" max="16" width="11.33203125" style="112" customWidth="1"/>
    <col min="17" max="17" width="5" style="112" customWidth="1"/>
    <col min="18" max="18" width="20.5" style="112" customWidth="1"/>
    <col min="19" max="19" width="14.33203125" style="112" customWidth="1"/>
    <col min="20" max="20" width="21" style="112" customWidth="1"/>
    <col min="21" max="21" width="22.6640625" style="112" customWidth="1"/>
    <col min="22" max="16384" width="9.33203125" style="1"/>
  </cols>
  <sheetData>
    <row r="1" spans="1:23" x14ac:dyDescent="0.2">
      <c r="A1" s="67">
        <f>'Pradiniai duomenys'!A1</f>
        <v>0</v>
      </c>
    </row>
    <row r="2" spans="1:23" ht="15.75" x14ac:dyDescent="0.25">
      <c r="A2" s="584" t="s">
        <v>325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23" ht="15.75" x14ac:dyDescent="0.25">
      <c r="A3" s="584" t="s">
        <v>312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</row>
    <row r="4" spans="1:23" x14ac:dyDescent="0.2">
      <c r="A4" s="253" t="s">
        <v>279</v>
      </c>
    </row>
    <row r="5" spans="1:23" hidden="1" x14ac:dyDescent="0.2">
      <c r="M5" s="165" t="s">
        <v>192</v>
      </c>
      <c r="N5" s="322">
        <f>'Pradiniai duomenys'!J32</f>
        <v>3.3000000000000002E-2</v>
      </c>
      <c r="O5" s="67" t="s">
        <v>194</v>
      </c>
    </row>
    <row r="6" spans="1:23" hidden="1" x14ac:dyDescent="0.2">
      <c r="A6" s="113"/>
      <c r="M6" s="165" t="s">
        <v>193</v>
      </c>
      <c r="N6" s="322">
        <f>'Pradiniai duomenys'!J33</f>
        <v>2.7E-2</v>
      </c>
      <c r="O6" s="67" t="s">
        <v>194</v>
      </c>
    </row>
    <row r="7" spans="1:23" hidden="1" x14ac:dyDescent="0.2">
      <c r="M7" s="166" t="s">
        <v>201</v>
      </c>
      <c r="N7" s="167">
        <f>'Pradiniai duomenys'!J31</f>
        <v>2</v>
      </c>
      <c r="O7" s="67" t="s">
        <v>194</v>
      </c>
    </row>
    <row r="8" spans="1:23" ht="12.75" customHeight="1" x14ac:dyDescent="0.2">
      <c r="A8" s="576" t="s">
        <v>97</v>
      </c>
      <c r="B8" s="601"/>
      <c r="C8" s="577" t="s">
        <v>209</v>
      </c>
      <c r="D8" s="577" t="s">
        <v>243</v>
      </c>
      <c r="E8" s="577" t="s">
        <v>210</v>
      </c>
      <c r="F8" s="600" t="s">
        <v>179</v>
      </c>
      <c r="G8" s="600" t="s">
        <v>212</v>
      </c>
      <c r="H8" s="600" t="s">
        <v>183</v>
      </c>
      <c r="I8" s="577" t="s">
        <v>215</v>
      </c>
      <c r="J8" s="596" t="s">
        <v>320</v>
      </c>
      <c r="K8" s="597"/>
      <c r="L8" s="596" t="s">
        <v>321</v>
      </c>
      <c r="M8" s="597"/>
      <c r="N8" s="593" t="s">
        <v>216</v>
      </c>
      <c r="O8" s="593" t="s">
        <v>322</v>
      </c>
      <c r="P8" s="593" t="s">
        <v>218</v>
      </c>
      <c r="R8" s="617" t="s">
        <v>289</v>
      </c>
      <c r="S8" s="617" t="s">
        <v>180</v>
      </c>
      <c r="T8" s="575" t="s">
        <v>184</v>
      </c>
      <c r="U8" s="575" t="s">
        <v>185</v>
      </c>
    </row>
    <row r="9" spans="1:23" ht="13.5" customHeight="1" x14ac:dyDescent="0.2">
      <c r="A9" s="577" t="s">
        <v>213</v>
      </c>
      <c r="B9" s="577" t="s">
        <v>214</v>
      </c>
      <c r="C9" s="578"/>
      <c r="D9" s="578"/>
      <c r="E9" s="578"/>
      <c r="F9" s="600"/>
      <c r="G9" s="600"/>
      <c r="H9" s="600"/>
      <c r="I9" s="578"/>
      <c r="J9" s="598"/>
      <c r="K9" s="599"/>
      <c r="L9" s="598"/>
      <c r="M9" s="599"/>
      <c r="N9" s="594"/>
      <c r="O9" s="594"/>
      <c r="P9" s="594"/>
      <c r="R9" s="618"/>
      <c r="S9" s="618"/>
      <c r="T9" s="575"/>
      <c r="U9" s="575"/>
    </row>
    <row r="10" spans="1:23" ht="47.25" customHeight="1" x14ac:dyDescent="0.2">
      <c r="A10" s="579"/>
      <c r="B10" s="579"/>
      <c r="C10" s="579"/>
      <c r="D10" s="579"/>
      <c r="E10" s="579"/>
      <c r="F10" s="600"/>
      <c r="G10" s="600"/>
      <c r="H10" s="600"/>
      <c r="I10" s="592"/>
      <c r="J10" s="106">
        <f>'Pradiniai duomenys'!C13</f>
        <v>71.482161285566846</v>
      </c>
      <c r="K10" s="106">
        <f>'Pradiniai duomenys'!D13</f>
        <v>43.67489901223648</v>
      </c>
      <c r="L10" s="106">
        <f>'Pradiniai duomenys'!C13</f>
        <v>71.482161285566846</v>
      </c>
      <c r="M10" s="106">
        <f>'Pradiniai duomenys'!D13</f>
        <v>43.67489901223648</v>
      </c>
      <c r="N10" s="599"/>
      <c r="O10" s="595"/>
      <c r="P10" s="595"/>
      <c r="R10" s="619"/>
      <c r="S10" s="619"/>
      <c r="T10" s="575"/>
      <c r="U10" s="575"/>
    </row>
    <row r="11" spans="1:23" x14ac:dyDescent="0.2">
      <c r="A11" s="157">
        <v>25</v>
      </c>
      <c r="B11" s="322">
        <v>33.700000000000003</v>
      </c>
      <c r="C11" s="176">
        <v>25</v>
      </c>
      <c r="D11" s="117">
        <v>3</v>
      </c>
      <c r="E11" s="314">
        <f>(G11-B11)/2</f>
        <v>73.900000000000006</v>
      </c>
      <c r="F11" s="117">
        <f>V11*1.5</f>
        <v>187.5</v>
      </c>
      <c r="G11" s="157">
        <f>F11-2*D11</f>
        <v>181.5</v>
      </c>
      <c r="H11" s="316">
        <v>0.75</v>
      </c>
      <c r="I11" s="107">
        <f t="shared" ref="I11:I17" si="0">F11/1000+0.15</f>
        <v>0.33750000000000002</v>
      </c>
      <c r="J11" s="115">
        <f t="shared" ref="J11:J34" si="1">($J$10-T11)/((($N$7/$N$5*LN(G11/B11)+LN(R11/B11*1000))^2+LN(SQRT(((I11)^2+(R11+R11)^2)/((I11)^2+(R11-R11)^2))))/(6.28*$N$7*($N$7/$N$5*LN(G11/B11)+LN(R11/B11*1000)-($K$10-T11)/($J$10-T11)*LN(SQRT(((I11)^2+(R11+R11)^2)/((I11)^2+(R11-R11)^2))))))</f>
        <v>7.885199701913935</v>
      </c>
      <c r="K11" s="115">
        <f t="shared" ref="K11:K34" si="2">($K$10-T11)/((($N$7/$N$5*LN(G11/B11)+LN(R11/B11*1000))^2+LN(SQRT(((I11)^2+(R11+R11)^2)/((I11)^2+(R11-R11)^2))))/(6.28*$N$7*($N$7/$N$5*LN(G11/B11)+LN(R11/B11*1000)-($J$10-T11)/($K$10-T11)*LN(SQRT(((I11)^2+(R11+R11)^2)/((I11)^2+(R11-R11)^2))))))</f>
        <v>4.5164854315268412</v>
      </c>
      <c r="L11" s="115">
        <f t="shared" ref="L11:L34" si="3">($L$10-T11)/((($N$7/$N$6*LN(G11/B11)+LN(R11/B11*1000))^2+LN(SQRT(((I11)^2+(R11+R11)^2)/((I11)^2+(R11-R11)^2))))/(6.28*$N$7*($N$7/$N$6*LN(G11/B11)+LN(R11/B11*1000)-($M$10-T11)/($L$10-T11)*LN(SQRT(((I11)^2+(R11+R11)^2)/((I11)^2+(R11-R11)^2))))))</f>
        <v>6.4983919534260286</v>
      </c>
      <c r="M11" s="115">
        <f t="shared" ref="M11:M34" si="4">($M$10-T11)/((($N$7/$N$6*LN(G11/B11)+LN(R11/B11*1000))^2+LN(SQRT(((I11)^2+(R11+R11)^2)/((I11)^2+(R11-R11)^2))))/(6.28*$N$7*($N$7/$N$6*LN(G11/B11)+LN(R11/B11*1000)-($L$10-T11)/($M$10-T11)*LN(SQRT(((I11)^2+(R11+R11)^2)/((I11)^2+(R11-R11)^2))))))</f>
        <v>3.7341097955826421</v>
      </c>
      <c r="N11" s="116">
        <f>(J11+K11)*'TV tinklas'!F9*'Pradiniai duomenys'!E$13*0.00000115</f>
        <v>0</v>
      </c>
      <c r="O11" s="116">
        <f>(L11+M11)*'TV tinklas'!K9*'Pradiniai duomenys'!E$13*0.00000115</f>
        <v>0</v>
      </c>
      <c r="P11" s="116">
        <f>SUM(N11:O11)</f>
        <v>0</v>
      </c>
      <c r="R11" s="322">
        <f t="shared" ref="R11:R34" si="5">H11+(F11/1000/2)</f>
        <v>0.84375</v>
      </c>
      <c r="S11" s="179">
        <f t="shared" ref="S11:S34" si="6">H11+F11/1000+0.1</f>
        <v>1.0375000000000001</v>
      </c>
      <c r="T11" s="81">
        <f>IF(R11&gt;0.7,'Pradiniai duomenys'!$J$13,'Pradiniai duomenys'!$K$13)</f>
        <v>4.784151555358986</v>
      </c>
      <c r="U11" s="79" t="str">
        <f>IF(R11&gt;0.7,"- grunto temperatūra","- aplinkos oro temperatūra")</f>
        <v>- grunto temperatūra</v>
      </c>
      <c r="V11" s="117">
        <v>125</v>
      </c>
      <c r="W11" s="117">
        <v>3</v>
      </c>
    </row>
    <row r="12" spans="1:23" x14ac:dyDescent="0.2">
      <c r="A12" s="157">
        <v>32</v>
      </c>
      <c r="B12" s="322">
        <v>42.4</v>
      </c>
      <c r="C12" s="176">
        <v>30.8</v>
      </c>
      <c r="D12" s="117">
        <v>3</v>
      </c>
      <c r="E12" s="314">
        <f t="shared" ref="E12:E34" si="7">(G12-B12)/2</f>
        <v>45.8</v>
      </c>
      <c r="F12" s="117">
        <v>140</v>
      </c>
      <c r="G12" s="157">
        <f t="shared" ref="G12:G34" si="8">F12-2*D12</f>
        <v>134</v>
      </c>
      <c r="H12" s="316">
        <v>0.75</v>
      </c>
      <c r="I12" s="107">
        <f t="shared" si="0"/>
        <v>0.29000000000000004</v>
      </c>
      <c r="J12" s="115">
        <f t="shared" si="1"/>
        <v>11.357605098311005</v>
      </c>
      <c r="K12" s="115">
        <f t="shared" si="2"/>
        <v>6.4396792339882838</v>
      </c>
      <c r="L12" s="115">
        <f t="shared" si="3"/>
        <v>9.3863242100032149</v>
      </c>
      <c r="M12" s="115">
        <f t="shared" si="4"/>
        <v>5.3488319332144165</v>
      </c>
      <c r="N12" s="116">
        <f>(J12+K12)*'TV tinklas'!F10*'Pradiniai duomenys'!E$13*0.00000115</f>
        <v>0</v>
      </c>
      <c r="O12" s="116">
        <f>(L12+M12)*'TV tinklas'!K10*'Pradiniai duomenys'!E$13*0.00000115</f>
        <v>0</v>
      </c>
      <c r="P12" s="116">
        <f t="shared" ref="P12:P34" si="9">SUM(N12:O12)</f>
        <v>0</v>
      </c>
      <c r="R12" s="322">
        <f t="shared" si="5"/>
        <v>0.82000000000000006</v>
      </c>
      <c r="S12" s="179">
        <f t="shared" si="6"/>
        <v>0.99</v>
      </c>
      <c r="T12" s="81">
        <f>IF(R12&gt;0.7,'Pradiniai duomenys'!$J$13,'Pradiniai duomenys'!$K$13)</f>
        <v>4.784151555358986</v>
      </c>
      <c r="U12" s="79" t="str">
        <f t="shared" ref="U12:U34" si="10">IF(R12&gt;0.7,"- grunto temperatūra","- aplinkos oro temperatūra")</f>
        <v>- grunto temperatūra</v>
      </c>
      <c r="V12" s="117">
        <v>140</v>
      </c>
      <c r="W12" s="117">
        <v>3</v>
      </c>
    </row>
    <row r="13" spans="1:23" x14ac:dyDescent="0.2">
      <c r="A13" s="157">
        <v>40</v>
      </c>
      <c r="B13" s="322">
        <v>48.3</v>
      </c>
      <c r="C13" s="176">
        <v>27.85</v>
      </c>
      <c r="D13" s="117">
        <v>3</v>
      </c>
      <c r="E13" s="314">
        <f t="shared" si="7"/>
        <v>42.85</v>
      </c>
      <c r="F13" s="117">
        <v>140</v>
      </c>
      <c r="G13" s="157">
        <f t="shared" si="8"/>
        <v>134</v>
      </c>
      <c r="H13" s="316">
        <v>0.75</v>
      </c>
      <c r="I13" s="107">
        <f t="shared" si="0"/>
        <v>0.29000000000000004</v>
      </c>
      <c r="J13" s="115">
        <f t="shared" si="1"/>
        <v>12.74346135081287</v>
      </c>
      <c r="K13" s="115">
        <f t="shared" si="2"/>
        <v>7.1995891268141188</v>
      </c>
      <c r="L13" s="115">
        <f t="shared" si="3"/>
        <v>10.54104115664501</v>
      </c>
      <c r="M13" s="115">
        <f t="shared" si="4"/>
        <v>5.989223863434284</v>
      </c>
      <c r="N13" s="116">
        <f>(J13+K13)*'TV tinklas'!F11*'Pradiniai duomenys'!E$13*0.00000115</f>
        <v>0</v>
      </c>
      <c r="O13" s="116">
        <f>(L13+M13)*'TV tinklas'!K11*'Pradiniai duomenys'!E$13*0.00000115</f>
        <v>0</v>
      </c>
      <c r="P13" s="116">
        <f t="shared" si="9"/>
        <v>0</v>
      </c>
      <c r="R13" s="322">
        <f t="shared" si="5"/>
        <v>0.82000000000000006</v>
      </c>
      <c r="S13" s="179">
        <f t="shared" si="6"/>
        <v>0.99</v>
      </c>
      <c r="T13" s="81">
        <f>IF(R13&gt;0.7,'Pradiniai duomenys'!$J$13,'Pradiniai duomenys'!$K$13)</f>
        <v>4.784151555358986</v>
      </c>
      <c r="U13" s="79" t="str">
        <f t="shared" si="10"/>
        <v>- grunto temperatūra</v>
      </c>
      <c r="V13" s="117">
        <v>140</v>
      </c>
      <c r="W13" s="117">
        <v>3</v>
      </c>
    </row>
    <row r="14" spans="1:23" x14ac:dyDescent="0.2">
      <c r="A14" s="157">
        <v>50</v>
      </c>
      <c r="B14" s="322">
        <v>60.3</v>
      </c>
      <c r="C14" s="176">
        <v>29.35</v>
      </c>
      <c r="D14" s="117">
        <v>3</v>
      </c>
      <c r="E14" s="314">
        <f t="shared" si="7"/>
        <v>46.85</v>
      </c>
      <c r="F14" s="117">
        <v>160</v>
      </c>
      <c r="G14" s="157">
        <f t="shared" si="8"/>
        <v>154</v>
      </c>
      <c r="H14" s="316">
        <v>0.75</v>
      </c>
      <c r="I14" s="107">
        <f t="shared" si="0"/>
        <v>0.31</v>
      </c>
      <c r="J14" s="115">
        <f t="shared" si="1"/>
        <v>13.850916499199775</v>
      </c>
      <c r="K14" s="115">
        <f t="shared" si="2"/>
        <v>7.81120744054056</v>
      </c>
      <c r="L14" s="115">
        <f t="shared" si="3"/>
        <v>11.459783629027106</v>
      </c>
      <c r="M14" s="115">
        <f t="shared" si="4"/>
        <v>6.5016910613368264</v>
      </c>
      <c r="N14" s="116">
        <f>(J14+K14)*'TV tinklas'!F12*'Pradiniai duomenys'!E$13*0.00000115</f>
        <v>0</v>
      </c>
      <c r="O14" s="116">
        <f>(L14+M14)*'TV tinklas'!K12*'Pradiniai duomenys'!E$13*0.00000115</f>
        <v>0</v>
      </c>
      <c r="P14" s="116">
        <f t="shared" si="9"/>
        <v>0</v>
      </c>
      <c r="R14" s="322">
        <f t="shared" si="5"/>
        <v>0.83</v>
      </c>
      <c r="S14" s="179">
        <f t="shared" si="6"/>
        <v>1.01</v>
      </c>
      <c r="T14" s="81">
        <f>IF(R14&gt;0.7,'Pradiniai duomenys'!$J$13,'Pradiniai duomenys'!$K$13)</f>
        <v>4.784151555358986</v>
      </c>
      <c r="U14" s="79" t="str">
        <f t="shared" si="10"/>
        <v>- grunto temperatūra</v>
      </c>
      <c r="V14" s="117">
        <v>160</v>
      </c>
      <c r="W14" s="117">
        <v>3</v>
      </c>
    </row>
    <row r="15" spans="1:23" x14ac:dyDescent="0.2">
      <c r="A15" s="157">
        <v>65</v>
      </c>
      <c r="B15" s="322">
        <v>76.099999999999994</v>
      </c>
      <c r="C15" s="176">
        <v>28.95</v>
      </c>
      <c r="D15" s="117">
        <v>3</v>
      </c>
      <c r="E15" s="314">
        <f t="shared" si="7"/>
        <v>48.95</v>
      </c>
      <c r="F15" s="117">
        <v>180</v>
      </c>
      <c r="G15" s="157">
        <f t="shared" si="8"/>
        <v>174</v>
      </c>
      <c r="H15" s="316">
        <v>0.75</v>
      </c>
      <c r="I15" s="107">
        <f t="shared" si="0"/>
        <v>0.32999999999999996</v>
      </c>
      <c r="J15" s="115">
        <f t="shared" si="1"/>
        <v>15.648860243679053</v>
      </c>
      <c r="K15" s="115">
        <f t="shared" si="2"/>
        <v>8.794866716722737</v>
      </c>
      <c r="L15" s="115">
        <f t="shared" si="3"/>
        <v>12.955461042132772</v>
      </c>
      <c r="M15" s="115">
        <f t="shared" si="4"/>
        <v>7.3296397873778503</v>
      </c>
      <c r="N15" s="116">
        <f>(J15+K15)*'TV tinklas'!F13*'Pradiniai duomenys'!E$13*0.00000115</f>
        <v>0</v>
      </c>
      <c r="O15" s="116">
        <f>(L15+M15)*'TV tinklas'!K13*'Pradiniai duomenys'!E$13*0.00000115</f>
        <v>0</v>
      </c>
      <c r="P15" s="116">
        <f t="shared" si="9"/>
        <v>0</v>
      </c>
      <c r="R15" s="322">
        <f t="shared" si="5"/>
        <v>0.84</v>
      </c>
      <c r="S15" s="179">
        <f t="shared" si="6"/>
        <v>1.03</v>
      </c>
      <c r="T15" s="81">
        <f>IF(R15&gt;0.7,'Pradiniai duomenys'!$J$13,'Pradiniai duomenys'!$K$13)</f>
        <v>4.784151555358986</v>
      </c>
      <c r="U15" s="79" t="str">
        <f t="shared" si="10"/>
        <v>- grunto temperatūra</v>
      </c>
      <c r="V15" s="117">
        <v>180</v>
      </c>
      <c r="W15" s="117">
        <v>3</v>
      </c>
    </row>
    <row r="16" spans="1:23" x14ac:dyDescent="0.2">
      <c r="A16" s="157">
        <v>80</v>
      </c>
      <c r="B16" s="322">
        <v>88.9</v>
      </c>
      <c r="C16" s="176">
        <v>32.549999999999997</v>
      </c>
      <c r="D16" s="117">
        <v>3.2</v>
      </c>
      <c r="E16" s="314">
        <f>(G16-B16)/2</f>
        <v>52.349999999999994</v>
      </c>
      <c r="F16" s="117">
        <v>200</v>
      </c>
      <c r="G16" s="157">
        <f>F16-2*D16</f>
        <v>193.6</v>
      </c>
      <c r="H16" s="316">
        <v>0.75</v>
      </c>
      <c r="I16" s="107">
        <f t="shared" si="0"/>
        <v>0.35</v>
      </c>
      <c r="J16" s="115">
        <f t="shared" si="1"/>
        <v>16.617950215509467</v>
      </c>
      <c r="K16" s="115">
        <f t="shared" si="2"/>
        <v>9.3275533137943789</v>
      </c>
      <c r="L16" s="115">
        <f t="shared" si="3"/>
        <v>13.759435642338602</v>
      </c>
      <c r="M16" s="115">
        <f t="shared" si="4"/>
        <v>7.7763830199021164</v>
      </c>
      <c r="N16" s="116">
        <f>(J16+K16)*'TV tinklas'!F15*'Pradiniai duomenys'!E$13*0.00000115</f>
        <v>0</v>
      </c>
      <c r="O16" s="116">
        <f>(L16+M16)*'TV tinklas'!K15*'Pradiniai duomenys'!E$13*0.00000115</f>
        <v>0</v>
      </c>
      <c r="P16" s="116">
        <f t="shared" si="9"/>
        <v>0</v>
      </c>
      <c r="R16" s="322">
        <f t="shared" si="5"/>
        <v>0.85</v>
      </c>
      <c r="S16" s="179">
        <f t="shared" si="6"/>
        <v>1.05</v>
      </c>
      <c r="T16" s="81">
        <f>IF(R16&gt;0.7,'Pradiniai duomenys'!$J$13,'Pradiniai duomenys'!$K$13)</f>
        <v>4.784151555358986</v>
      </c>
      <c r="U16" s="79" t="str">
        <f t="shared" si="10"/>
        <v>- grunto temperatūra</v>
      </c>
      <c r="V16" s="117">
        <v>200</v>
      </c>
      <c r="W16" s="117">
        <v>3.2</v>
      </c>
    </row>
    <row r="17" spans="1:23" x14ac:dyDescent="0.2">
      <c r="A17" s="157">
        <v>100</v>
      </c>
      <c r="B17" s="322">
        <v>114.3</v>
      </c>
      <c r="C17" s="176">
        <v>39.65</v>
      </c>
      <c r="D17" s="117">
        <v>3.6</v>
      </c>
      <c r="E17" s="314">
        <f t="shared" si="7"/>
        <v>64.25</v>
      </c>
      <c r="F17" s="117">
        <v>250</v>
      </c>
      <c r="G17" s="157">
        <f t="shared" si="8"/>
        <v>242.8</v>
      </c>
      <c r="H17" s="316">
        <v>0.75</v>
      </c>
      <c r="I17" s="107">
        <f t="shared" si="0"/>
        <v>0.4</v>
      </c>
      <c r="J17" s="115">
        <f t="shared" si="1"/>
        <v>17.229891077754765</v>
      </c>
      <c r="K17" s="115">
        <f t="shared" si="2"/>
        <v>9.6818760841335276</v>
      </c>
      <c r="L17" s="115">
        <f>($L$10-T17)/((($N$7/$N$6*LN(G17/B17)+LN(R17/B17*1000))^2+LN(SQRT(((I17)^2+(R17+R17)^2)/((I17)^2+(R17-R17)^2))))/(6.28*$N$7*($N$7/$N$6*LN(G17/B17)+LN(R17/B17*1000)-($M$10-T17)/($L$10-T17)*LN(SQRT(((I17)^2+(R17+R17)^2)/((I17)^2+(R17-R17)^2))))))</f>
        <v>14.257025159680692</v>
      </c>
      <c r="M17" s="115">
        <f t="shared" si="4"/>
        <v>8.0650972322943488</v>
      </c>
      <c r="N17" s="116">
        <f>(J17+K17)*'TV tinklas'!F16*'Pradiniai duomenys'!E$13*0.00000115</f>
        <v>0</v>
      </c>
      <c r="O17" s="116">
        <f>(L17+M17)*'TV tinklas'!K16*'Pradiniai duomenys'!E$13*0.00000115</f>
        <v>11.500357456345542</v>
      </c>
      <c r="P17" s="116">
        <f t="shared" si="9"/>
        <v>11.500357456345542</v>
      </c>
      <c r="R17" s="322">
        <f t="shared" si="5"/>
        <v>0.875</v>
      </c>
      <c r="S17" s="179">
        <f t="shared" si="6"/>
        <v>1.1000000000000001</v>
      </c>
      <c r="T17" s="81">
        <f>IF(R17&gt;0.7,'Pradiniai duomenys'!$J$13,'Pradiniai duomenys'!$K$13)</f>
        <v>4.784151555358986</v>
      </c>
      <c r="U17" s="79" t="str">
        <f t="shared" si="10"/>
        <v>- grunto temperatūra</v>
      </c>
      <c r="V17" s="117">
        <v>250</v>
      </c>
      <c r="W17" s="117">
        <v>3.6</v>
      </c>
    </row>
    <row r="18" spans="1:23" x14ac:dyDescent="0.2">
      <c r="A18" s="157">
        <v>125</v>
      </c>
      <c r="B18" s="322">
        <v>139.69999999999999</v>
      </c>
      <c r="C18" s="176">
        <v>39.25</v>
      </c>
      <c r="D18" s="117">
        <v>3.9</v>
      </c>
      <c r="E18" s="314">
        <f t="shared" si="7"/>
        <v>66.25</v>
      </c>
      <c r="F18" s="117">
        <v>280</v>
      </c>
      <c r="G18" s="157">
        <f t="shared" si="8"/>
        <v>272.2</v>
      </c>
      <c r="H18" s="316">
        <v>0.75</v>
      </c>
      <c r="I18" s="107">
        <f t="shared" ref="I18:I34" si="11">F18/1000+0.25</f>
        <v>0.53</v>
      </c>
      <c r="J18" s="115">
        <f t="shared" si="1"/>
        <v>19.458221131586413</v>
      </c>
      <c r="K18" s="115">
        <f t="shared" si="2"/>
        <v>10.958225920161592</v>
      </c>
      <c r="L18" s="115">
        <f t="shared" si="3"/>
        <v>16.101264309666274</v>
      </c>
      <c r="M18" s="115">
        <f t="shared" si="4"/>
        <v>9.1247221678194848</v>
      </c>
      <c r="N18" s="116">
        <f>(J18+K18)*'TV tinklas'!F17*'Pradiniai duomenys'!E$13*0.00000115</f>
        <v>0</v>
      </c>
      <c r="O18" s="116">
        <f>(L18+M18)*'TV tinklas'!K17*'Pradiniai duomenys'!E$13*0.00000115</f>
        <v>0</v>
      </c>
      <c r="P18" s="116">
        <f t="shared" si="9"/>
        <v>0</v>
      </c>
      <c r="R18" s="322">
        <f t="shared" si="5"/>
        <v>0.89</v>
      </c>
      <c r="S18" s="179">
        <f t="shared" si="6"/>
        <v>1.1300000000000001</v>
      </c>
      <c r="T18" s="81">
        <f>IF(R18&gt;0.7,'Pradiniai duomenys'!$J$13,'Pradiniai duomenys'!$K$13)</f>
        <v>4.784151555358986</v>
      </c>
      <c r="U18" s="79" t="str">
        <f t="shared" si="10"/>
        <v>- grunto temperatūra</v>
      </c>
      <c r="V18" s="117">
        <v>280</v>
      </c>
      <c r="W18" s="117">
        <v>3.9</v>
      </c>
    </row>
    <row r="19" spans="1:23" x14ac:dyDescent="0.2">
      <c r="A19" s="157">
        <v>150</v>
      </c>
      <c r="B19" s="322">
        <v>168.3</v>
      </c>
      <c r="C19" s="176">
        <v>37.25</v>
      </c>
      <c r="D19" s="117">
        <v>4.0999999999999996</v>
      </c>
      <c r="E19" s="314">
        <f t="shared" si="7"/>
        <v>69.25</v>
      </c>
      <c r="F19" s="117">
        <v>315</v>
      </c>
      <c r="G19" s="157">
        <f t="shared" si="8"/>
        <v>306.8</v>
      </c>
      <c r="H19" s="316">
        <v>0.75</v>
      </c>
      <c r="I19" s="107">
        <f>F19/1000+0.25</f>
        <v>0.56499999999999995</v>
      </c>
      <c r="J19" s="115">
        <f t="shared" si="1"/>
        <v>21.574760674078291</v>
      </c>
      <c r="K19" s="115">
        <f t="shared" si="2"/>
        <v>12.117639383538778</v>
      </c>
      <c r="L19" s="115">
        <f t="shared" si="3"/>
        <v>17.85904667835463</v>
      </c>
      <c r="M19" s="115">
        <f t="shared" si="4"/>
        <v>10.098764085647973</v>
      </c>
      <c r="N19" s="116">
        <f>(J19+K19)*'TV tinklas'!F18*'Pradiniai duomenys'!E$13*0.00000115</f>
        <v>0</v>
      </c>
      <c r="O19" s="116">
        <f>(L19+M19)*'TV tinklas'!K18*'Pradiniai duomenys'!E$13*0.00000115</f>
        <v>0</v>
      </c>
      <c r="P19" s="116">
        <f t="shared" si="9"/>
        <v>0</v>
      </c>
      <c r="R19" s="322">
        <f t="shared" si="5"/>
        <v>0.90749999999999997</v>
      </c>
      <c r="S19" s="179">
        <f t="shared" si="6"/>
        <v>1.165</v>
      </c>
      <c r="T19" s="81">
        <f>IF(R19&gt;0.7,'Pradiniai duomenys'!$J$13,'Pradiniai duomenys'!$K$13)</f>
        <v>4.784151555358986</v>
      </c>
      <c r="U19" s="79" t="str">
        <f t="shared" si="10"/>
        <v>- grunto temperatūra</v>
      </c>
      <c r="V19" s="117">
        <v>315</v>
      </c>
      <c r="W19" s="117">
        <v>4.0999999999999996</v>
      </c>
    </row>
    <row r="20" spans="1:23" x14ac:dyDescent="0.2">
      <c r="A20" s="157">
        <v>200</v>
      </c>
      <c r="B20" s="322">
        <v>219.1</v>
      </c>
      <c r="C20" s="176">
        <v>43.85</v>
      </c>
      <c r="D20" s="117">
        <v>4.8</v>
      </c>
      <c r="E20" s="314">
        <f t="shared" si="7"/>
        <v>85.649999999999991</v>
      </c>
      <c r="F20" s="117">
        <v>400</v>
      </c>
      <c r="G20" s="157">
        <f t="shared" si="8"/>
        <v>390.4</v>
      </c>
      <c r="H20" s="316">
        <v>0.75</v>
      </c>
      <c r="I20" s="107">
        <f t="shared" si="11"/>
        <v>0.65</v>
      </c>
      <c r="J20" s="115">
        <f t="shared" si="1"/>
        <v>22.533526744050054</v>
      </c>
      <c r="K20" s="115">
        <f t="shared" si="2"/>
        <v>12.670649304036772</v>
      </c>
      <c r="L20" s="115">
        <f t="shared" si="3"/>
        <v>18.637339222893623</v>
      </c>
      <c r="M20" s="115">
        <f t="shared" si="4"/>
        <v>10.548939723680716</v>
      </c>
      <c r="N20" s="116">
        <f>(J20+K20)*'TV tinklas'!F20*'Pradiniai duomenys'!E$13*0.00000115</f>
        <v>0</v>
      </c>
      <c r="O20" s="116">
        <f>(L20+M20)*'TV tinklas'!K20*'Pradiniai duomenys'!E$13*0.00000115</f>
        <v>0</v>
      </c>
      <c r="P20" s="116">
        <f t="shared" si="9"/>
        <v>0</v>
      </c>
      <c r="R20" s="322">
        <f t="shared" si="5"/>
        <v>0.95</v>
      </c>
      <c r="S20" s="179">
        <f t="shared" si="6"/>
        <v>1.25</v>
      </c>
      <c r="T20" s="81">
        <f>IF(R20&gt;0.7,'Pradiniai duomenys'!$J$13,'Pradiniai duomenys'!$K$13)</f>
        <v>4.784151555358986</v>
      </c>
      <c r="U20" s="79" t="str">
        <f t="shared" si="10"/>
        <v>- grunto temperatūra</v>
      </c>
      <c r="V20" s="117">
        <v>400</v>
      </c>
      <c r="W20" s="117">
        <v>4.8</v>
      </c>
    </row>
    <row r="21" spans="1:23" x14ac:dyDescent="0.2">
      <c r="A21" s="157">
        <v>250</v>
      </c>
      <c r="B21" s="322">
        <v>273</v>
      </c>
      <c r="C21" s="176">
        <v>58.7</v>
      </c>
      <c r="D21" s="117">
        <v>5.6</v>
      </c>
      <c r="E21" s="314">
        <f t="shared" si="7"/>
        <v>107.9</v>
      </c>
      <c r="F21" s="117">
        <v>500</v>
      </c>
      <c r="G21" s="157">
        <f t="shared" si="8"/>
        <v>488.8</v>
      </c>
      <c r="H21" s="316">
        <v>0.75</v>
      </c>
      <c r="I21" s="107">
        <f t="shared" si="11"/>
        <v>0.75</v>
      </c>
      <c r="J21" s="115">
        <f t="shared" si="1"/>
        <v>22.489377397827162</v>
      </c>
      <c r="K21" s="115">
        <f t="shared" si="2"/>
        <v>12.681612513956667</v>
      </c>
      <c r="L21" s="115">
        <f t="shared" si="3"/>
        <v>18.579940702991287</v>
      </c>
      <c r="M21" s="115">
        <f t="shared" si="4"/>
        <v>10.54092845621105</v>
      </c>
      <c r="N21" s="116">
        <f>(J21+K21)*'TV tinklas'!F21*'Pradiniai duomenys'!E$13*0.00000115</f>
        <v>0</v>
      </c>
      <c r="O21" s="116">
        <f>(L21+M21)*'TV tinklas'!K21*'Pradiniai duomenys'!E$13*0.00000115</f>
        <v>0</v>
      </c>
      <c r="P21" s="116">
        <f t="shared" si="9"/>
        <v>0</v>
      </c>
      <c r="R21" s="322">
        <f t="shared" si="5"/>
        <v>1</v>
      </c>
      <c r="S21" s="179">
        <f t="shared" si="6"/>
        <v>1.35</v>
      </c>
      <c r="T21" s="81">
        <f>IF(R21&gt;0.7,'Pradiniai duomenys'!$J$13,'Pradiniai duomenys'!$K$13)</f>
        <v>4.784151555358986</v>
      </c>
      <c r="U21" s="79" t="str">
        <f t="shared" si="10"/>
        <v>- grunto temperatūra</v>
      </c>
      <c r="V21" s="117">
        <v>500</v>
      </c>
      <c r="W21" s="117">
        <v>5.6</v>
      </c>
    </row>
    <row r="22" spans="1:23" x14ac:dyDescent="0.2">
      <c r="A22" s="157">
        <v>300</v>
      </c>
      <c r="B22" s="322">
        <v>323.89999999999998</v>
      </c>
      <c r="C22" s="176">
        <v>57.85</v>
      </c>
      <c r="D22" s="117">
        <v>6</v>
      </c>
      <c r="E22" s="314">
        <f t="shared" si="7"/>
        <v>112.05000000000001</v>
      </c>
      <c r="F22" s="117">
        <v>560</v>
      </c>
      <c r="G22" s="157">
        <f t="shared" si="8"/>
        <v>548</v>
      </c>
      <c r="H22" s="316">
        <v>0.75</v>
      </c>
      <c r="I22" s="107">
        <f t="shared" si="11"/>
        <v>0.81</v>
      </c>
      <c r="J22" s="115">
        <f t="shared" si="1"/>
        <v>24.892521473665365</v>
      </c>
      <c r="K22" s="115">
        <f t="shared" si="2"/>
        <v>14.005364508392608</v>
      </c>
      <c r="L22" s="115">
        <f t="shared" si="3"/>
        <v>20.568652015972066</v>
      </c>
      <c r="M22" s="115">
        <f t="shared" si="4"/>
        <v>11.647998158492838</v>
      </c>
      <c r="N22" s="116">
        <f>(J22+K22)*'TV tinklas'!F22*'Pradiniai duomenys'!E$13*0.00000115</f>
        <v>0</v>
      </c>
      <c r="O22" s="116">
        <f>(L22+M22)*'TV tinklas'!K22*'Pradiniai duomenys'!E$13*0.00000115</f>
        <v>0</v>
      </c>
      <c r="P22" s="116">
        <f t="shared" si="9"/>
        <v>0</v>
      </c>
      <c r="R22" s="322">
        <f t="shared" si="5"/>
        <v>1.03</v>
      </c>
      <c r="S22" s="179">
        <f t="shared" si="6"/>
        <v>1.4100000000000001</v>
      </c>
      <c r="T22" s="81">
        <f>IF(R22&gt;0.7,'Pradiniai duomenys'!$J$13,'Pradiniai duomenys'!$K$13)</f>
        <v>4.784151555358986</v>
      </c>
      <c r="U22" s="79" t="str">
        <f t="shared" si="10"/>
        <v>- grunto temperatūra</v>
      </c>
      <c r="V22" s="117">
        <v>560</v>
      </c>
      <c r="W22" s="117">
        <v>6</v>
      </c>
    </row>
    <row r="23" spans="1:23" x14ac:dyDescent="0.2">
      <c r="A23" s="157">
        <v>350</v>
      </c>
      <c r="B23" s="322">
        <v>355.6</v>
      </c>
      <c r="C23" s="176">
        <v>66.599999999999994</v>
      </c>
      <c r="D23" s="117">
        <v>6.6</v>
      </c>
      <c r="E23" s="314">
        <f t="shared" si="7"/>
        <v>130.59999999999997</v>
      </c>
      <c r="F23" s="117">
        <v>630</v>
      </c>
      <c r="G23" s="157">
        <f t="shared" si="8"/>
        <v>616.79999999999995</v>
      </c>
      <c r="H23" s="316">
        <v>0.75</v>
      </c>
      <c r="I23" s="107">
        <f t="shared" si="11"/>
        <v>0.88</v>
      </c>
      <c r="J23" s="115">
        <f t="shared" si="1"/>
        <v>23.88452291612094</v>
      </c>
      <c r="K23" s="115">
        <f t="shared" si="2"/>
        <v>13.479242576856073</v>
      </c>
      <c r="L23" s="115">
        <f t="shared" si="3"/>
        <v>19.718349563632835</v>
      </c>
      <c r="M23" s="115">
        <f t="shared" si="4"/>
        <v>11.194363623954795</v>
      </c>
      <c r="N23" s="116">
        <f>(J23+K23)*'TV tinklas'!F23*'Pradiniai duomenys'!E$13*0.00000115</f>
        <v>0</v>
      </c>
      <c r="O23" s="116">
        <f>(L23+M23)*'TV tinklas'!K23*'Pradiniai duomenys'!E$13*0.00000115</f>
        <v>0</v>
      </c>
      <c r="P23" s="116">
        <f t="shared" si="9"/>
        <v>0</v>
      </c>
      <c r="R23" s="322">
        <f t="shared" si="5"/>
        <v>1.0649999999999999</v>
      </c>
      <c r="S23" s="179">
        <f t="shared" si="6"/>
        <v>1.48</v>
      </c>
      <c r="T23" s="81">
        <f>IF(R23&gt;0.7,'Pradiniai duomenys'!$J$13,'Pradiniai duomenys'!$K$13)</f>
        <v>4.784151555358986</v>
      </c>
      <c r="U23" s="79" t="str">
        <f t="shared" si="10"/>
        <v>- grunto temperatūra</v>
      </c>
      <c r="V23" s="117">
        <v>630</v>
      </c>
      <c r="W23" s="117">
        <v>6.6</v>
      </c>
    </row>
    <row r="24" spans="1:23" x14ac:dyDescent="0.2">
      <c r="A24" s="157">
        <v>400</v>
      </c>
      <c r="B24" s="322">
        <v>406.4</v>
      </c>
      <c r="C24" s="176">
        <v>51.1</v>
      </c>
      <c r="D24" s="117">
        <v>7.2</v>
      </c>
      <c r="E24" s="314">
        <f t="shared" si="7"/>
        <v>144.60000000000002</v>
      </c>
      <c r="F24" s="117">
        <v>710</v>
      </c>
      <c r="G24" s="157">
        <f t="shared" si="8"/>
        <v>695.6</v>
      </c>
      <c r="H24" s="316">
        <v>0.75</v>
      </c>
      <c r="I24" s="107">
        <f t="shared" si="11"/>
        <v>0.96</v>
      </c>
      <c r="J24" s="115">
        <f t="shared" si="1"/>
        <v>24.534147458770146</v>
      </c>
      <c r="K24" s="115">
        <f t="shared" si="2"/>
        <v>13.854477518697722</v>
      </c>
      <c r="L24" s="115">
        <f t="shared" si="3"/>
        <v>20.246208249992016</v>
      </c>
      <c r="M24" s="115">
        <f t="shared" si="4"/>
        <v>11.499969805846787</v>
      </c>
      <c r="N24" s="116">
        <f>(J24+K24)*'TV tinklas'!F24*'Pradiniai duomenys'!E$13*0.00000115</f>
        <v>0</v>
      </c>
      <c r="O24" s="116">
        <f>(L24+M24)*'TV tinklas'!K24*'Pradiniai duomenys'!E$13*0.00000115</f>
        <v>0</v>
      </c>
      <c r="P24" s="116">
        <f t="shared" si="9"/>
        <v>0</v>
      </c>
      <c r="R24" s="322">
        <f t="shared" si="5"/>
        <v>1.105</v>
      </c>
      <c r="S24" s="179">
        <f t="shared" si="6"/>
        <v>1.56</v>
      </c>
      <c r="T24" s="81">
        <f>IF(R24&gt;0.7,'Pradiniai duomenys'!$J$13,'Pradiniai duomenys'!$K$13)</f>
        <v>4.784151555358986</v>
      </c>
      <c r="U24" s="79" t="str">
        <f t="shared" si="10"/>
        <v>- grunto temperatūra</v>
      </c>
      <c r="V24" s="117">
        <v>710</v>
      </c>
      <c r="W24" s="117">
        <v>7.2</v>
      </c>
    </row>
    <row r="25" spans="1:23" x14ac:dyDescent="0.2">
      <c r="A25" s="157">
        <v>450</v>
      </c>
      <c r="B25" s="322">
        <v>457.2</v>
      </c>
      <c r="C25" s="176">
        <v>45.4</v>
      </c>
      <c r="D25" s="117">
        <v>7.9</v>
      </c>
      <c r="E25" s="314">
        <f t="shared" si="7"/>
        <v>163.50000000000003</v>
      </c>
      <c r="F25" s="117">
        <v>800</v>
      </c>
      <c r="G25" s="157">
        <f t="shared" si="8"/>
        <v>784.2</v>
      </c>
      <c r="H25" s="316">
        <v>0.75</v>
      </c>
      <c r="I25" s="107">
        <f t="shared" si="11"/>
        <v>1.05</v>
      </c>
      <c r="J25" s="115">
        <f t="shared" si="1"/>
        <v>24.517269689445829</v>
      </c>
      <c r="K25" s="115">
        <f t="shared" si="2"/>
        <v>13.866220990801395</v>
      </c>
      <c r="L25" s="115">
        <f t="shared" si="3"/>
        <v>20.220677893725448</v>
      </c>
      <c r="M25" s="115">
        <f t="shared" si="4"/>
        <v>11.499948546466502</v>
      </c>
      <c r="N25" s="116">
        <f>(J25+K25)*'TV tinklas'!F25*'Pradiniai duomenys'!E$13*0.00000115</f>
        <v>0</v>
      </c>
      <c r="O25" s="116">
        <f>(L25+M25)*'TV tinklas'!K25*'Pradiniai duomenys'!E$13*0.00000115</f>
        <v>0</v>
      </c>
      <c r="P25" s="116">
        <f t="shared" si="9"/>
        <v>0</v>
      </c>
      <c r="R25" s="322">
        <f t="shared" si="5"/>
        <v>1.1499999999999999</v>
      </c>
      <c r="S25" s="179">
        <f t="shared" si="6"/>
        <v>1.6500000000000001</v>
      </c>
      <c r="T25" s="81">
        <f>IF(R25&gt;0.7,'Pradiniai duomenys'!$J$13,'Pradiniai duomenys'!$K$13)</f>
        <v>4.784151555358986</v>
      </c>
      <c r="U25" s="79" t="str">
        <f t="shared" si="10"/>
        <v>- grunto temperatūra</v>
      </c>
      <c r="V25" s="117">
        <v>800</v>
      </c>
      <c r="W25" s="117">
        <v>7.9</v>
      </c>
    </row>
    <row r="26" spans="1:23" x14ac:dyDescent="0.2">
      <c r="A26" s="157">
        <v>500</v>
      </c>
      <c r="B26" s="322">
        <v>508</v>
      </c>
      <c r="C26" s="176">
        <v>54.4</v>
      </c>
      <c r="D26" s="117">
        <v>8.6999999999999993</v>
      </c>
      <c r="E26" s="314">
        <f t="shared" si="7"/>
        <v>187.3</v>
      </c>
      <c r="F26" s="117">
        <v>900</v>
      </c>
      <c r="G26" s="157">
        <f t="shared" si="8"/>
        <v>882.6</v>
      </c>
      <c r="H26" s="316">
        <v>0.75</v>
      </c>
      <c r="I26" s="107">
        <f t="shared" si="11"/>
        <v>1.1499999999999999</v>
      </c>
      <c r="J26" s="115">
        <f t="shared" si="1"/>
        <v>24.031928938273921</v>
      </c>
      <c r="K26" s="115">
        <f t="shared" si="2"/>
        <v>13.61953115293637</v>
      </c>
      <c r="L26" s="115">
        <f t="shared" si="3"/>
        <v>19.807801575456299</v>
      </c>
      <c r="M26" s="115">
        <f t="shared" si="4"/>
        <v>11.283998935110263</v>
      </c>
      <c r="N26" s="116">
        <f>(J26+K26)*'TV tinklas'!F26*'Pradiniai duomenys'!E$13*0.00000115</f>
        <v>0</v>
      </c>
      <c r="O26" s="116">
        <f>(L26+M26)*'TV tinklas'!K26*'Pradiniai duomenys'!E$13*0.00000115</f>
        <v>0</v>
      </c>
      <c r="P26" s="116">
        <f t="shared" si="9"/>
        <v>0</v>
      </c>
      <c r="R26" s="322">
        <f t="shared" si="5"/>
        <v>1.2</v>
      </c>
      <c r="S26" s="179">
        <f t="shared" si="6"/>
        <v>1.75</v>
      </c>
      <c r="T26" s="81">
        <f>IF(R26&gt;0.7,'Pradiniai duomenys'!$J$13,'Pradiniai duomenys'!$K$13)</f>
        <v>4.784151555358986</v>
      </c>
      <c r="U26" s="79" t="str">
        <f t="shared" si="10"/>
        <v>- grunto temperatūra</v>
      </c>
      <c r="V26" s="117">
        <v>900</v>
      </c>
      <c r="W26" s="117">
        <v>8.6999999999999993</v>
      </c>
    </row>
    <row r="27" spans="1:23" x14ac:dyDescent="0.2">
      <c r="A27" s="355">
        <v>550</v>
      </c>
      <c r="B27" s="355">
        <v>558.79999999999995</v>
      </c>
      <c r="C27" s="356">
        <v>68.400000000000006</v>
      </c>
      <c r="D27" s="355">
        <v>7.9</v>
      </c>
      <c r="E27" s="314">
        <f t="shared" si="7"/>
        <v>112.70000000000005</v>
      </c>
      <c r="F27" s="355">
        <v>800</v>
      </c>
      <c r="G27" s="157">
        <f t="shared" si="8"/>
        <v>784.2</v>
      </c>
      <c r="H27" s="357">
        <v>0.75</v>
      </c>
      <c r="I27" s="358">
        <f t="shared" si="11"/>
        <v>1.05</v>
      </c>
      <c r="J27" s="359">
        <f t="shared" si="1"/>
        <v>38.380549699504705</v>
      </c>
      <c r="K27" s="359">
        <f t="shared" si="2"/>
        <v>21.306247542212585</v>
      </c>
      <c r="L27" s="359">
        <f t="shared" si="3"/>
        <v>31.755078711129272</v>
      </c>
      <c r="M27" s="359">
        <f t="shared" si="4"/>
        <v>17.788312255166485</v>
      </c>
      <c r="N27" s="360">
        <f>(J27+K27)*'TV tinklas'!F27*'Pradiniai duomenys'!E$13*0.00000115</f>
        <v>0</v>
      </c>
      <c r="O27" s="360">
        <f>(L27+M27)*'TV tinklas'!K27*'Pradiniai duomenys'!E$13*0.00000115</f>
        <v>0</v>
      </c>
      <c r="P27" s="360">
        <f>SUM(N27:O27)</f>
        <v>0</v>
      </c>
      <c r="Q27" s="361"/>
      <c r="R27" s="355">
        <f t="shared" si="5"/>
        <v>1.1499999999999999</v>
      </c>
      <c r="S27" s="362">
        <f t="shared" si="6"/>
        <v>1.6500000000000001</v>
      </c>
      <c r="T27" s="363">
        <f>IF(R27&gt;0.7,'Pradiniai duomenys'!$J$13,'Pradiniai duomenys'!$K$13)</f>
        <v>4.784151555358986</v>
      </c>
      <c r="U27" s="364" t="str">
        <f t="shared" si="10"/>
        <v>- grunto temperatūra</v>
      </c>
      <c r="V27" s="355">
        <v>800</v>
      </c>
      <c r="W27" s="355">
        <v>7.9</v>
      </c>
    </row>
    <row r="28" spans="1:23" x14ac:dyDescent="0.2">
      <c r="A28" s="160">
        <v>600</v>
      </c>
      <c r="B28" s="177">
        <v>609.6</v>
      </c>
      <c r="C28" s="178">
        <v>77.400000000000006</v>
      </c>
      <c r="D28" s="117">
        <v>8.6999999999999993</v>
      </c>
      <c r="E28" s="314">
        <f t="shared" si="7"/>
        <v>136.5</v>
      </c>
      <c r="F28" s="117">
        <v>900</v>
      </c>
      <c r="G28" s="157">
        <f t="shared" si="8"/>
        <v>882.6</v>
      </c>
      <c r="H28" s="316">
        <v>0.75</v>
      </c>
      <c r="I28" s="154">
        <f t="shared" si="11"/>
        <v>1.1499999999999999</v>
      </c>
      <c r="J28" s="115">
        <f t="shared" si="1"/>
        <v>35.432908150161254</v>
      </c>
      <c r="K28" s="115">
        <f t="shared" si="2"/>
        <v>19.792868093949966</v>
      </c>
      <c r="L28" s="115">
        <f t="shared" si="3"/>
        <v>29.272616736591651</v>
      </c>
      <c r="M28" s="115">
        <f t="shared" si="4"/>
        <v>16.481154116019997</v>
      </c>
      <c r="N28" s="168">
        <f>(J28+K28)*'TV tinklas'!F27*'Pradiniai duomenys'!E$13*0.00000115</f>
        <v>0</v>
      </c>
      <c r="O28" s="168">
        <f>(L28+M28)*'TV tinklas'!K27*'Pradiniai duomenys'!E$13*0.00000115</f>
        <v>0</v>
      </c>
      <c r="P28" s="168">
        <f t="shared" si="9"/>
        <v>0</v>
      </c>
      <c r="R28" s="322">
        <f t="shared" si="5"/>
        <v>1.2</v>
      </c>
      <c r="S28" s="179">
        <f t="shared" si="6"/>
        <v>1.75</v>
      </c>
      <c r="T28" s="81">
        <f>IF(R28&gt;0.7,'Pradiniai duomenys'!$J$13,'Pradiniai duomenys'!$K$13)</f>
        <v>4.784151555358986</v>
      </c>
      <c r="U28" s="79" t="str">
        <f t="shared" si="10"/>
        <v>- grunto temperatūra</v>
      </c>
      <c r="V28" s="117">
        <v>900</v>
      </c>
      <c r="W28" s="117">
        <v>8.6999999999999993</v>
      </c>
    </row>
    <row r="29" spans="1:23" x14ac:dyDescent="0.2">
      <c r="A29" s="157">
        <v>700</v>
      </c>
      <c r="B29" s="322">
        <v>711</v>
      </c>
      <c r="C29" s="176">
        <v>85.8</v>
      </c>
      <c r="D29" s="117">
        <v>8.6999999999999993</v>
      </c>
      <c r="E29" s="314">
        <f t="shared" si="7"/>
        <v>85.800000000000011</v>
      </c>
      <c r="F29" s="117">
        <v>900</v>
      </c>
      <c r="G29" s="157">
        <f t="shared" si="8"/>
        <v>882.6</v>
      </c>
      <c r="H29" s="316">
        <v>0.75</v>
      </c>
      <c r="I29" s="107">
        <f t="shared" si="11"/>
        <v>1.1499999999999999</v>
      </c>
      <c r="J29" s="115">
        <f t="shared" si="1"/>
        <v>59.004238217125078</v>
      </c>
      <c r="K29" s="115">
        <f t="shared" si="2"/>
        <v>31.917355289963801</v>
      </c>
      <c r="L29" s="115">
        <f t="shared" si="3"/>
        <v>49.005273885948348</v>
      </c>
      <c r="M29" s="115">
        <f t="shared" si="4"/>
        <v>26.883375856594316</v>
      </c>
      <c r="N29" s="168">
        <f>(J29+K29)*'TV tinklas'!F28*'Pradiniai duomenys'!E$13*0.00000115</f>
        <v>0</v>
      </c>
      <c r="O29" s="168">
        <f>(L29+M29)*'TV tinklas'!K28*'Pradiniai duomenys'!E$13*0.00000115</f>
        <v>0</v>
      </c>
      <c r="P29" s="168">
        <f t="shared" si="9"/>
        <v>0</v>
      </c>
      <c r="R29" s="322">
        <f t="shared" si="5"/>
        <v>1.2</v>
      </c>
      <c r="S29" s="179">
        <f t="shared" si="6"/>
        <v>1.75</v>
      </c>
      <c r="T29" s="81">
        <f>IF(R29&gt;0.7,'Pradiniai duomenys'!$J$13,'Pradiniai duomenys'!$K$13)</f>
        <v>4.784151555358986</v>
      </c>
      <c r="U29" s="79" t="str">
        <f t="shared" si="10"/>
        <v>- grunto temperatūra</v>
      </c>
      <c r="V29" s="117">
        <v>900</v>
      </c>
      <c r="W29" s="117">
        <v>8.6999999999999993</v>
      </c>
    </row>
    <row r="30" spans="1:23" x14ac:dyDescent="0.2">
      <c r="A30" s="157">
        <v>800</v>
      </c>
      <c r="B30" s="322">
        <v>820</v>
      </c>
      <c r="C30" s="176">
        <v>80.599999999999994</v>
      </c>
      <c r="D30" s="117">
        <v>9.4</v>
      </c>
      <c r="E30" s="314">
        <f t="shared" si="7"/>
        <v>80.600000000000023</v>
      </c>
      <c r="F30" s="117">
        <v>1000</v>
      </c>
      <c r="G30" s="157">
        <f t="shared" si="8"/>
        <v>981.2</v>
      </c>
      <c r="H30" s="316">
        <v>0.75</v>
      </c>
      <c r="I30" s="107">
        <f t="shared" si="11"/>
        <v>1.25</v>
      </c>
      <c r="J30" s="115">
        <f t="shared" si="1"/>
        <v>70.619507916481936</v>
      </c>
      <c r="K30" s="115">
        <f t="shared" si="2"/>
        <v>37.713846392955944</v>
      </c>
      <c r="L30" s="115">
        <f t="shared" si="3"/>
        <v>58.736724793450257</v>
      </c>
      <c r="M30" s="115">
        <f t="shared" si="4"/>
        <v>31.893576291181152</v>
      </c>
      <c r="N30" s="116">
        <f>(J30+K30)*'TV tinklas'!F29*'Pradiniai duomenys'!E$13*0.00000115</f>
        <v>0</v>
      </c>
      <c r="O30" s="116">
        <f>(L30+M30)*'TV tinklas'!K29*'Pradiniai duomenys'!E$13*0.00000115</f>
        <v>0</v>
      </c>
      <c r="P30" s="116">
        <f t="shared" si="9"/>
        <v>0</v>
      </c>
      <c r="R30" s="322">
        <f t="shared" si="5"/>
        <v>1.25</v>
      </c>
      <c r="S30" s="179">
        <f t="shared" si="6"/>
        <v>1.85</v>
      </c>
      <c r="T30" s="81">
        <f>IF(R30&gt;0.7,'Pradiniai duomenys'!$J$13,'Pradiniai duomenys'!$K$13)</f>
        <v>4.784151555358986</v>
      </c>
      <c r="U30" s="79" t="str">
        <f t="shared" si="10"/>
        <v>- grunto temperatūra</v>
      </c>
      <c r="V30" s="117">
        <v>1000</v>
      </c>
      <c r="W30" s="117">
        <v>9.4</v>
      </c>
    </row>
    <row r="31" spans="1:23" x14ac:dyDescent="0.2">
      <c r="A31" s="157">
        <v>900</v>
      </c>
      <c r="B31" s="322">
        <v>914</v>
      </c>
      <c r="C31" s="176">
        <v>82.8</v>
      </c>
      <c r="D31" s="117">
        <v>10.199999999999999</v>
      </c>
      <c r="E31" s="314">
        <f t="shared" si="7"/>
        <v>82.799999999999955</v>
      </c>
      <c r="F31" s="117">
        <v>1100</v>
      </c>
      <c r="G31" s="157">
        <f t="shared" si="8"/>
        <v>1079.5999999999999</v>
      </c>
      <c r="H31" s="316">
        <v>0.75</v>
      </c>
      <c r="I31" s="107">
        <f t="shared" si="11"/>
        <v>1.35</v>
      </c>
      <c r="J31" s="115">
        <f t="shared" si="1"/>
        <v>76.199701469497512</v>
      </c>
      <c r="K31" s="115">
        <f t="shared" si="2"/>
        <v>40.531633928084943</v>
      </c>
      <c r="L31" s="115">
        <f t="shared" si="3"/>
        <v>63.37529368388563</v>
      </c>
      <c r="M31" s="115">
        <f t="shared" si="4"/>
        <v>34.30461887063862</v>
      </c>
      <c r="N31" s="116">
        <f>(J31+K31)*'TV tinklas'!F30*'Pradiniai duomenys'!E$13*0.00000115</f>
        <v>0</v>
      </c>
      <c r="O31" s="116">
        <f>(L31+M31)*'TV tinklas'!K30*'Pradiniai duomenys'!E$13*0.00000115</f>
        <v>0</v>
      </c>
      <c r="P31" s="116">
        <f t="shared" si="9"/>
        <v>0</v>
      </c>
      <c r="R31" s="322">
        <f t="shared" si="5"/>
        <v>1.3</v>
      </c>
      <c r="S31" s="179">
        <f t="shared" si="6"/>
        <v>1.9500000000000002</v>
      </c>
      <c r="T31" s="81">
        <f>IF(R31&gt;0.7,'Pradiniai duomenys'!$J$13,'Pradiniai duomenys'!$K$13)</f>
        <v>4.784151555358986</v>
      </c>
      <c r="U31" s="79" t="str">
        <f t="shared" si="10"/>
        <v>- grunto temperatūra</v>
      </c>
      <c r="V31" s="117">
        <v>1100</v>
      </c>
      <c r="W31" s="117">
        <v>10.199999999999999</v>
      </c>
    </row>
    <row r="32" spans="1:23" x14ac:dyDescent="0.2">
      <c r="A32" s="157">
        <v>1000</v>
      </c>
      <c r="B32" s="322">
        <v>1016</v>
      </c>
      <c r="C32" s="176">
        <v>81</v>
      </c>
      <c r="D32" s="117">
        <v>11</v>
      </c>
      <c r="E32" s="314">
        <f t="shared" si="7"/>
        <v>81</v>
      </c>
      <c r="F32" s="117">
        <v>1200</v>
      </c>
      <c r="G32" s="157">
        <f t="shared" si="8"/>
        <v>1178</v>
      </c>
      <c r="H32" s="316">
        <v>0.75</v>
      </c>
      <c r="I32" s="107">
        <f t="shared" si="11"/>
        <v>1.45</v>
      </c>
      <c r="J32" s="115">
        <f t="shared" si="1"/>
        <v>85.539356049391913</v>
      </c>
      <c r="K32" s="115">
        <f t="shared" si="2"/>
        <v>45.083285906433417</v>
      </c>
      <c r="L32" s="115">
        <f t="shared" si="3"/>
        <v>71.196833970698151</v>
      </c>
      <c r="M32" s="115">
        <f t="shared" si="4"/>
        <v>38.259739936759438</v>
      </c>
      <c r="N32" s="116">
        <f>(J32+K32)*'TV tinklas'!F31*'Pradiniai duomenys'!E$13*0.00000115</f>
        <v>0</v>
      </c>
      <c r="O32" s="116">
        <f>(L32+M32)*'TV tinklas'!K31*'Pradiniai duomenys'!E$13*0.00000115</f>
        <v>0</v>
      </c>
      <c r="P32" s="116">
        <f t="shared" si="9"/>
        <v>0</v>
      </c>
      <c r="R32" s="322">
        <f t="shared" si="5"/>
        <v>1.35</v>
      </c>
      <c r="S32" s="179">
        <f t="shared" si="6"/>
        <v>2.0499999999999998</v>
      </c>
      <c r="T32" s="81">
        <f>IF(R32&gt;0.7,'Pradiniai duomenys'!$J$13,'Pradiniai duomenys'!$K$13)</f>
        <v>4.784151555358986</v>
      </c>
      <c r="U32" s="79" t="str">
        <f t="shared" si="10"/>
        <v>- grunto temperatūra</v>
      </c>
      <c r="V32" s="117">
        <v>1200</v>
      </c>
      <c r="W32" s="117">
        <v>11</v>
      </c>
    </row>
    <row r="33" spans="1:23" x14ac:dyDescent="0.2">
      <c r="A33" s="157">
        <v>1100</v>
      </c>
      <c r="B33" s="322">
        <v>1118</v>
      </c>
      <c r="C33" s="176">
        <v>79.2</v>
      </c>
      <c r="D33" s="117">
        <v>11.8</v>
      </c>
      <c r="E33" s="314">
        <f t="shared" si="7"/>
        <v>79.200000000000045</v>
      </c>
      <c r="F33" s="117">
        <v>1300</v>
      </c>
      <c r="G33" s="157">
        <f t="shared" si="8"/>
        <v>1276.4000000000001</v>
      </c>
      <c r="H33" s="316">
        <v>0.75</v>
      </c>
      <c r="I33" s="107">
        <f t="shared" si="11"/>
        <v>1.55</v>
      </c>
      <c r="J33" s="115">
        <f t="shared" si="1"/>
        <v>95.266627325048304</v>
      </c>
      <c r="K33" s="115">
        <f t="shared" si="2"/>
        <v>49.728610518711669</v>
      </c>
      <c r="L33" s="115">
        <f t="shared" si="3"/>
        <v>79.355523950135805</v>
      </c>
      <c r="M33" s="115">
        <f t="shared" si="4"/>
        <v>42.322708118014383</v>
      </c>
      <c r="N33" s="116">
        <f>(J33+K33)*'TV tinklas'!F32*'Pradiniai duomenys'!E$13*0.00000115</f>
        <v>0</v>
      </c>
      <c r="O33" s="116">
        <f>(L33+M33)*'TV tinklas'!K32*'Pradiniai duomenys'!E$13*0.00000115</f>
        <v>0</v>
      </c>
      <c r="P33" s="116">
        <f t="shared" si="9"/>
        <v>0</v>
      </c>
      <c r="R33" s="322">
        <f t="shared" si="5"/>
        <v>1.4</v>
      </c>
      <c r="S33" s="179">
        <f t="shared" si="6"/>
        <v>2.15</v>
      </c>
      <c r="T33" s="81">
        <f>IF(R33&gt;0.7,'Pradiniai duomenys'!$J$13,'Pradiniai duomenys'!$K$13)</f>
        <v>4.784151555358986</v>
      </c>
      <c r="U33" s="79" t="str">
        <f t="shared" si="10"/>
        <v>- grunto temperatūra</v>
      </c>
      <c r="V33" s="117">
        <v>1300</v>
      </c>
      <c r="W33" s="117">
        <v>11.8</v>
      </c>
    </row>
    <row r="34" spans="1:23" x14ac:dyDescent="0.2">
      <c r="A34" s="157">
        <v>1200</v>
      </c>
      <c r="B34" s="322">
        <v>1219</v>
      </c>
      <c r="C34" s="176">
        <v>78</v>
      </c>
      <c r="D34" s="117">
        <v>12.5</v>
      </c>
      <c r="E34" s="314">
        <f t="shared" si="7"/>
        <v>78</v>
      </c>
      <c r="F34" s="117">
        <v>1400</v>
      </c>
      <c r="G34" s="157">
        <f t="shared" si="8"/>
        <v>1375</v>
      </c>
      <c r="H34" s="316">
        <v>0.75</v>
      </c>
      <c r="I34" s="107">
        <f t="shared" si="11"/>
        <v>1.65</v>
      </c>
      <c r="J34" s="115">
        <f t="shared" si="1"/>
        <v>104.63648331347643</v>
      </c>
      <c r="K34" s="115">
        <f t="shared" si="2"/>
        <v>54.1253530626879</v>
      </c>
      <c r="L34" s="115">
        <f t="shared" si="3"/>
        <v>87.219241433677212</v>
      </c>
      <c r="M34" s="115">
        <f t="shared" si="4"/>
        <v>46.188147962831742</v>
      </c>
      <c r="N34" s="116">
        <f>(J34+K34)*'TV tinklas'!F33*'Pradiniai duomenys'!E$13*0.00000115</f>
        <v>0</v>
      </c>
      <c r="O34" s="116">
        <f>(L34+M34)*'TV tinklas'!K33*'Pradiniai duomenys'!E$13*0.00000115</f>
        <v>0</v>
      </c>
      <c r="P34" s="116">
        <f t="shared" si="9"/>
        <v>0</v>
      </c>
      <c r="R34" s="322">
        <f t="shared" si="5"/>
        <v>1.45</v>
      </c>
      <c r="S34" s="179">
        <f t="shared" si="6"/>
        <v>2.25</v>
      </c>
      <c r="T34" s="81">
        <f>IF(R34&gt;0.7,'Pradiniai duomenys'!$J$13,'Pradiniai duomenys'!$K$13)</f>
        <v>4.784151555358986</v>
      </c>
      <c r="U34" s="79" t="str">
        <f t="shared" si="10"/>
        <v>- grunto temperatūra</v>
      </c>
      <c r="V34" s="117">
        <v>1400</v>
      </c>
      <c r="W34" s="117">
        <v>12.5</v>
      </c>
    </row>
    <row r="35" spans="1:23" x14ac:dyDescent="0.2">
      <c r="A35" s="113" t="s">
        <v>40</v>
      </c>
      <c r="L35" s="113" t="s">
        <v>138</v>
      </c>
      <c r="M35" s="173">
        <f>SUM(N11:N34)</f>
        <v>0</v>
      </c>
      <c r="N35" s="173">
        <f>SUM(O11:O34)</f>
        <v>11.500357456345542</v>
      </c>
      <c r="O35" s="173">
        <f>SUM(P11:P34)</f>
        <v>11.500357456345542</v>
      </c>
    </row>
    <row r="36" spans="1:23" x14ac:dyDescent="0.2">
      <c r="A36" s="112" t="s">
        <v>323</v>
      </c>
    </row>
    <row r="37" spans="1:23" x14ac:dyDescent="0.2">
      <c r="A37" s="112" t="s">
        <v>211</v>
      </c>
      <c r="O37" s="169"/>
    </row>
    <row r="38" spans="1:23" x14ac:dyDescent="0.2">
      <c r="O38" s="169"/>
    </row>
    <row r="39" spans="1:23" x14ac:dyDescent="0.2">
      <c r="A39" s="253" t="s">
        <v>280</v>
      </c>
      <c r="O39" s="169"/>
    </row>
    <row r="40" spans="1:23" hidden="1" x14ac:dyDescent="0.2">
      <c r="I40" s="165" t="s">
        <v>192</v>
      </c>
      <c r="J40" s="322">
        <f>'Pradiniai duomenys'!J32</f>
        <v>3.3000000000000002E-2</v>
      </c>
      <c r="K40" s="67" t="s">
        <v>194</v>
      </c>
    </row>
    <row r="41" spans="1:23" hidden="1" x14ac:dyDescent="0.2">
      <c r="I41" s="165" t="s">
        <v>193</v>
      </c>
      <c r="J41" s="322">
        <f>'Pradiniai duomenys'!J33</f>
        <v>2.7E-2</v>
      </c>
      <c r="K41" s="67" t="s">
        <v>194</v>
      </c>
    </row>
    <row r="42" spans="1:23" hidden="1" x14ac:dyDescent="0.2">
      <c r="I42" s="166" t="s">
        <v>201</v>
      </c>
      <c r="J42" s="167">
        <f>'Pradiniai duomenys'!J31</f>
        <v>2</v>
      </c>
      <c r="K42" s="67" t="s">
        <v>194</v>
      </c>
    </row>
    <row r="43" spans="1:23" ht="16.5" customHeight="1" x14ac:dyDescent="0.2">
      <c r="A43" s="576" t="s">
        <v>97</v>
      </c>
      <c r="B43" s="601"/>
      <c r="C43" s="577" t="s">
        <v>210</v>
      </c>
      <c r="D43" s="600" t="s">
        <v>212</v>
      </c>
      <c r="E43" s="600" t="s">
        <v>179</v>
      </c>
      <c r="F43" s="577" t="s">
        <v>215</v>
      </c>
      <c r="G43" s="596" t="s">
        <v>320</v>
      </c>
      <c r="H43" s="597"/>
      <c r="I43" s="596" t="s">
        <v>321</v>
      </c>
      <c r="J43" s="597"/>
      <c r="K43" s="593" t="s">
        <v>216</v>
      </c>
      <c r="L43" s="593" t="s">
        <v>322</v>
      </c>
      <c r="M43" s="593" t="s">
        <v>218</v>
      </c>
      <c r="N43" s="577" t="s">
        <v>184</v>
      </c>
      <c r="R43" s="170"/>
    </row>
    <row r="44" spans="1:23" ht="15" customHeight="1" x14ac:dyDescent="0.2">
      <c r="A44" s="577" t="s">
        <v>213</v>
      </c>
      <c r="B44" s="577" t="s">
        <v>214</v>
      </c>
      <c r="C44" s="578"/>
      <c r="D44" s="600"/>
      <c r="E44" s="600"/>
      <c r="F44" s="578"/>
      <c r="G44" s="598"/>
      <c r="H44" s="599"/>
      <c r="I44" s="598"/>
      <c r="J44" s="599"/>
      <c r="K44" s="594"/>
      <c r="L44" s="594"/>
      <c r="M44" s="594"/>
      <c r="N44" s="578"/>
      <c r="R44" s="170"/>
    </row>
    <row r="45" spans="1:23" ht="15.75" customHeight="1" x14ac:dyDescent="0.2">
      <c r="A45" s="579"/>
      <c r="B45" s="579"/>
      <c r="C45" s="579"/>
      <c r="D45" s="600"/>
      <c r="E45" s="600"/>
      <c r="F45" s="579"/>
      <c r="G45" s="106">
        <f>'Pradiniai duomenys'!C25</f>
        <v>68.068996019460414</v>
      </c>
      <c r="H45" s="106">
        <f>'Pradiniai duomenys'!D25</f>
        <v>45.639436827362523</v>
      </c>
      <c r="I45" s="106">
        <f>'Pradiniai duomenys'!C25</f>
        <v>68.068996019460414</v>
      </c>
      <c r="J45" s="106">
        <f>'Pradiniai duomenys'!D25</f>
        <v>45.639436827362523</v>
      </c>
      <c r="K45" s="595"/>
      <c r="L45" s="595"/>
      <c r="M45" s="595"/>
      <c r="N45" s="579"/>
      <c r="R45" s="170"/>
    </row>
    <row r="46" spans="1:23" x14ac:dyDescent="0.2">
      <c r="A46" s="107">
        <v>25</v>
      </c>
      <c r="B46" s="107">
        <v>33.700000000000003</v>
      </c>
      <c r="C46" s="157">
        <f t="shared" ref="C46:C69" si="12">E11</f>
        <v>73.900000000000006</v>
      </c>
      <c r="D46" s="157">
        <f t="shared" ref="D46:D69" si="13">G11</f>
        <v>181.5</v>
      </c>
      <c r="E46" s="157">
        <f t="shared" ref="E46:E69" si="14">F11</f>
        <v>187.5</v>
      </c>
      <c r="F46" s="157">
        <f t="shared" ref="F46:F52" si="15">E46/1000+0.15</f>
        <v>0.33750000000000002</v>
      </c>
      <c r="G46" s="108">
        <f t="shared" ref="G46:G69" si="16">($G$45-N46)/((($J$42/$J$40*LN(D46/B46)+LN(R11/B46*1000))^2+LN(SQRT(((F46)^2+(R11+R11)^2)/((F46)^2+(R11-R11)^2))))/(6.28*$J$42*($J$42/$J$40*LN(D46/B46)+LN(R11/B46*1000)-($H$45-N46)/($G$45-N46)*LN(SQRT(((F46)^2+(R11+R11)^2)/((F46)^2+(R11-R11)^2))))))</f>
        <v>6.5594193983219746</v>
      </c>
      <c r="H46" s="108">
        <f t="shared" ref="H46:H69" si="17">($H$45-N46)/((($J$42/$J$40*LN(D46/B46)+LN(R11/B46*1000))^2+LN(SQRT(((F46)^2+(R11+R11)^2)/((F46)^2+(R11-R11)^2))))/(6.28*$J$42*($J$42/$J$40*LN(D46/B46)+LN(R11/B46*1000)-($G$45-N46)/($H$45-N46)*LN(SQRT(((F46)^2+(R11+R11)^2)/((F46)^2+(R11-R11)^2))))))</f>
        <v>3.8421876411568774</v>
      </c>
      <c r="I46" s="108">
        <f t="shared" ref="I46:I69" si="18">($I$45-N46)/((($J$42/$J$41*LN(D46/B46)+LN(R11/B46*1000))^2+LN(SQRT(((F46)^2+(R11+R11)^2)/((F46)^2+(R11-R11)^2))))/(6.28*$J$42*($J$42/$J$41*LN(D46/B46)+LN(R11/B46*1000)-($J$45-N46)/($I$45-N46)*LN(SQRT(((F46)^2+(R11+R11)^2)/((F46)^2+(R11-R11)^2))))))</f>
        <v>5.4059750321097981</v>
      </c>
      <c r="J46" s="108">
        <f t="shared" ref="J46:J69" si="19">($J$45-N46)/((($J$42/$J$41*LN(D46/B46)+LN(R11/B46*1000))^2+LN(SQRT(((F46)^2+(R11+R11)^2)/((F46)^2+(R11-R11)^2))))/(6.28*$J$42*($J$42/$J$41*LN(D46/B46)+LN(R11/B46*1000)-($I$45-N46)/($J$45-N46)*LN(SQRT(((F46)^2+(R11+R11)^2)/((F46)^2+(R11-R11)^2))))))</f>
        <v>3.1762830303022915</v>
      </c>
      <c r="K46" s="116">
        <f>(G46+H46)*'TV tinklas'!F42*'Pradiniai duomenys'!E$25*0.00000115</f>
        <v>0</v>
      </c>
      <c r="L46" s="116">
        <f>(I46+J46)*'TV tinklas'!K42*'Pradiniai duomenys'!E$25*0.00000115</f>
        <v>0</v>
      </c>
      <c r="M46" s="116">
        <f>SUM(K46:L46)</f>
        <v>0</v>
      </c>
      <c r="N46" s="81">
        <f>IF(R11&gt;0.7,'Pradiniai duomenys'!$J$25,'Pradiniai duomenys'!$K$25)</f>
        <v>12.57423558897243</v>
      </c>
      <c r="O46" s="79" t="str">
        <f t="shared" ref="O46:O69" si="20">U11</f>
        <v>- grunto temperatūra</v>
      </c>
      <c r="R46" s="171"/>
      <c r="S46" s="91"/>
      <c r="T46" s="172"/>
      <c r="U46" s="78"/>
    </row>
    <row r="47" spans="1:23" x14ac:dyDescent="0.2">
      <c r="A47" s="107">
        <v>32</v>
      </c>
      <c r="B47" s="107">
        <v>42.4</v>
      </c>
      <c r="C47" s="157">
        <f t="shared" si="12"/>
        <v>45.8</v>
      </c>
      <c r="D47" s="157">
        <f t="shared" si="13"/>
        <v>134</v>
      </c>
      <c r="E47" s="157">
        <f t="shared" si="14"/>
        <v>140</v>
      </c>
      <c r="F47" s="157">
        <f t="shared" si="15"/>
        <v>0.29000000000000004</v>
      </c>
      <c r="G47" s="108">
        <f t="shared" si="16"/>
        <v>9.4469353713851412</v>
      </c>
      <c r="H47" s="108">
        <f t="shared" si="17"/>
        <v>5.4800972054442312</v>
      </c>
      <c r="I47" s="108">
        <f t="shared" si="18"/>
        <v>7.8077108133670876</v>
      </c>
      <c r="J47" s="108">
        <f t="shared" si="19"/>
        <v>4.5510373904416408</v>
      </c>
      <c r="K47" s="116">
        <f>(G47+H47)*'TV tinklas'!F43*'Pradiniai duomenys'!E$25*0.00000115</f>
        <v>0</v>
      </c>
      <c r="L47" s="116">
        <f>(I47+J47)*'TV tinklas'!K43*'Pradiniai duomenys'!E$25*0.00000115</f>
        <v>0</v>
      </c>
      <c r="M47" s="116">
        <f t="shared" ref="M47:M69" si="21">SUM(K47:L47)</f>
        <v>0</v>
      </c>
      <c r="N47" s="81">
        <f>IF(R12&gt;0.7,'Pradiniai duomenys'!$J$25,'Pradiniai duomenys'!$K$25)</f>
        <v>12.57423558897243</v>
      </c>
      <c r="O47" s="79" t="str">
        <f t="shared" si="20"/>
        <v>- grunto temperatūra</v>
      </c>
      <c r="R47" s="171"/>
      <c r="S47" s="91"/>
      <c r="T47" s="78"/>
      <c r="U47" s="78"/>
    </row>
    <row r="48" spans="1:23" x14ac:dyDescent="0.2">
      <c r="A48" s="107">
        <v>40</v>
      </c>
      <c r="B48" s="107">
        <v>48.3</v>
      </c>
      <c r="C48" s="157">
        <f t="shared" si="12"/>
        <v>42.85</v>
      </c>
      <c r="D48" s="157">
        <f t="shared" si="13"/>
        <v>134</v>
      </c>
      <c r="E48" s="157">
        <f t="shared" si="14"/>
        <v>140</v>
      </c>
      <c r="F48" s="157">
        <f t="shared" si="15"/>
        <v>0.29000000000000004</v>
      </c>
      <c r="G48" s="108">
        <f t="shared" si="16"/>
        <v>10.599236203725438</v>
      </c>
      <c r="H48" s="108">
        <f t="shared" si="17"/>
        <v>6.127504719361843</v>
      </c>
      <c r="I48" s="108">
        <f t="shared" si="18"/>
        <v>8.7679417528105876</v>
      </c>
      <c r="J48" s="108">
        <f t="shared" si="19"/>
        <v>5.0964096758249582</v>
      </c>
      <c r="K48" s="116">
        <f>(G48+H48)*'TV tinklas'!F44*'Pradiniai duomenys'!E$25*0.00000115</f>
        <v>0</v>
      </c>
      <c r="L48" s="116">
        <f>(I48+J48)*'TV tinklas'!K44*'Pradiniai duomenys'!E$25*0.00000115</f>
        <v>0</v>
      </c>
      <c r="M48" s="116">
        <f t="shared" si="21"/>
        <v>0</v>
      </c>
      <c r="N48" s="81">
        <f>IF(R13&gt;0.7,'Pradiniai duomenys'!$J$25,'Pradiniai duomenys'!$K$25)</f>
        <v>12.57423558897243</v>
      </c>
      <c r="O48" s="79" t="str">
        <f t="shared" si="20"/>
        <v>- grunto temperatūra</v>
      </c>
      <c r="R48" s="171"/>
      <c r="S48" s="91"/>
      <c r="T48" s="78"/>
      <c r="U48" s="78"/>
    </row>
    <row r="49" spans="1:21" x14ac:dyDescent="0.2">
      <c r="A49" s="107">
        <v>50</v>
      </c>
      <c r="B49" s="107">
        <v>60.3</v>
      </c>
      <c r="C49" s="157">
        <f t="shared" si="12"/>
        <v>46.85</v>
      </c>
      <c r="D49" s="157">
        <f t="shared" si="13"/>
        <v>154</v>
      </c>
      <c r="E49" s="157">
        <f t="shared" si="14"/>
        <v>160</v>
      </c>
      <c r="F49" s="157">
        <f t="shared" si="15"/>
        <v>0.31</v>
      </c>
      <c r="G49" s="108">
        <f t="shared" si="16"/>
        <v>11.520124372963389</v>
      </c>
      <c r="H49" s="108">
        <f t="shared" si="17"/>
        <v>6.6484469491785765</v>
      </c>
      <c r="I49" s="108">
        <f t="shared" si="18"/>
        <v>9.5319900661539236</v>
      </c>
      <c r="J49" s="108">
        <f t="shared" si="19"/>
        <v>5.532753117410218</v>
      </c>
      <c r="K49" s="116">
        <f>(G49+H49)*'TV tinklas'!F45*'Pradiniai duomenys'!E$25*0.00000115</f>
        <v>0</v>
      </c>
      <c r="L49" s="116">
        <f>(I49+J49)*'TV tinklas'!K45*'Pradiniai duomenys'!E$25*0.00000115</f>
        <v>0</v>
      </c>
      <c r="M49" s="116">
        <f t="shared" si="21"/>
        <v>0</v>
      </c>
      <c r="N49" s="81">
        <f>IF(R14&gt;0.7,'Pradiniai duomenys'!$J$25,'Pradiniai duomenys'!$K$25)</f>
        <v>12.57423558897243</v>
      </c>
      <c r="O49" s="79" t="str">
        <f t="shared" si="20"/>
        <v>- grunto temperatūra</v>
      </c>
      <c r="R49" s="171"/>
      <c r="S49" s="91"/>
      <c r="T49" s="78"/>
      <c r="U49" s="78"/>
    </row>
    <row r="50" spans="1:21" x14ac:dyDescent="0.2">
      <c r="A50" s="107">
        <v>65</v>
      </c>
      <c r="B50" s="107">
        <v>76.099999999999994</v>
      </c>
      <c r="C50" s="157">
        <f t="shared" si="12"/>
        <v>48.95</v>
      </c>
      <c r="D50" s="157">
        <f t="shared" si="13"/>
        <v>174</v>
      </c>
      <c r="E50" s="157">
        <f t="shared" si="14"/>
        <v>180</v>
      </c>
      <c r="F50" s="157">
        <f t="shared" si="15"/>
        <v>0.32999999999999996</v>
      </c>
      <c r="G50" s="108">
        <f t="shared" si="16"/>
        <v>13.015028950288528</v>
      </c>
      <c r="H50" s="108">
        <f t="shared" si="17"/>
        <v>7.4865431898415116</v>
      </c>
      <c r="I50" s="108">
        <f t="shared" si="18"/>
        <v>10.775729715513606</v>
      </c>
      <c r="J50" s="108">
        <f t="shared" si="19"/>
        <v>6.2378974903430509</v>
      </c>
      <c r="K50" s="116">
        <f>(G50+H50)*'TV tinklas'!F46*'Pradiniai duomenys'!E$25*0.00000115</f>
        <v>0</v>
      </c>
      <c r="L50" s="116">
        <f>(I50+J50)*'TV tinklas'!K46*'Pradiniai duomenys'!E$25*0.00000115</f>
        <v>0</v>
      </c>
      <c r="M50" s="116">
        <f t="shared" si="21"/>
        <v>0</v>
      </c>
      <c r="N50" s="81">
        <f>IF(R15&gt;0.7,'Pradiniai duomenys'!$J$25,'Pradiniai duomenys'!$K$25)</f>
        <v>12.57423558897243</v>
      </c>
      <c r="O50" s="79" t="str">
        <f t="shared" si="20"/>
        <v>- grunto temperatūra</v>
      </c>
      <c r="R50" s="171"/>
      <c r="S50" s="91"/>
      <c r="T50" s="78"/>
      <c r="U50" s="78"/>
    </row>
    <row r="51" spans="1:21" x14ac:dyDescent="0.2">
      <c r="A51" s="107">
        <v>80</v>
      </c>
      <c r="B51" s="107">
        <v>88.9</v>
      </c>
      <c r="C51" s="157">
        <f t="shared" si="12"/>
        <v>52.349999999999994</v>
      </c>
      <c r="D51" s="157">
        <f t="shared" si="13"/>
        <v>193.6</v>
      </c>
      <c r="E51" s="157">
        <f t="shared" si="14"/>
        <v>200</v>
      </c>
      <c r="F51" s="157">
        <f t="shared" si="15"/>
        <v>0.35</v>
      </c>
      <c r="G51" s="108">
        <f t="shared" si="16"/>
        <v>13.820821167916332</v>
      </c>
      <c r="H51" s="108">
        <f t="shared" si="17"/>
        <v>7.9403289701016524</v>
      </c>
      <c r="I51" s="108">
        <f t="shared" si="18"/>
        <v>11.444306890989463</v>
      </c>
      <c r="J51" s="108">
        <f t="shared" si="19"/>
        <v>6.6183289998439978</v>
      </c>
      <c r="K51" s="116">
        <f>(G51+H51)*'TV tinklas'!F48*'Pradiniai duomenys'!E$25*0.00000115</f>
        <v>0</v>
      </c>
      <c r="L51" s="116">
        <f>(I51+J51)*'TV tinklas'!K48*'Pradiniai duomenys'!E$25*0.00000115</f>
        <v>0</v>
      </c>
      <c r="M51" s="116">
        <f t="shared" si="21"/>
        <v>0</v>
      </c>
      <c r="N51" s="81">
        <f>IF(R16&gt;0.7,'Pradiniai duomenys'!$J$25,'Pradiniai duomenys'!$K$25)</f>
        <v>12.57423558897243</v>
      </c>
      <c r="O51" s="79" t="str">
        <f t="shared" si="20"/>
        <v>- grunto temperatūra</v>
      </c>
      <c r="R51" s="171"/>
      <c r="S51" s="91"/>
      <c r="T51" s="78"/>
      <c r="U51" s="78"/>
    </row>
    <row r="52" spans="1:21" x14ac:dyDescent="0.2">
      <c r="A52" s="107">
        <v>100</v>
      </c>
      <c r="B52" s="107">
        <v>114.3</v>
      </c>
      <c r="C52" s="157">
        <f t="shared" si="12"/>
        <v>64.25</v>
      </c>
      <c r="D52" s="157">
        <f t="shared" si="13"/>
        <v>242.8</v>
      </c>
      <c r="E52" s="157">
        <f t="shared" si="14"/>
        <v>250</v>
      </c>
      <c r="F52" s="157">
        <f t="shared" si="15"/>
        <v>0.4</v>
      </c>
      <c r="G52" s="108">
        <f t="shared" si="16"/>
        <v>14.329934445972519</v>
      </c>
      <c r="H52" s="108">
        <f t="shared" si="17"/>
        <v>8.2416454436911817</v>
      </c>
      <c r="I52" s="108">
        <f t="shared" si="18"/>
        <v>11.85829354755562</v>
      </c>
      <c r="J52" s="108">
        <f t="shared" si="19"/>
        <v>6.8638351720643946</v>
      </c>
      <c r="K52" s="116">
        <f>(G52+H52)*'TV tinklas'!F49*'Pradiniai duomenys'!E$25*0.00000115</f>
        <v>0</v>
      </c>
      <c r="L52" s="116">
        <f>(I52+J52)*'TV tinklas'!K49*'Pradiniai duomenys'!E$25*0.00000115</f>
        <v>9.2322561142190231</v>
      </c>
      <c r="M52" s="116">
        <f>SUM(K52:L52)</f>
        <v>9.2322561142190231</v>
      </c>
      <c r="N52" s="81">
        <f>IF(R17&gt;0.7,'Pradiniai duomenys'!$J$25,'Pradiniai duomenys'!$K$25)</f>
        <v>12.57423558897243</v>
      </c>
      <c r="O52" s="79" t="str">
        <f t="shared" si="20"/>
        <v>- grunto temperatūra</v>
      </c>
      <c r="R52" s="171"/>
      <c r="S52" s="91"/>
      <c r="T52" s="78"/>
      <c r="U52" s="78"/>
    </row>
    <row r="53" spans="1:21" x14ac:dyDescent="0.2">
      <c r="A53" s="107">
        <v>125</v>
      </c>
      <c r="B53" s="107">
        <v>139.69999999999999</v>
      </c>
      <c r="C53" s="157">
        <f t="shared" si="12"/>
        <v>66.25</v>
      </c>
      <c r="D53" s="157">
        <f t="shared" si="13"/>
        <v>272.2</v>
      </c>
      <c r="E53" s="157">
        <f t="shared" si="14"/>
        <v>280</v>
      </c>
      <c r="F53" s="157">
        <f>E53/1000+0.25</f>
        <v>0.53</v>
      </c>
      <c r="G53" s="108">
        <f t="shared" si="16"/>
        <v>16.183603698063241</v>
      </c>
      <c r="H53" s="108">
        <f t="shared" si="17"/>
        <v>9.327439871031153</v>
      </c>
      <c r="I53" s="108">
        <f t="shared" si="18"/>
        <v>13.392503717296583</v>
      </c>
      <c r="J53" s="108">
        <f t="shared" si="19"/>
        <v>7.7651692681661135</v>
      </c>
      <c r="K53" s="116">
        <f>(G53+H53)*'TV tinklas'!F50*'Pradiniai duomenys'!E$25*0.00000115</f>
        <v>0</v>
      </c>
      <c r="L53" s="116">
        <f>(I53+J53)*'TV tinklas'!K50*'Pradiniai duomenys'!E$25*0.00000115</f>
        <v>0</v>
      </c>
      <c r="M53" s="116">
        <f t="shared" si="21"/>
        <v>0</v>
      </c>
      <c r="N53" s="81">
        <f>IF(R18&gt;0.7,'Pradiniai duomenys'!$J$25,'Pradiniai duomenys'!$K$25)</f>
        <v>12.57423558897243</v>
      </c>
      <c r="O53" s="79" t="str">
        <f t="shared" si="20"/>
        <v>- grunto temperatūra</v>
      </c>
      <c r="R53" s="171"/>
      <c r="S53" s="91"/>
      <c r="T53" s="78"/>
      <c r="U53" s="78"/>
    </row>
    <row r="54" spans="1:21" x14ac:dyDescent="0.2">
      <c r="A54" s="107">
        <v>150</v>
      </c>
      <c r="B54" s="107">
        <v>168.3</v>
      </c>
      <c r="C54" s="157">
        <f t="shared" si="12"/>
        <v>69.25</v>
      </c>
      <c r="D54" s="157">
        <f t="shared" si="13"/>
        <v>306.8</v>
      </c>
      <c r="E54" s="157">
        <f t="shared" si="14"/>
        <v>315</v>
      </c>
      <c r="F54" s="157">
        <f t="shared" ref="F54:F65" si="22">E54/1000+0.25</f>
        <v>0.56499999999999995</v>
      </c>
      <c r="G54" s="108">
        <f t="shared" si="16"/>
        <v>17.943428784724663</v>
      </c>
      <c r="H54" s="108">
        <f t="shared" si="17"/>
        <v>10.31523944022935</v>
      </c>
      <c r="I54" s="108">
        <f t="shared" si="18"/>
        <v>14.854214428995952</v>
      </c>
      <c r="J54" s="108">
        <f t="shared" si="19"/>
        <v>8.5947086909046622</v>
      </c>
      <c r="K54" s="116">
        <f>(G54+H54)*'TV tinklas'!F51*'Pradiniai duomenys'!E$25*0.00000115</f>
        <v>0</v>
      </c>
      <c r="L54" s="116">
        <f>(I54+J54)*'TV tinklas'!K51*'Pradiniai duomenys'!E$25*0.00000115</f>
        <v>0</v>
      </c>
      <c r="M54" s="116">
        <f t="shared" si="21"/>
        <v>0</v>
      </c>
      <c r="N54" s="81">
        <f>IF(R19&gt;0.7,'Pradiniai duomenys'!$J$25,'Pradiniai duomenys'!$K$25)</f>
        <v>12.57423558897243</v>
      </c>
      <c r="O54" s="79" t="str">
        <f t="shared" si="20"/>
        <v>- grunto temperatūra</v>
      </c>
      <c r="R54" s="171"/>
      <c r="S54" s="91"/>
      <c r="T54" s="78"/>
      <c r="U54" s="78"/>
    </row>
    <row r="55" spans="1:21" x14ac:dyDescent="0.2">
      <c r="A55" s="107">
        <v>200</v>
      </c>
      <c r="B55" s="107">
        <v>219.1</v>
      </c>
      <c r="C55" s="157">
        <f t="shared" si="12"/>
        <v>85.649999999999991</v>
      </c>
      <c r="D55" s="157">
        <f t="shared" si="13"/>
        <v>390.4</v>
      </c>
      <c r="E55" s="157">
        <f t="shared" si="14"/>
        <v>400</v>
      </c>
      <c r="F55" s="157">
        <f t="shared" si="22"/>
        <v>0.65</v>
      </c>
      <c r="G55" s="108">
        <f t="shared" si="16"/>
        <v>18.741054238274948</v>
      </c>
      <c r="H55" s="108">
        <f t="shared" si="17"/>
        <v>10.785578752385266</v>
      </c>
      <c r="I55" s="108">
        <f t="shared" si="18"/>
        <v>15.501718954141664</v>
      </c>
      <c r="J55" s="108">
        <f t="shared" si="19"/>
        <v>8.9775515063117499</v>
      </c>
      <c r="K55" s="116">
        <f>(G55+H55)*'TV tinklas'!F53*'Pradiniai duomenys'!E$25*0.00000115</f>
        <v>0</v>
      </c>
      <c r="L55" s="116">
        <f>(I55+J55)*'TV tinklas'!K53*'Pradiniai duomenys'!E$25*0.00000115</f>
        <v>0</v>
      </c>
      <c r="M55" s="116">
        <f t="shared" si="21"/>
        <v>0</v>
      </c>
      <c r="N55" s="81">
        <f>IF(R20&gt;0.7,'Pradiniai duomenys'!$J$25,'Pradiniai duomenys'!$K$25)</f>
        <v>12.57423558897243</v>
      </c>
      <c r="O55" s="79" t="str">
        <f t="shared" si="20"/>
        <v>- grunto temperatūra</v>
      </c>
      <c r="R55" s="171"/>
      <c r="S55" s="91"/>
      <c r="T55" s="78"/>
      <c r="U55" s="78"/>
    </row>
    <row r="56" spans="1:21" x14ac:dyDescent="0.2">
      <c r="A56" s="107">
        <v>250</v>
      </c>
      <c r="B56" s="107">
        <v>273</v>
      </c>
      <c r="C56" s="157">
        <f t="shared" si="12"/>
        <v>107.9</v>
      </c>
      <c r="D56" s="157">
        <f t="shared" si="13"/>
        <v>488.8</v>
      </c>
      <c r="E56" s="157">
        <f t="shared" si="14"/>
        <v>500</v>
      </c>
      <c r="F56" s="157">
        <f t="shared" si="22"/>
        <v>0.75</v>
      </c>
      <c r="G56" s="108">
        <f t="shared" si="16"/>
        <v>18.704910098935187</v>
      </c>
      <c r="H56" s="108">
        <f t="shared" si="17"/>
        <v>10.793888839717724</v>
      </c>
      <c r="I56" s="108">
        <f t="shared" si="18"/>
        <v>15.454370456937783</v>
      </c>
      <c r="J56" s="108">
        <f t="shared" si="19"/>
        <v>8.9700391602141956</v>
      </c>
      <c r="K56" s="116">
        <f>(G56+H56)*'TV tinklas'!F54*'Pradiniai duomenys'!E$25*0.00000115</f>
        <v>0</v>
      </c>
      <c r="L56" s="116">
        <f>(I56+J56)*'TV tinklas'!K54*'Pradiniai duomenys'!E$25*0.00000115</f>
        <v>0</v>
      </c>
      <c r="M56" s="116">
        <f t="shared" si="21"/>
        <v>0</v>
      </c>
      <c r="N56" s="81">
        <f>IF(R21&gt;0.7,'Pradiniai duomenys'!$J$25,'Pradiniai duomenys'!$K$25)</f>
        <v>12.57423558897243</v>
      </c>
      <c r="O56" s="79" t="str">
        <f t="shared" si="20"/>
        <v>- grunto temperatūra</v>
      </c>
      <c r="R56" s="171"/>
      <c r="S56" s="91"/>
      <c r="T56" s="78"/>
      <c r="U56" s="78"/>
    </row>
    <row r="57" spans="1:21" x14ac:dyDescent="0.2">
      <c r="A57" s="107">
        <v>300</v>
      </c>
      <c r="B57" s="107">
        <v>323.89999999999998</v>
      </c>
      <c r="C57" s="157">
        <f t="shared" si="12"/>
        <v>112.05000000000001</v>
      </c>
      <c r="D57" s="157">
        <f t="shared" si="13"/>
        <v>548</v>
      </c>
      <c r="E57" s="157">
        <f t="shared" si="14"/>
        <v>560</v>
      </c>
      <c r="F57" s="157">
        <f t="shared" si="22"/>
        <v>0.81</v>
      </c>
      <c r="G57" s="108">
        <f t="shared" si="16"/>
        <v>20.70315422882798</v>
      </c>
      <c r="H57" s="108">
        <f t="shared" si="17"/>
        <v>11.921486721039921</v>
      </c>
      <c r="I57" s="108">
        <f t="shared" si="18"/>
        <v>17.108194953815083</v>
      </c>
      <c r="J57" s="108">
        <f t="shared" si="19"/>
        <v>9.9127245129710264</v>
      </c>
      <c r="K57" s="116">
        <f>(G57+H57)*'TV tinklas'!F55*'Pradiniai duomenys'!E$25*0.00000115</f>
        <v>0</v>
      </c>
      <c r="L57" s="116">
        <f>(I57+J57)*'TV tinklas'!K55*'Pradiniai duomenys'!E$25*0.00000115</f>
        <v>0</v>
      </c>
      <c r="M57" s="116">
        <f t="shared" si="21"/>
        <v>0</v>
      </c>
      <c r="N57" s="81">
        <f>IF(R22&gt;0.7,'Pradiniai duomenys'!$J$25,'Pradiniai duomenys'!$K$25)</f>
        <v>12.57423558897243</v>
      </c>
      <c r="O57" s="79" t="str">
        <f t="shared" si="20"/>
        <v>- grunto temperatūra</v>
      </c>
      <c r="R57" s="171"/>
      <c r="S57" s="91"/>
      <c r="T57" s="78"/>
      <c r="U57" s="78"/>
    </row>
    <row r="58" spans="1:21" x14ac:dyDescent="0.2">
      <c r="A58" s="107">
        <v>350</v>
      </c>
      <c r="B58" s="107">
        <v>355.6</v>
      </c>
      <c r="C58" s="157">
        <f t="shared" si="12"/>
        <v>130.59999999999997</v>
      </c>
      <c r="D58" s="157">
        <f t="shared" si="13"/>
        <v>616.79999999999995</v>
      </c>
      <c r="E58" s="157">
        <f t="shared" si="14"/>
        <v>630</v>
      </c>
      <c r="F58" s="157">
        <f t="shared" si="22"/>
        <v>0.88</v>
      </c>
      <c r="G58" s="108">
        <f t="shared" si="16"/>
        <v>19.865458635889382</v>
      </c>
      <c r="H58" s="108">
        <f t="shared" si="17"/>
        <v>11.472476652051601</v>
      </c>
      <c r="I58" s="108">
        <f t="shared" si="18"/>
        <v>16.401394735231715</v>
      </c>
      <c r="J58" s="108">
        <f t="shared" si="19"/>
        <v>9.5258797957410248</v>
      </c>
      <c r="K58" s="116">
        <f>(G58+H58)*'TV tinklas'!F56*'Pradiniai duomenys'!E$25*0.00000115</f>
        <v>0</v>
      </c>
      <c r="L58" s="116">
        <f>(I58+J58)*'TV tinklas'!K56*'Pradiniai duomenys'!E$25*0.00000115</f>
        <v>0</v>
      </c>
      <c r="M58" s="116">
        <f t="shared" si="21"/>
        <v>0</v>
      </c>
      <c r="N58" s="81">
        <f>IF(R23&gt;0.7,'Pradiniai duomenys'!$J$25,'Pradiniai duomenys'!$K$25)</f>
        <v>12.57423558897243</v>
      </c>
      <c r="O58" s="79" t="str">
        <f t="shared" si="20"/>
        <v>- grunto temperatūra</v>
      </c>
      <c r="R58" s="171"/>
      <c r="S58" s="91"/>
      <c r="T58" s="78"/>
      <c r="U58" s="78"/>
    </row>
    <row r="59" spans="1:21" x14ac:dyDescent="0.2">
      <c r="A59" s="107">
        <v>400</v>
      </c>
      <c r="B59" s="107">
        <v>406.4</v>
      </c>
      <c r="C59" s="157">
        <f t="shared" si="12"/>
        <v>144.60000000000002</v>
      </c>
      <c r="D59" s="157">
        <f t="shared" si="13"/>
        <v>695.6</v>
      </c>
      <c r="E59" s="157">
        <f t="shared" si="14"/>
        <v>710</v>
      </c>
      <c r="F59" s="157">
        <f t="shared" si="22"/>
        <v>0.96</v>
      </c>
      <c r="G59" s="108">
        <f t="shared" si="16"/>
        <v>20.40590884189443</v>
      </c>
      <c r="H59" s="108">
        <f t="shared" si="17"/>
        <v>11.791602020950631</v>
      </c>
      <c r="I59" s="108">
        <f t="shared" si="18"/>
        <v>16.8405540895684</v>
      </c>
      <c r="J59" s="108">
        <f t="shared" si="19"/>
        <v>9.7857685100722804</v>
      </c>
      <c r="K59" s="116">
        <f>(G59+H59)*'TV tinklas'!F57*'Pradiniai duomenys'!E$25*0.00000115</f>
        <v>0</v>
      </c>
      <c r="L59" s="116">
        <f>(I59+J59)*'TV tinklas'!K57*'Pradiniai duomenys'!E$25*0.00000115</f>
        <v>0</v>
      </c>
      <c r="M59" s="116">
        <f t="shared" si="21"/>
        <v>0</v>
      </c>
      <c r="N59" s="81">
        <f>IF(R24&gt;0.7,'Pradiniai duomenys'!$J$25,'Pradiniai duomenys'!$K$25)</f>
        <v>12.57423558897243</v>
      </c>
      <c r="O59" s="79" t="str">
        <f t="shared" si="20"/>
        <v>- grunto temperatūra</v>
      </c>
      <c r="R59" s="171"/>
      <c r="S59" s="91"/>
      <c r="T59" s="78"/>
      <c r="U59" s="78"/>
    </row>
    <row r="60" spans="1:21" x14ac:dyDescent="0.2">
      <c r="A60" s="107">
        <v>450</v>
      </c>
      <c r="B60" s="107">
        <v>457.2</v>
      </c>
      <c r="C60" s="157">
        <f t="shared" si="12"/>
        <v>163.50000000000003</v>
      </c>
      <c r="D60" s="157">
        <f t="shared" si="13"/>
        <v>784.2</v>
      </c>
      <c r="E60" s="157">
        <f t="shared" si="14"/>
        <v>800</v>
      </c>
      <c r="F60" s="157">
        <f t="shared" si="22"/>
        <v>1.05</v>
      </c>
      <c r="G60" s="108">
        <f t="shared" si="16"/>
        <v>20.392212648785144</v>
      </c>
      <c r="H60" s="108">
        <f t="shared" si="17"/>
        <v>11.800991949101695</v>
      </c>
      <c r="I60" s="108">
        <f t="shared" si="18"/>
        <v>16.819550776020105</v>
      </c>
      <c r="J60" s="108">
        <f t="shared" si="19"/>
        <v>9.7853410372135112</v>
      </c>
      <c r="K60" s="116">
        <f>(G60+H60)*'TV tinklas'!F58*'Pradiniai duomenys'!E$25*0.00000115</f>
        <v>0</v>
      </c>
      <c r="L60" s="116">
        <f>(I60+J60)*'TV tinklas'!K58*'Pradiniai duomenys'!E$25*0.00000115</f>
        <v>0</v>
      </c>
      <c r="M60" s="116">
        <f t="shared" si="21"/>
        <v>0</v>
      </c>
      <c r="N60" s="81">
        <f>IF(R25&gt;0.7,'Pradiniai duomenys'!$J$25,'Pradiniai duomenys'!$K$25)</f>
        <v>12.57423558897243</v>
      </c>
      <c r="O60" s="79" t="str">
        <f t="shared" si="20"/>
        <v>- grunto temperatūra</v>
      </c>
      <c r="R60" s="171"/>
      <c r="S60" s="91"/>
      <c r="T60" s="78"/>
      <c r="U60" s="78"/>
    </row>
    <row r="61" spans="1:21" x14ac:dyDescent="0.2">
      <c r="A61" s="107">
        <v>500</v>
      </c>
      <c r="B61" s="107">
        <v>508</v>
      </c>
      <c r="C61" s="157">
        <f t="shared" si="12"/>
        <v>187.3</v>
      </c>
      <c r="D61" s="157">
        <f t="shared" si="13"/>
        <v>882.6</v>
      </c>
      <c r="E61" s="157">
        <f t="shared" si="14"/>
        <v>900</v>
      </c>
      <c r="F61" s="157">
        <f t="shared" si="22"/>
        <v>1.1499999999999999</v>
      </c>
      <c r="G61" s="108">
        <f t="shared" si="16"/>
        <v>19.9889774988191</v>
      </c>
      <c r="H61" s="108">
        <f t="shared" si="17"/>
        <v>11.590254526299489</v>
      </c>
      <c r="I61" s="108">
        <f t="shared" si="18"/>
        <v>16.476423343905299</v>
      </c>
      <c r="J61" s="108">
        <f t="shared" si="19"/>
        <v>9.6010562551155019</v>
      </c>
      <c r="K61" s="116">
        <f>(G61+H61)*'TV tinklas'!F59*'Pradiniai duomenys'!E$25*0.00000115</f>
        <v>0</v>
      </c>
      <c r="L61" s="116">
        <f>(I61+J61)*'TV tinklas'!K59*'Pradiniai duomenys'!E$25*0.00000115</f>
        <v>0</v>
      </c>
      <c r="M61" s="116">
        <f t="shared" si="21"/>
        <v>0</v>
      </c>
      <c r="N61" s="81">
        <f>IF(R26&gt;0.7,'Pradiniai duomenys'!$J$25,'Pradiniai duomenys'!$K$25)</f>
        <v>12.57423558897243</v>
      </c>
      <c r="O61" s="79" t="str">
        <f t="shared" si="20"/>
        <v>- grunto temperatūra</v>
      </c>
      <c r="R61" s="171"/>
      <c r="S61" s="91"/>
      <c r="T61" s="78"/>
      <c r="U61" s="78"/>
    </row>
    <row r="62" spans="1:21" x14ac:dyDescent="0.2">
      <c r="A62" s="107">
        <v>550</v>
      </c>
      <c r="B62" s="107">
        <v>558.79999999999995</v>
      </c>
      <c r="C62" s="157">
        <f t="shared" si="12"/>
        <v>112.70000000000005</v>
      </c>
      <c r="D62" s="157">
        <f t="shared" si="13"/>
        <v>784.2</v>
      </c>
      <c r="E62" s="157">
        <f t="shared" si="14"/>
        <v>800</v>
      </c>
      <c r="F62" s="157">
        <f t="shared" si="22"/>
        <v>1.05</v>
      </c>
      <c r="G62" s="108">
        <f t="shared" si="16"/>
        <v>31.916547399464275</v>
      </c>
      <c r="H62" s="108">
        <f t="shared" si="17"/>
        <v>18.144279308619183</v>
      </c>
      <c r="I62" s="108">
        <f t="shared" si="18"/>
        <v>26.409500160267545</v>
      </c>
      <c r="J62" s="108">
        <f t="shared" si="19"/>
        <v>15.14379511289663</v>
      </c>
      <c r="K62" s="116">
        <f>(G62+H62)*'TV tinklas'!F60*'Pradiniai duomenys'!E$25*0.00000115</f>
        <v>0</v>
      </c>
      <c r="L62" s="116">
        <f>(I62+J62)*'TV tinklas'!K60*'Pradiniai duomenys'!E$25*0.00000115</f>
        <v>0</v>
      </c>
      <c r="M62" s="116">
        <f>SUM(K62:L62)</f>
        <v>0</v>
      </c>
      <c r="N62" s="81">
        <f>IF(R27&gt;0.7,'Pradiniai duomenys'!$J$25,'Pradiniai duomenys'!$K$25)</f>
        <v>12.57423558897243</v>
      </c>
      <c r="O62" s="79" t="str">
        <f t="shared" si="20"/>
        <v>- grunto temperatūra</v>
      </c>
      <c r="R62" s="172"/>
      <c r="S62" s="91"/>
      <c r="T62" s="78"/>
      <c r="U62" s="78"/>
    </row>
    <row r="63" spans="1:21" x14ac:dyDescent="0.2">
      <c r="A63" s="154">
        <v>600</v>
      </c>
      <c r="B63" s="154">
        <v>609.6</v>
      </c>
      <c r="C63" s="157">
        <f t="shared" si="12"/>
        <v>136.5</v>
      </c>
      <c r="D63" s="157">
        <f t="shared" si="13"/>
        <v>882.6</v>
      </c>
      <c r="E63" s="157">
        <f t="shared" si="14"/>
        <v>900</v>
      </c>
      <c r="F63" s="157">
        <f t="shared" si="22"/>
        <v>1.1499999999999999</v>
      </c>
      <c r="G63" s="108">
        <f t="shared" si="16"/>
        <v>29.46731820399815</v>
      </c>
      <c r="H63" s="108">
        <f t="shared" si="17"/>
        <v>16.851937345594816</v>
      </c>
      <c r="I63" s="108">
        <f t="shared" si="18"/>
        <v>24.346270317145216</v>
      </c>
      <c r="J63" s="108">
        <f t="shared" si="19"/>
        <v>14.028574702903153</v>
      </c>
      <c r="K63" s="116">
        <f>(G63+H63)*'TV tinklas'!F60*'Pradiniai duomenys'!E$25*0.00000115</f>
        <v>0</v>
      </c>
      <c r="L63" s="116">
        <f>(I63+J63)*'TV tinklas'!K60*'Pradiniai duomenys'!E$25*0.00000115</f>
        <v>0</v>
      </c>
      <c r="M63" s="116">
        <f t="shared" si="21"/>
        <v>0</v>
      </c>
      <c r="N63" s="81">
        <f>IF(R28&gt;0.7,'Pradiniai duomenys'!$J$25,'Pradiniai duomenys'!$K$25)</f>
        <v>12.57423558897243</v>
      </c>
      <c r="O63" s="79" t="str">
        <f t="shared" si="20"/>
        <v>- grunto temperatūra</v>
      </c>
      <c r="R63" s="171"/>
      <c r="S63" s="91"/>
      <c r="T63" s="78"/>
      <c r="U63" s="78"/>
    </row>
    <row r="64" spans="1:21" x14ac:dyDescent="0.2">
      <c r="A64" s="107">
        <v>700</v>
      </c>
      <c r="B64" s="107">
        <v>711</v>
      </c>
      <c r="C64" s="157">
        <f t="shared" si="12"/>
        <v>85.800000000000011</v>
      </c>
      <c r="D64" s="157">
        <f t="shared" si="13"/>
        <v>882.6</v>
      </c>
      <c r="E64" s="157">
        <f t="shared" si="14"/>
        <v>900</v>
      </c>
      <c r="F64" s="157">
        <f t="shared" si="22"/>
        <v>1.1499999999999999</v>
      </c>
      <c r="G64" s="108">
        <f t="shared" si="16"/>
        <v>49.053367969346553</v>
      </c>
      <c r="H64" s="108">
        <f t="shared" si="17"/>
        <v>27.204872494591346</v>
      </c>
      <c r="I64" s="108">
        <f t="shared" si="18"/>
        <v>40.7467146834083</v>
      </c>
      <c r="J64" s="108">
        <f t="shared" si="19"/>
        <v>22.903015565756029</v>
      </c>
      <c r="K64" s="116">
        <f>(G64+H64)*'TV tinklas'!F61*'Pradiniai duomenys'!E$25*0.00000115</f>
        <v>0</v>
      </c>
      <c r="L64" s="116">
        <f>(I64+J64)*'TV tinklas'!K61*'Pradiniai duomenys'!E$25*0.00000115</f>
        <v>0</v>
      </c>
      <c r="M64" s="116">
        <f t="shared" si="21"/>
        <v>0</v>
      </c>
      <c r="N64" s="81">
        <f>IF(R29&gt;0.7,'Pradiniai duomenys'!$J$25,'Pradiniai duomenys'!$K$25)</f>
        <v>12.57423558897243</v>
      </c>
      <c r="O64" s="79" t="str">
        <f t="shared" si="20"/>
        <v>- grunto temperatūra</v>
      </c>
      <c r="R64" s="171"/>
      <c r="S64" s="91"/>
      <c r="T64" s="78"/>
      <c r="U64" s="78"/>
    </row>
    <row r="65" spans="1:21" x14ac:dyDescent="0.2">
      <c r="A65" s="107">
        <v>800</v>
      </c>
      <c r="B65" s="107">
        <v>820</v>
      </c>
      <c r="C65" s="157">
        <f t="shared" si="12"/>
        <v>80.600000000000023</v>
      </c>
      <c r="D65" s="157">
        <f t="shared" si="13"/>
        <v>981.2</v>
      </c>
      <c r="E65" s="157">
        <f t="shared" si="14"/>
        <v>1000</v>
      </c>
      <c r="F65" s="157">
        <f t="shared" si="22"/>
        <v>1.25</v>
      </c>
      <c r="G65" s="108">
        <f t="shared" si="16"/>
        <v>58.701946666058689</v>
      </c>
      <c r="H65" s="108">
        <f t="shared" si="17"/>
        <v>32.159978037779545</v>
      </c>
      <c r="I65" s="108">
        <f t="shared" si="18"/>
        <v>48.832911743617849</v>
      </c>
      <c r="J65" s="108">
        <f t="shared" si="19"/>
        <v>27.181014396953593</v>
      </c>
      <c r="K65" s="116">
        <f>(G65+H65)*'TV tinklas'!F62*'Pradiniai duomenys'!E$25*0.00000115</f>
        <v>0</v>
      </c>
      <c r="L65" s="116">
        <f>(I65+J65)*'TV tinklas'!K62*'Pradiniai duomenys'!E$25*0.00000115</f>
        <v>0</v>
      </c>
      <c r="M65" s="116">
        <f t="shared" si="21"/>
        <v>0</v>
      </c>
      <c r="N65" s="81">
        <f>IF(R30&gt;0.7,'Pradiniai duomenys'!$J$25,'Pradiniai duomenys'!$K$25)</f>
        <v>12.57423558897243</v>
      </c>
      <c r="O65" s="79" t="str">
        <f t="shared" si="20"/>
        <v>- grunto temperatūra</v>
      </c>
      <c r="R65" s="171"/>
      <c r="S65" s="91"/>
      <c r="T65" s="78"/>
      <c r="U65" s="78"/>
    </row>
    <row r="66" spans="1:21" x14ac:dyDescent="0.2">
      <c r="A66" s="107">
        <v>900</v>
      </c>
      <c r="B66" s="107">
        <v>914</v>
      </c>
      <c r="C66" s="157">
        <f t="shared" si="12"/>
        <v>82.799999999999955</v>
      </c>
      <c r="D66" s="157">
        <f t="shared" si="13"/>
        <v>1079.5999999999999</v>
      </c>
      <c r="E66" s="157">
        <f t="shared" si="14"/>
        <v>1100</v>
      </c>
      <c r="F66" s="157">
        <f>E66/1000+0.25</f>
        <v>1.35</v>
      </c>
      <c r="G66" s="108">
        <f t="shared" si="16"/>
        <v>63.337835600930532</v>
      </c>
      <c r="H66" s="108">
        <f t="shared" si="17"/>
        <v>34.567688280273643</v>
      </c>
      <c r="I66" s="108">
        <f t="shared" si="18"/>
        <v>52.687625709076407</v>
      </c>
      <c r="J66" s="108">
        <f t="shared" si="19"/>
        <v>29.238987901127949</v>
      </c>
      <c r="K66" s="116">
        <f>(G66+H66)*'TV tinklas'!F63*'Pradiniai duomenys'!E$25*0.00000115</f>
        <v>0</v>
      </c>
      <c r="L66" s="116">
        <f>(I66+J66)*'TV tinklas'!K63*'Pradiniai duomenys'!E$25*0.00000115</f>
        <v>0</v>
      </c>
      <c r="M66" s="116">
        <f t="shared" si="21"/>
        <v>0</v>
      </c>
      <c r="N66" s="81">
        <f>IF(R31&gt;0.7,'Pradiniai duomenys'!$J$25,'Pradiniai duomenys'!$K$25)</f>
        <v>12.57423558897243</v>
      </c>
      <c r="O66" s="79" t="str">
        <f t="shared" si="20"/>
        <v>- grunto temperatūra</v>
      </c>
      <c r="R66" s="171"/>
      <c r="S66" s="91"/>
      <c r="T66" s="78"/>
      <c r="U66" s="78"/>
    </row>
    <row r="67" spans="1:21" x14ac:dyDescent="0.2">
      <c r="A67" s="107">
        <v>1000</v>
      </c>
      <c r="B67" s="107">
        <v>1016</v>
      </c>
      <c r="C67" s="157">
        <f t="shared" si="12"/>
        <v>81</v>
      </c>
      <c r="D67" s="157">
        <f t="shared" si="13"/>
        <v>1178</v>
      </c>
      <c r="E67" s="157">
        <f t="shared" si="14"/>
        <v>1200</v>
      </c>
      <c r="F67" s="157">
        <f>E67/1000+0.25</f>
        <v>1.45</v>
      </c>
      <c r="G67" s="108">
        <f t="shared" si="16"/>
        <v>71.094351219967137</v>
      </c>
      <c r="H67" s="108">
        <f t="shared" si="17"/>
        <v>38.462162871765734</v>
      </c>
      <c r="I67" s="108">
        <f t="shared" si="18"/>
        <v>59.185659867803182</v>
      </c>
      <c r="J67" s="108">
        <f t="shared" si="19"/>
        <v>32.618337526313148</v>
      </c>
      <c r="K67" s="116">
        <f>(G67+H67)*'TV tinklas'!F64*'Pradiniai duomenys'!E$25*0.00000115</f>
        <v>0</v>
      </c>
      <c r="L67" s="116">
        <f>(I67+J67)*'TV tinklas'!K64*'Pradiniai duomenys'!E$25*0.00000115</f>
        <v>0</v>
      </c>
      <c r="M67" s="116">
        <f t="shared" si="21"/>
        <v>0</v>
      </c>
      <c r="N67" s="81">
        <f>IF(R32&gt;0.7,'Pradiniai duomenys'!$J$25,'Pradiniai duomenys'!$K$25)</f>
        <v>12.57423558897243</v>
      </c>
      <c r="O67" s="79" t="str">
        <f t="shared" si="20"/>
        <v>- grunto temperatūra</v>
      </c>
      <c r="R67" s="171"/>
      <c r="S67" s="91"/>
      <c r="T67" s="78"/>
      <c r="U67" s="78"/>
    </row>
    <row r="68" spans="1:21" x14ac:dyDescent="0.2">
      <c r="A68" s="107">
        <v>1100</v>
      </c>
      <c r="B68" s="107">
        <v>1118</v>
      </c>
      <c r="C68" s="157">
        <f t="shared" si="12"/>
        <v>79.200000000000045</v>
      </c>
      <c r="D68" s="157">
        <f t="shared" si="13"/>
        <v>1276.4000000000001</v>
      </c>
      <c r="E68" s="157">
        <f t="shared" si="14"/>
        <v>1300</v>
      </c>
      <c r="F68" s="157">
        <f>E68/1000+0.25</f>
        <v>1.55</v>
      </c>
      <c r="G68" s="108">
        <f t="shared" si="16"/>
        <v>79.171250417400117</v>
      </c>
      <c r="H68" s="108">
        <f t="shared" si="17"/>
        <v>42.43992342056422</v>
      </c>
      <c r="I68" s="108">
        <f t="shared" si="18"/>
        <v>65.962787708798515</v>
      </c>
      <c r="J68" s="108">
        <f t="shared" si="19"/>
        <v>36.091823548717379</v>
      </c>
      <c r="K68" s="116">
        <f>(G68+H68)*'TV tinklas'!F65*'Pradiniai duomenys'!E$25*0.00000115</f>
        <v>0</v>
      </c>
      <c r="L68" s="116">
        <f>(I68+J68)*'TV tinklas'!K65*'Pradiniai duomenys'!E$25*0.00000115</f>
        <v>0</v>
      </c>
      <c r="M68" s="116">
        <f t="shared" si="21"/>
        <v>0</v>
      </c>
      <c r="N68" s="81">
        <f>IF(R33&gt;0.7,'Pradiniai duomenys'!$J$25,'Pradiniai duomenys'!$K$25)</f>
        <v>12.57423558897243</v>
      </c>
      <c r="O68" s="79" t="str">
        <f t="shared" si="20"/>
        <v>- grunto temperatūra</v>
      </c>
      <c r="R68" s="171"/>
      <c r="S68" s="91"/>
      <c r="T68" s="78"/>
      <c r="U68" s="78"/>
    </row>
    <row r="69" spans="1:21" x14ac:dyDescent="0.2">
      <c r="A69" s="107">
        <v>1200</v>
      </c>
      <c r="B69" s="107">
        <v>1219</v>
      </c>
      <c r="C69" s="157">
        <f t="shared" si="12"/>
        <v>78</v>
      </c>
      <c r="D69" s="157">
        <f t="shared" si="13"/>
        <v>1375</v>
      </c>
      <c r="E69" s="157">
        <f t="shared" si="14"/>
        <v>1400</v>
      </c>
      <c r="F69" s="157">
        <f>E69/1000+0.25</f>
        <v>1.65</v>
      </c>
      <c r="G69" s="108">
        <f t="shared" si="16"/>
        <v>86.950124088475661</v>
      </c>
      <c r="H69" s="108">
        <f t="shared" si="17"/>
        <v>46.207444184081773</v>
      </c>
      <c r="I69" s="108">
        <f t="shared" si="18"/>
        <v>72.494079478997406</v>
      </c>
      <c r="J69" s="108">
        <f t="shared" si="19"/>
        <v>39.398072735338651</v>
      </c>
      <c r="K69" s="116">
        <f>(G69+H69)*'TV tinklas'!F66*'Pradiniai duomenys'!E$25*0.00000115</f>
        <v>0</v>
      </c>
      <c r="L69" s="116">
        <f>(I69+J69)*'TV tinklas'!K66*'Pradiniai duomenys'!E$25*0.00000115</f>
        <v>0</v>
      </c>
      <c r="M69" s="116">
        <f t="shared" si="21"/>
        <v>0</v>
      </c>
      <c r="N69" s="81">
        <f>IF(R34&gt;0.7,'Pradiniai duomenys'!$J$25,'Pradiniai duomenys'!$K$25)</f>
        <v>12.57423558897243</v>
      </c>
      <c r="O69" s="79" t="str">
        <f t="shared" si="20"/>
        <v>- grunto temperatūra</v>
      </c>
      <c r="R69" s="171"/>
      <c r="S69" s="91"/>
      <c r="T69" s="78"/>
      <c r="U69" s="78"/>
    </row>
    <row r="70" spans="1:21" x14ac:dyDescent="0.2">
      <c r="A70" s="113" t="s">
        <v>40</v>
      </c>
      <c r="J70" s="113" t="s">
        <v>138</v>
      </c>
      <c r="K70" s="174">
        <f>SUM(K46:K69)</f>
        <v>0</v>
      </c>
      <c r="L70" s="174">
        <f>SUM(L46:L69)</f>
        <v>9.2322561142190231</v>
      </c>
      <c r="M70" s="174">
        <f>SUM(M46:M69)</f>
        <v>9.2322561142190231</v>
      </c>
      <c r="S70" s="91"/>
      <c r="T70" s="78"/>
      <c r="U70" s="78"/>
    </row>
    <row r="71" spans="1:21" x14ac:dyDescent="0.2">
      <c r="A71" s="112" t="s">
        <v>323</v>
      </c>
    </row>
    <row r="72" spans="1:21" x14ac:dyDescent="0.2">
      <c r="A72" s="112" t="s">
        <v>98</v>
      </c>
      <c r="O72" s="169"/>
    </row>
    <row r="73" spans="1:21" x14ac:dyDescent="0.2">
      <c r="A73" s="112" t="s">
        <v>324</v>
      </c>
      <c r="O73" s="169"/>
    </row>
  </sheetData>
  <protectedRanges>
    <protectedRange sqref="D11:E34 W11:W34" name="Range3"/>
    <protectedRange sqref="F11:F34 V11:V34" name="Range1"/>
    <protectedRange sqref="H11:H34" name="Range2"/>
  </protectedRanges>
  <mergeCells count="34">
    <mergeCell ref="A2:P2"/>
    <mergeCell ref="A3:P3"/>
    <mergeCell ref="A8:B8"/>
    <mergeCell ref="C8:C10"/>
    <mergeCell ref="D8:D10"/>
    <mergeCell ref="E8:E10"/>
    <mergeCell ref="F8:F10"/>
    <mergeCell ref="G8:G10"/>
    <mergeCell ref="H8:H10"/>
    <mergeCell ref="I8:I10"/>
    <mergeCell ref="U8:U10"/>
    <mergeCell ref="A9:A10"/>
    <mergeCell ref="B9:B10"/>
    <mergeCell ref="A43:B43"/>
    <mergeCell ref="C43:C45"/>
    <mergeCell ref="D43:D45"/>
    <mergeCell ref="E43:E45"/>
    <mergeCell ref="F43:F45"/>
    <mergeCell ref="J8:K9"/>
    <mergeCell ref="L8:M9"/>
    <mergeCell ref="N8:N10"/>
    <mergeCell ref="O8:O10"/>
    <mergeCell ref="P8:P10"/>
    <mergeCell ref="R8:R10"/>
    <mergeCell ref="L43:L45"/>
    <mergeCell ref="M43:M45"/>
    <mergeCell ref="N43:N45"/>
    <mergeCell ref="S8:S10"/>
    <mergeCell ref="T8:T10"/>
    <mergeCell ref="A44:A45"/>
    <mergeCell ref="B44:B45"/>
    <mergeCell ref="G43:H44"/>
    <mergeCell ref="I43:J44"/>
    <mergeCell ref="K43:K45"/>
  </mergeCells>
  <printOptions horizontalCentered="1" verticalCentered="1"/>
  <pageMargins left="0.4" right="0.4" top="0.98425196850393704" bottom="0.98425196850393704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8"/>
  <sheetViews>
    <sheetView showGridLines="0" showZeros="0" topLeftCell="A4" zoomScale="85" zoomScaleNormal="85" workbookViewId="0">
      <selection activeCell="K9" sqref="K9"/>
    </sheetView>
  </sheetViews>
  <sheetFormatPr defaultColWidth="9.33203125" defaultRowHeight="12.75" x14ac:dyDescent="0.2"/>
  <cols>
    <col min="1" max="2" width="16" style="103" customWidth="1"/>
    <col min="3" max="8" width="16" style="103" hidden="1" customWidth="1"/>
    <col min="9" max="12" width="16" style="103" customWidth="1"/>
    <col min="13" max="13" width="2.5" style="103" customWidth="1"/>
    <col min="14" max="14" width="10" style="103" bestFit="1" customWidth="1"/>
    <col min="15" max="15" width="17.83203125" style="103" customWidth="1"/>
    <col min="16" max="16" width="23" style="103" customWidth="1"/>
    <col min="17" max="17" width="32.5" style="103" customWidth="1"/>
    <col min="18" max="18" width="11.5" style="103" customWidth="1"/>
    <col min="19" max="19" width="17.6640625" style="103" customWidth="1"/>
    <col min="20" max="20" width="9.33203125" style="103"/>
    <col min="21" max="21" width="11.5" style="103" customWidth="1"/>
    <col min="22" max="16384" width="9.33203125" style="103"/>
  </cols>
  <sheetData>
    <row r="1" spans="1:24" ht="7.5" customHeight="1" x14ac:dyDescent="0.2">
      <c r="A1" s="103">
        <f>'Pradiniai duomenys'!A1</f>
        <v>0</v>
      </c>
    </row>
    <row r="2" spans="1:24" ht="15.75" x14ac:dyDescent="0.25">
      <c r="A2" s="535" t="s">
        <v>304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</row>
    <row r="3" spans="1:24" ht="6" customHeight="1" x14ac:dyDescent="0.25">
      <c r="A3" s="252"/>
      <c r="B3" s="90"/>
      <c r="C3" s="90"/>
      <c r="E3" s="104"/>
    </row>
    <row r="4" spans="1:24" x14ac:dyDescent="0.2">
      <c r="A4" s="253" t="s">
        <v>279</v>
      </c>
      <c r="D4" s="104"/>
      <c r="I4" s="254"/>
      <c r="J4" s="254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ht="14.25" x14ac:dyDescent="0.2">
      <c r="A5" s="255"/>
      <c r="B5" s="256"/>
      <c r="C5" s="541" t="s">
        <v>112</v>
      </c>
      <c r="D5" s="542"/>
      <c r="E5" s="542"/>
      <c r="F5" s="542"/>
      <c r="G5" s="542"/>
      <c r="H5" s="541" t="s">
        <v>113</v>
      </c>
      <c r="I5" s="542"/>
      <c r="J5" s="542"/>
      <c r="K5" s="542"/>
      <c r="L5" s="543"/>
      <c r="M5" s="257"/>
      <c r="N5" s="536"/>
      <c r="O5" s="536"/>
      <c r="P5" s="536"/>
      <c r="Q5" s="536"/>
      <c r="R5" s="536"/>
      <c r="S5" s="90"/>
      <c r="T5" s="90"/>
      <c r="U5" s="90"/>
      <c r="V5" s="90"/>
      <c r="W5" s="90"/>
      <c r="X5" s="90"/>
    </row>
    <row r="6" spans="1:24" ht="12.75" customHeight="1" x14ac:dyDescent="0.2">
      <c r="A6" s="258" t="s">
        <v>82</v>
      </c>
      <c r="B6" s="259" t="s">
        <v>83</v>
      </c>
      <c r="C6" s="259" t="s">
        <v>83</v>
      </c>
      <c r="D6" s="259" t="s">
        <v>132</v>
      </c>
      <c r="E6" s="259" t="s">
        <v>133</v>
      </c>
      <c r="F6" s="259" t="s">
        <v>134</v>
      </c>
      <c r="G6" s="260" t="s">
        <v>137</v>
      </c>
      <c r="H6" s="259" t="s">
        <v>83</v>
      </c>
      <c r="I6" s="545" t="s">
        <v>347</v>
      </c>
      <c r="J6" s="545" t="s">
        <v>349</v>
      </c>
      <c r="K6" s="547" t="s">
        <v>348</v>
      </c>
      <c r="L6" s="545" t="s">
        <v>350</v>
      </c>
    </row>
    <row r="7" spans="1:24" ht="12.75" customHeight="1" x14ac:dyDescent="0.2">
      <c r="A7" s="258" t="s">
        <v>299</v>
      </c>
      <c r="B7" s="259" t="s">
        <v>26</v>
      </c>
      <c r="C7" s="259" t="s">
        <v>26</v>
      </c>
      <c r="D7" s="259" t="s">
        <v>300</v>
      </c>
      <c r="E7" s="259" t="s">
        <v>301</v>
      </c>
      <c r="F7" s="259" t="s">
        <v>302</v>
      </c>
      <c r="G7" s="260" t="s">
        <v>303</v>
      </c>
      <c r="H7" s="259" t="s">
        <v>26</v>
      </c>
      <c r="I7" s="546"/>
      <c r="J7" s="546"/>
      <c r="K7" s="548"/>
      <c r="L7" s="546"/>
    </row>
    <row r="8" spans="1:24" ht="10.5" customHeight="1" x14ac:dyDescent="0.2">
      <c r="A8" s="205" t="s">
        <v>0</v>
      </c>
      <c r="B8" s="261" t="s">
        <v>88</v>
      </c>
      <c r="C8" s="261" t="s">
        <v>1</v>
      </c>
      <c r="D8" s="261" t="s">
        <v>1</v>
      </c>
      <c r="E8" s="261" t="s">
        <v>1</v>
      </c>
      <c r="F8" s="261" t="s">
        <v>1</v>
      </c>
      <c r="G8" s="262" t="s">
        <v>1</v>
      </c>
      <c r="H8" s="261" t="s">
        <v>1</v>
      </c>
      <c r="I8" s="262" t="s">
        <v>1</v>
      </c>
      <c r="J8" s="261" t="s">
        <v>1</v>
      </c>
      <c r="K8" s="262" t="s">
        <v>1</v>
      </c>
      <c r="L8" s="262" t="s">
        <v>1</v>
      </c>
    </row>
    <row r="9" spans="1:24" x14ac:dyDescent="0.2">
      <c r="A9" s="98">
        <v>25</v>
      </c>
      <c r="B9" s="263">
        <f>SUM(C9+H9)</f>
        <v>0</v>
      </c>
      <c r="C9" s="264">
        <f t="shared" ref="C9:C31" si="0">SUM(D9:G9)</f>
        <v>0</v>
      </c>
      <c r="D9" s="95"/>
      <c r="E9" s="95"/>
      <c r="F9" s="95"/>
      <c r="G9" s="95"/>
      <c r="H9" s="264">
        <f t="shared" ref="H9:H32" si="1">SUM(I9:L9)</f>
        <v>0</v>
      </c>
      <c r="I9" s="95">
        <f>IF(I$6='Prijungimas prie CŠT'!$M$4,IF('TV tinklas'!$A9='Prijungimas prie CŠT'!$M$6,'Prijungimas prie CŠT'!$M$5,0),0)</f>
        <v>0</v>
      </c>
      <c r="J9" s="95">
        <f>IF(J$6='Prijungimas prie CŠT'!$M$4,IF('TV tinklas'!$A9='Prijungimas prie CŠT'!$M$6,'Prijungimas prie CŠT'!$M$5,0),0)</f>
        <v>0</v>
      </c>
      <c r="K9" s="95">
        <f>IF(K$6='Prijungimas prie CŠT'!$M$4,IF('TV tinklas'!$A9='Prijungimas prie CŠT'!$M$6,'Prijungimas prie CŠT'!$M$5,0),0)</f>
        <v>0</v>
      </c>
      <c r="L9" s="95">
        <f>IF(L$6='Prijungimas prie CŠT'!$M$4,IF('TV tinklas'!$A9='Prijungimas prie CŠT'!$M$6,'Prijungimas prie CŠT'!$M$5,0),0)</f>
        <v>0</v>
      </c>
    </row>
    <row r="10" spans="1:24" x14ac:dyDescent="0.2">
      <c r="A10" s="98">
        <v>32</v>
      </c>
      <c r="B10" s="263">
        <f t="shared" ref="B10:B31" si="2">SUM(C10+H10)</f>
        <v>0</v>
      </c>
      <c r="C10" s="264">
        <f t="shared" si="0"/>
        <v>0</v>
      </c>
      <c r="D10" s="95"/>
      <c r="E10" s="95"/>
      <c r="F10" s="95"/>
      <c r="G10" s="95"/>
      <c r="H10" s="264">
        <f t="shared" si="1"/>
        <v>0</v>
      </c>
      <c r="I10" s="95">
        <f>IF(I$6='Prijungimas prie CŠT'!$M$4,IF('TV tinklas'!$A10='Prijungimas prie CŠT'!$M$6,'Prijungimas prie CŠT'!$M$5,0),0)</f>
        <v>0</v>
      </c>
      <c r="J10" s="95">
        <f>IF(J$6='Prijungimas prie CŠT'!$M$4,IF('TV tinklas'!$A10='Prijungimas prie CŠT'!$M$6,'Prijungimas prie CŠT'!$M$5,0),0)</f>
        <v>0</v>
      </c>
      <c r="K10" s="95">
        <f>IF(K$6='Prijungimas prie CŠT'!$M$4,IF('TV tinklas'!$A10='Prijungimas prie CŠT'!$M$6,'Prijungimas prie CŠT'!$M$5,0),0)</f>
        <v>0</v>
      </c>
      <c r="L10" s="95">
        <f>IF(L$6='Prijungimas prie CŠT'!$M$4,IF('TV tinklas'!$A10='Prijungimas prie CŠT'!$M$6,'Prijungimas prie CŠT'!$M$5,0),0)</f>
        <v>0</v>
      </c>
    </row>
    <row r="11" spans="1:24" x14ac:dyDescent="0.2">
      <c r="A11" s="98">
        <v>40</v>
      </c>
      <c r="B11" s="263">
        <f t="shared" si="2"/>
        <v>0</v>
      </c>
      <c r="C11" s="264">
        <f t="shared" si="0"/>
        <v>0</v>
      </c>
      <c r="D11" s="95"/>
      <c r="E11" s="95"/>
      <c r="F11" s="95"/>
      <c r="G11" s="95"/>
      <c r="H11" s="264">
        <f t="shared" si="1"/>
        <v>0</v>
      </c>
      <c r="I11" s="95">
        <f>IF(I$6='Prijungimas prie CŠT'!$M$4,IF('TV tinklas'!$A11='Prijungimas prie CŠT'!$M$6,'Prijungimas prie CŠT'!$M$5,0),0)</f>
        <v>0</v>
      </c>
      <c r="J11" s="95">
        <f>IF(J$6='Prijungimas prie CŠT'!$M$4,IF('TV tinklas'!$A11='Prijungimas prie CŠT'!$M$6,'Prijungimas prie CŠT'!$M$5,0),0)</f>
        <v>0</v>
      </c>
      <c r="K11" s="95">
        <f>IF(K$6='Prijungimas prie CŠT'!$M$4,IF('TV tinklas'!$A11='Prijungimas prie CŠT'!$M$6,'Prijungimas prie CŠT'!$M$5,0),0)</f>
        <v>0</v>
      </c>
      <c r="L11" s="95">
        <f>IF(L$6='Prijungimas prie CŠT'!$M$4,IF('TV tinklas'!$A11='Prijungimas prie CŠT'!$M$6,'Prijungimas prie CŠT'!$M$5,0),0)</f>
        <v>0</v>
      </c>
    </row>
    <row r="12" spans="1:24" x14ac:dyDescent="0.2">
      <c r="A12" s="98">
        <v>50</v>
      </c>
      <c r="B12" s="263">
        <f t="shared" si="2"/>
        <v>0</v>
      </c>
      <c r="C12" s="264">
        <f t="shared" si="0"/>
        <v>0</v>
      </c>
      <c r="D12" s="95"/>
      <c r="E12" s="95"/>
      <c r="F12" s="95"/>
      <c r="G12" s="95"/>
      <c r="H12" s="264">
        <f t="shared" si="1"/>
        <v>0</v>
      </c>
      <c r="I12" s="95">
        <f>IF(I$6='Prijungimas prie CŠT'!$M$4,IF('TV tinklas'!$A12='Prijungimas prie CŠT'!$M$6,'Prijungimas prie CŠT'!$M$5,0),0)</f>
        <v>0</v>
      </c>
      <c r="J12" s="95">
        <f>IF(J$6='Prijungimas prie CŠT'!$M$4,IF('TV tinklas'!$A12='Prijungimas prie CŠT'!$M$6,'Prijungimas prie CŠT'!$M$5,0),0)</f>
        <v>0</v>
      </c>
      <c r="K12" s="95">
        <f>IF(K$6='Prijungimas prie CŠT'!$M$4,IF('TV tinklas'!$A12='Prijungimas prie CŠT'!$M$6,'Prijungimas prie CŠT'!$M$5,0),0)</f>
        <v>0</v>
      </c>
      <c r="L12" s="95">
        <f>IF(L$6='Prijungimas prie CŠT'!$M$4,IF('TV tinklas'!$A12='Prijungimas prie CŠT'!$M$6,'Prijungimas prie CŠT'!$M$5,0),0)</f>
        <v>0</v>
      </c>
    </row>
    <row r="13" spans="1:24" x14ac:dyDescent="0.2">
      <c r="A13" s="98">
        <v>65</v>
      </c>
      <c r="B13" s="263">
        <f>SUM(C13+H13)</f>
        <v>0</v>
      </c>
      <c r="C13" s="264">
        <f t="shared" si="0"/>
        <v>0</v>
      </c>
      <c r="D13" s="95"/>
      <c r="E13" s="272"/>
      <c r="F13" s="95"/>
      <c r="G13" s="95"/>
      <c r="H13" s="264">
        <f t="shared" si="1"/>
        <v>0</v>
      </c>
      <c r="I13" s="95">
        <f>IF(I$6='Prijungimas prie CŠT'!$M$4,IF('TV tinklas'!$A13='Prijungimas prie CŠT'!$M$6,'Prijungimas prie CŠT'!$M$5,0),0)</f>
        <v>0</v>
      </c>
      <c r="J13" s="95">
        <f>IF(J$6='Prijungimas prie CŠT'!$M$4,IF('TV tinklas'!$A13='Prijungimas prie CŠT'!$M$6,'Prijungimas prie CŠT'!$M$5,0),0)</f>
        <v>0</v>
      </c>
      <c r="K13" s="95">
        <f>IF(K$6='Prijungimas prie CŠT'!$M$4,IF('TV tinklas'!$A13='Prijungimas prie CŠT'!$M$6,'Prijungimas prie CŠT'!$M$5,0),0)</f>
        <v>0</v>
      </c>
      <c r="L13" s="95">
        <f>IF(L$6='Prijungimas prie CŠT'!$M$4,IF('TV tinklas'!$A13='Prijungimas prie CŠT'!$M$6,'Prijungimas prie CŠT'!$M$5,0),0)</f>
        <v>0</v>
      </c>
    </row>
    <row r="14" spans="1:24" x14ac:dyDescent="0.2">
      <c r="A14" s="98">
        <v>70</v>
      </c>
      <c r="B14" s="263">
        <f t="shared" si="2"/>
        <v>0</v>
      </c>
      <c r="C14" s="264">
        <f t="shared" si="0"/>
        <v>0</v>
      </c>
      <c r="D14" s="95"/>
      <c r="E14" s="95"/>
      <c r="F14" s="272"/>
      <c r="G14" s="95"/>
      <c r="H14" s="264">
        <f t="shared" si="1"/>
        <v>0</v>
      </c>
      <c r="I14" s="95">
        <f>IF(I$6='Prijungimas prie CŠT'!$M$4,IF('TV tinklas'!$A14='Prijungimas prie CŠT'!$M$6,'Prijungimas prie CŠT'!$M$5,0),0)</f>
        <v>0</v>
      </c>
      <c r="J14" s="95">
        <f>IF(J$6='Prijungimas prie CŠT'!$M$4,IF('TV tinklas'!$A14='Prijungimas prie CŠT'!$M$6,'Prijungimas prie CŠT'!$M$5,0),0)</f>
        <v>0</v>
      </c>
      <c r="K14" s="95">
        <f>IF(K$6='Prijungimas prie CŠT'!$M$4,IF('TV tinklas'!$A14='Prijungimas prie CŠT'!$M$6,'Prijungimas prie CŠT'!$M$5,0),0)</f>
        <v>0</v>
      </c>
      <c r="L14" s="95">
        <f>IF(L$6='Prijungimas prie CŠT'!$M$4,IF('TV tinklas'!$A14='Prijungimas prie CŠT'!$M$6,'Prijungimas prie CŠT'!$M$5,0),0)</f>
        <v>0</v>
      </c>
    </row>
    <row r="15" spans="1:24" x14ac:dyDescent="0.2">
      <c r="A15" s="98">
        <v>80</v>
      </c>
      <c r="B15" s="263">
        <f t="shared" si="2"/>
        <v>0</v>
      </c>
      <c r="C15" s="264">
        <f t="shared" si="0"/>
        <v>0</v>
      </c>
      <c r="D15" s="95"/>
      <c r="E15" s="95"/>
      <c r="F15" s="95"/>
      <c r="G15" s="95"/>
      <c r="H15" s="264">
        <f t="shared" si="1"/>
        <v>0</v>
      </c>
      <c r="I15" s="95">
        <f>IF(I$6='Prijungimas prie CŠT'!$M$4,IF('TV tinklas'!$A15='Prijungimas prie CŠT'!$M$6,'Prijungimas prie CŠT'!$M$5,0),0)</f>
        <v>0</v>
      </c>
      <c r="J15" s="95">
        <f>IF(J$6='Prijungimas prie CŠT'!$M$4,IF('TV tinklas'!$A15='Prijungimas prie CŠT'!$M$6,'Prijungimas prie CŠT'!$M$5,0),0)</f>
        <v>0</v>
      </c>
      <c r="K15" s="95">
        <f>IF(K$6='Prijungimas prie CŠT'!$M$4,IF('TV tinklas'!$A15='Prijungimas prie CŠT'!$M$6,'Prijungimas prie CŠT'!$M$5,0),0)</f>
        <v>0</v>
      </c>
      <c r="L15" s="95">
        <f>IF(L$6='Prijungimas prie CŠT'!$M$4,IF('TV tinklas'!$A15='Prijungimas prie CŠT'!$M$6,'Prijungimas prie CŠT'!$M$5,0),0)</f>
        <v>0</v>
      </c>
    </row>
    <row r="16" spans="1:24" x14ac:dyDescent="0.2">
      <c r="A16" s="98">
        <v>100</v>
      </c>
      <c r="B16" s="263">
        <f t="shared" si="2"/>
        <v>100</v>
      </c>
      <c r="C16" s="264">
        <f t="shared" si="0"/>
        <v>0</v>
      </c>
      <c r="D16" s="95"/>
      <c r="E16" s="95"/>
      <c r="F16" s="95"/>
      <c r="G16" s="95"/>
      <c r="H16" s="264">
        <f t="shared" si="1"/>
        <v>100</v>
      </c>
      <c r="I16" s="95">
        <f>IF(I$6='Prijungimas prie CŠT'!$M$4,IF('TV tinklas'!$A16='Prijungimas prie CŠT'!$M$6,'Prijungimas prie CŠT'!$M$5,0),0)</f>
        <v>0</v>
      </c>
      <c r="J16" s="95">
        <f>IF(J$6='Prijungimas prie CŠT'!$M$4,IF('TV tinklas'!$A16='Prijungimas prie CŠT'!$M$6,'Prijungimas prie CŠT'!$M$5,0),0)</f>
        <v>0</v>
      </c>
      <c r="K16" s="95">
        <f>IF(K$6='Prijungimas prie CŠT'!$M$4,IF('TV tinklas'!$A16='Prijungimas prie CŠT'!$M$6,'Prijungimas prie CŠT'!$M$5,0),0)</f>
        <v>100</v>
      </c>
      <c r="L16" s="95">
        <f>IF(L$6='Prijungimas prie CŠT'!$M$4,IF('TV tinklas'!$A16='Prijungimas prie CŠT'!$M$6,'Prijungimas prie CŠT'!$M$5,0),0)</f>
        <v>0</v>
      </c>
    </row>
    <row r="17" spans="1:12" x14ac:dyDescent="0.2">
      <c r="A17" s="98">
        <v>125</v>
      </c>
      <c r="B17" s="263">
        <f t="shared" si="2"/>
        <v>0</v>
      </c>
      <c r="C17" s="264">
        <f t="shared" si="0"/>
        <v>0</v>
      </c>
      <c r="D17" s="95"/>
      <c r="E17" s="95"/>
      <c r="F17" s="95"/>
      <c r="G17" s="95"/>
      <c r="H17" s="264">
        <f t="shared" si="1"/>
        <v>0</v>
      </c>
      <c r="I17" s="95">
        <f>IF(I$6='Prijungimas prie CŠT'!$M$4,IF('TV tinklas'!$A17='Prijungimas prie CŠT'!$M$6,'Prijungimas prie CŠT'!$M$5,0),0)</f>
        <v>0</v>
      </c>
      <c r="J17" s="95">
        <f>IF(J$6='Prijungimas prie CŠT'!$M$4,IF('TV tinklas'!$A17='Prijungimas prie CŠT'!$M$6,'Prijungimas prie CŠT'!$M$5,0),0)</f>
        <v>0</v>
      </c>
      <c r="K17" s="95">
        <f>IF(K$6='Prijungimas prie CŠT'!$M$4,IF('TV tinklas'!$A17='Prijungimas prie CŠT'!$M$6,'Prijungimas prie CŠT'!$M$5,0),0)</f>
        <v>0</v>
      </c>
      <c r="L17" s="95">
        <f>IF(L$6='Prijungimas prie CŠT'!$M$4,IF('TV tinklas'!$A17='Prijungimas prie CŠT'!$M$6,'Prijungimas prie CŠT'!$M$5,0),0)</f>
        <v>0</v>
      </c>
    </row>
    <row r="18" spans="1:12" x14ac:dyDescent="0.2">
      <c r="A18" s="98">
        <v>150</v>
      </c>
      <c r="B18" s="263">
        <f t="shared" si="2"/>
        <v>0</v>
      </c>
      <c r="C18" s="264">
        <f t="shared" si="0"/>
        <v>0</v>
      </c>
      <c r="D18" s="95"/>
      <c r="E18" s="95"/>
      <c r="F18" s="95"/>
      <c r="G18" s="95"/>
      <c r="H18" s="264">
        <f t="shared" si="1"/>
        <v>0</v>
      </c>
      <c r="I18" s="95">
        <f>IF(I$6='Prijungimas prie CŠT'!$M$4,IF('TV tinklas'!$A18='Prijungimas prie CŠT'!$M$6,'Prijungimas prie CŠT'!$M$5,0),0)</f>
        <v>0</v>
      </c>
      <c r="J18" s="95">
        <f>IF(J$6='Prijungimas prie CŠT'!$M$4,IF('TV tinklas'!$A18='Prijungimas prie CŠT'!$M$6,'Prijungimas prie CŠT'!$M$5,0),0)</f>
        <v>0</v>
      </c>
      <c r="K18" s="95">
        <f>IF(K$6='Prijungimas prie CŠT'!$M$4,IF('TV tinklas'!$A18='Prijungimas prie CŠT'!$M$6,'Prijungimas prie CŠT'!$M$5,0),0)</f>
        <v>0</v>
      </c>
      <c r="L18" s="95">
        <f>IF(L$6='Prijungimas prie CŠT'!$M$4,IF('TV tinklas'!$A18='Prijungimas prie CŠT'!$M$6,'Prijungimas prie CŠT'!$M$5,0),0)</f>
        <v>0</v>
      </c>
    </row>
    <row r="19" spans="1:12" x14ac:dyDescent="0.2">
      <c r="A19" s="98">
        <v>175</v>
      </c>
      <c r="B19" s="263">
        <f>SUM(C19+H19)</f>
        <v>0</v>
      </c>
      <c r="C19" s="264">
        <f>SUM(D19:G19)</f>
        <v>0</v>
      </c>
      <c r="D19" s="95"/>
      <c r="E19" s="95"/>
      <c r="F19" s="95"/>
      <c r="G19" s="95"/>
      <c r="H19" s="264">
        <f t="shared" si="1"/>
        <v>0</v>
      </c>
      <c r="I19" s="95">
        <f>IF(I$6='Prijungimas prie CŠT'!$M$4,IF('TV tinklas'!$A19='Prijungimas prie CŠT'!$M$6,'Prijungimas prie CŠT'!$M$5,0),0)</f>
        <v>0</v>
      </c>
      <c r="J19" s="95">
        <f>IF(J$6='Prijungimas prie CŠT'!$M$4,IF('TV tinklas'!$A19='Prijungimas prie CŠT'!$M$6,'Prijungimas prie CŠT'!$M$5,0),0)</f>
        <v>0</v>
      </c>
      <c r="K19" s="95">
        <f>IF(K$6='Prijungimas prie CŠT'!$M$4,IF('TV tinklas'!$A19='Prijungimas prie CŠT'!$M$6,'Prijungimas prie CŠT'!$M$5,0),0)</f>
        <v>0</v>
      </c>
      <c r="L19" s="95">
        <f>IF(L$6='Prijungimas prie CŠT'!$M$4,IF('TV tinklas'!$A19='Prijungimas prie CŠT'!$M$6,'Prijungimas prie CŠT'!$M$5,0),0)</f>
        <v>0</v>
      </c>
    </row>
    <row r="20" spans="1:12" x14ac:dyDescent="0.2">
      <c r="A20" s="98">
        <v>200</v>
      </c>
      <c r="B20" s="263">
        <f t="shared" si="2"/>
        <v>0</v>
      </c>
      <c r="C20" s="264">
        <f t="shared" si="0"/>
        <v>0</v>
      </c>
      <c r="D20" s="95"/>
      <c r="E20" s="95"/>
      <c r="F20" s="95"/>
      <c r="G20" s="95"/>
      <c r="H20" s="264">
        <f t="shared" si="1"/>
        <v>0</v>
      </c>
      <c r="I20" s="95">
        <f>IF(I$6='Prijungimas prie CŠT'!$M$4,IF('TV tinklas'!$A20='Prijungimas prie CŠT'!$M$6,'Prijungimas prie CŠT'!$M$5,0),0)</f>
        <v>0</v>
      </c>
      <c r="J20" s="95">
        <f>IF(J$6='Prijungimas prie CŠT'!$M$4,IF('TV tinklas'!$A20='Prijungimas prie CŠT'!$M$6,'Prijungimas prie CŠT'!$M$5,0),0)</f>
        <v>0</v>
      </c>
      <c r="K20" s="95">
        <f>IF(K$6='Prijungimas prie CŠT'!$M$4,IF('TV tinklas'!$A20='Prijungimas prie CŠT'!$M$6,'Prijungimas prie CŠT'!$M$5,0),0)</f>
        <v>0</v>
      </c>
      <c r="L20" s="95">
        <f>IF(L$6='Prijungimas prie CŠT'!$M$4,IF('TV tinklas'!$A20='Prijungimas prie CŠT'!$M$6,'Prijungimas prie CŠT'!$M$5,0),0)</f>
        <v>0</v>
      </c>
    </row>
    <row r="21" spans="1:12" x14ac:dyDescent="0.2">
      <c r="A21" s="98">
        <v>250</v>
      </c>
      <c r="B21" s="263">
        <f t="shared" si="2"/>
        <v>0</v>
      </c>
      <c r="C21" s="264">
        <f t="shared" si="0"/>
        <v>0</v>
      </c>
      <c r="D21" s="95"/>
      <c r="E21" s="95"/>
      <c r="F21" s="95"/>
      <c r="G21" s="95"/>
      <c r="H21" s="264">
        <f t="shared" si="1"/>
        <v>0</v>
      </c>
      <c r="I21" s="95">
        <f>IF(I$6='Prijungimas prie CŠT'!$M$4,IF('TV tinklas'!$A21='Prijungimas prie CŠT'!$M$6,'Prijungimas prie CŠT'!$M$5,0),0)</f>
        <v>0</v>
      </c>
      <c r="J21" s="95">
        <f>IF(J$6='Prijungimas prie CŠT'!$M$4,IF('TV tinklas'!$A21='Prijungimas prie CŠT'!$M$6,'Prijungimas prie CŠT'!$M$5,0),0)</f>
        <v>0</v>
      </c>
      <c r="K21" s="95">
        <f>IF(K$6='Prijungimas prie CŠT'!$M$4,IF('TV tinklas'!$A21='Prijungimas prie CŠT'!$M$6,'Prijungimas prie CŠT'!$M$5,0),0)</f>
        <v>0</v>
      </c>
      <c r="L21" s="95">
        <f>IF(L$6='Prijungimas prie CŠT'!$M$4,IF('TV tinklas'!$A21='Prijungimas prie CŠT'!$M$6,'Prijungimas prie CŠT'!$M$5,0),0)</f>
        <v>0</v>
      </c>
    </row>
    <row r="22" spans="1:12" x14ac:dyDescent="0.2">
      <c r="A22" s="98">
        <v>300</v>
      </c>
      <c r="B22" s="263">
        <f t="shared" si="2"/>
        <v>0</v>
      </c>
      <c r="C22" s="264">
        <f t="shared" si="0"/>
        <v>0</v>
      </c>
      <c r="D22" s="95"/>
      <c r="E22" s="95"/>
      <c r="F22" s="95"/>
      <c r="G22" s="95"/>
      <c r="H22" s="264">
        <f t="shared" si="1"/>
        <v>0</v>
      </c>
      <c r="I22" s="95">
        <f>IF(I$6='Prijungimas prie CŠT'!$M$4,IF('TV tinklas'!$A22='Prijungimas prie CŠT'!$M$6,'Prijungimas prie CŠT'!$M$5,0),0)</f>
        <v>0</v>
      </c>
      <c r="J22" s="95">
        <f>IF(J$6='Prijungimas prie CŠT'!$M$4,IF('TV tinklas'!$A22='Prijungimas prie CŠT'!$M$6,'Prijungimas prie CŠT'!$M$5,0),0)</f>
        <v>0</v>
      </c>
      <c r="K22" s="95">
        <f>IF(K$6='Prijungimas prie CŠT'!$M$4,IF('TV tinklas'!$A22='Prijungimas prie CŠT'!$M$6,'Prijungimas prie CŠT'!$M$5,0),0)</f>
        <v>0</v>
      </c>
      <c r="L22" s="95">
        <f>IF(L$6='Prijungimas prie CŠT'!$M$4,IF('TV tinklas'!$A22='Prijungimas prie CŠT'!$M$6,'Prijungimas prie CŠT'!$M$5,0),0)</f>
        <v>0</v>
      </c>
    </row>
    <row r="23" spans="1:12" x14ac:dyDescent="0.2">
      <c r="A23" s="98">
        <v>350</v>
      </c>
      <c r="B23" s="263">
        <f t="shared" si="2"/>
        <v>0</v>
      </c>
      <c r="C23" s="264">
        <f t="shared" si="0"/>
        <v>0</v>
      </c>
      <c r="D23" s="95"/>
      <c r="E23" s="95"/>
      <c r="F23" s="95"/>
      <c r="G23" s="95"/>
      <c r="H23" s="264">
        <f t="shared" si="1"/>
        <v>0</v>
      </c>
      <c r="I23" s="95">
        <f>IF(I$6='Prijungimas prie CŠT'!$M$4,IF('TV tinklas'!$A23='Prijungimas prie CŠT'!$M$6,'Prijungimas prie CŠT'!$M$5,0),0)</f>
        <v>0</v>
      </c>
      <c r="J23" s="95">
        <f>IF(J$6='Prijungimas prie CŠT'!$M$4,IF('TV tinklas'!$A23='Prijungimas prie CŠT'!$M$6,'Prijungimas prie CŠT'!$M$5,0),0)</f>
        <v>0</v>
      </c>
      <c r="K23" s="95">
        <f>IF(K$6='Prijungimas prie CŠT'!$M$4,IF('TV tinklas'!$A23='Prijungimas prie CŠT'!$M$6,'Prijungimas prie CŠT'!$M$5,0),0)</f>
        <v>0</v>
      </c>
      <c r="L23" s="95">
        <f>IF(L$6='Prijungimas prie CŠT'!$M$4,IF('TV tinklas'!$A23='Prijungimas prie CŠT'!$M$6,'Prijungimas prie CŠT'!$M$5,0),0)</f>
        <v>0</v>
      </c>
    </row>
    <row r="24" spans="1:12" x14ac:dyDescent="0.2">
      <c r="A24" s="98">
        <v>400</v>
      </c>
      <c r="B24" s="263">
        <f t="shared" si="2"/>
        <v>0</v>
      </c>
      <c r="C24" s="264">
        <f t="shared" si="0"/>
        <v>0</v>
      </c>
      <c r="D24" s="95"/>
      <c r="E24" s="95"/>
      <c r="F24" s="95"/>
      <c r="G24" s="95"/>
      <c r="H24" s="264">
        <f t="shared" si="1"/>
        <v>0</v>
      </c>
      <c r="I24" s="95">
        <f>IF(I$6='Prijungimas prie CŠT'!$M$4,IF('TV tinklas'!$A24='Prijungimas prie CŠT'!$M$6,'Prijungimas prie CŠT'!$M$5,0),0)</f>
        <v>0</v>
      </c>
      <c r="J24" s="95">
        <f>IF(J$6='Prijungimas prie CŠT'!$M$4,IF('TV tinklas'!$A24='Prijungimas prie CŠT'!$M$6,'Prijungimas prie CŠT'!$M$5,0),0)</f>
        <v>0</v>
      </c>
      <c r="K24" s="95">
        <f>IF(K$6='Prijungimas prie CŠT'!$M$4,IF('TV tinklas'!$A24='Prijungimas prie CŠT'!$M$6,'Prijungimas prie CŠT'!$M$5,0),0)</f>
        <v>0</v>
      </c>
      <c r="L24" s="95">
        <f>IF(L$6='Prijungimas prie CŠT'!$M$4,IF('TV tinklas'!$A24='Prijungimas prie CŠT'!$M$6,'Prijungimas prie CŠT'!$M$5,0),0)</f>
        <v>0</v>
      </c>
    </row>
    <row r="25" spans="1:12" x14ac:dyDescent="0.2">
      <c r="A25" s="98">
        <v>450</v>
      </c>
      <c r="B25" s="263">
        <f t="shared" si="2"/>
        <v>0</v>
      </c>
      <c r="C25" s="264">
        <f t="shared" si="0"/>
        <v>0</v>
      </c>
      <c r="D25" s="95"/>
      <c r="E25" s="95"/>
      <c r="F25" s="95"/>
      <c r="G25" s="95"/>
      <c r="H25" s="264">
        <f t="shared" si="1"/>
        <v>0</v>
      </c>
      <c r="I25" s="95">
        <f>IF(I$6='Prijungimas prie CŠT'!$M$4,IF('TV tinklas'!$A25='Prijungimas prie CŠT'!$M$6,'Prijungimas prie CŠT'!$M$5,0),0)</f>
        <v>0</v>
      </c>
      <c r="J25" s="95">
        <f>IF(J$6='Prijungimas prie CŠT'!$M$4,IF('TV tinklas'!$A25='Prijungimas prie CŠT'!$M$6,'Prijungimas prie CŠT'!$M$5,0),0)</f>
        <v>0</v>
      </c>
      <c r="K25" s="95">
        <f>IF(K$6='Prijungimas prie CŠT'!$M$4,IF('TV tinklas'!$A25='Prijungimas prie CŠT'!$M$6,'Prijungimas prie CŠT'!$M$5,0),0)</f>
        <v>0</v>
      </c>
      <c r="L25" s="95">
        <f>IF(L$6='Prijungimas prie CŠT'!$M$4,IF('TV tinklas'!$A25='Prijungimas prie CŠT'!$M$6,'Prijungimas prie CŠT'!$M$5,0),0)</f>
        <v>0</v>
      </c>
    </row>
    <row r="26" spans="1:12" x14ac:dyDescent="0.2">
      <c r="A26" s="98">
        <v>500</v>
      </c>
      <c r="B26" s="263">
        <f t="shared" si="2"/>
        <v>0</v>
      </c>
      <c r="C26" s="264">
        <f t="shared" si="0"/>
        <v>0</v>
      </c>
      <c r="D26" s="95"/>
      <c r="E26" s="95"/>
      <c r="F26" s="95"/>
      <c r="G26" s="95"/>
      <c r="H26" s="264">
        <f t="shared" si="1"/>
        <v>0</v>
      </c>
      <c r="I26" s="95">
        <f>IF(I$6='Prijungimas prie CŠT'!$M$4,IF('TV tinklas'!$A26='Prijungimas prie CŠT'!$M$6,'Prijungimas prie CŠT'!$M$5,0),0)</f>
        <v>0</v>
      </c>
      <c r="J26" s="95">
        <f>IF(J$6='Prijungimas prie CŠT'!$M$4,IF('TV tinklas'!$A26='Prijungimas prie CŠT'!$M$6,'Prijungimas prie CŠT'!$M$5,0),0)</f>
        <v>0</v>
      </c>
      <c r="K26" s="95">
        <f>IF(K$6='Prijungimas prie CŠT'!$M$4,IF('TV tinklas'!$A26='Prijungimas prie CŠT'!$M$6,'Prijungimas prie CŠT'!$M$5,0),0)</f>
        <v>0</v>
      </c>
      <c r="L26" s="95">
        <f>IF(L$6='Prijungimas prie CŠT'!$M$4,IF('TV tinklas'!$A26='Prijungimas prie CŠT'!$M$6,'Prijungimas prie CŠT'!$M$5,0),0)</f>
        <v>0</v>
      </c>
    </row>
    <row r="27" spans="1:12" x14ac:dyDescent="0.2">
      <c r="A27" s="98">
        <v>600</v>
      </c>
      <c r="B27" s="263">
        <f t="shared" si="2"/>
        <v>0</v>
      </c>
      <c r="C27" s="264">
        <f t="shared" si="0"/>
        <v>0</v>
      </c>
      <c r="D27" s="95"/>
      <c r="E27" s="95"/>
      <c r="F27" s="95"/>
      <c r="G27" s="95"/>
      <c r="H27" s="264">
        <f t="shared" si="1"/>
        <v>0</v>
      </c>
      <c r="I27" s="95">
        <f>IF(I$6='Prijungimas prie CŠT'!$M$4,IF('TV tinklas'!$A27='Prijungimas prie CŠT'!$M$6,'Prijungimas prie CŠT'!$M$5,0),0)</f>
        <v>0</v>
      </c>
      <c r="J27" s="95">
        <f>IF(J$6='Prijungimas prie CŠT'!$M$4,IF('TV tinklas'!$A27='Prijungimas prie CŠT'!$M$6,'Prijungimas prie CŠT'!$M$5,0),0)</f>
        <v>0</v>
      </c>
      <c r="K27" s="95">
        <f>IF(K$6='Prijungimas prie CŠT'!$M$4,IF('TV tinklas'!$A27='Prijungimas prie CŠT'!$M$6,'Prijungimas prie CŠT'!$M$5,0),0)</f>
        <v>0</v>
      </c>
      <c r="L27" s="95">
        <f>IF(L$6='Prijungimas prie CŠT'!$M$4,IF('TV tinklas'!$A27='Prijungimas prie CŠT'!$M$6,'Prijungimas prie CŠT'!$M$5,0),0)</f>
        <v>0</v>
      </c>
    </row>
    <row r="28" spans="1:12" x14ac:dyDescent="0.2">
      <c r="A28" s="98">
        <v>700</v>
      </c>
      <c r="B28" s="263">
        <f t="shared" si="2"/>
        <v>0</v>
      </c>
      <c r="C28" s="264">
        <f t="shared" si="0"/>
        <v>0</v>
      </c>
      <c r="D28" s="95"/>
      <c r="E28" s="95"/>
      <c r="F28" s="95"/>
      <c r="G28" s="95"/>
      <c r="H28" s="264">
        <f t="shared" si="1"/>
        <v>0</v>
      </c>
      <c r="I28" s="95">
        <f>IF(I$6='Prijungimas prie CŠT'!$M$4,IF('TV tinklas'!$A28='Prijungimas prie CŠT'!$M$6,'Prijungimas prie CŠT'!$M$5,0),0)</f>
        <v>0</v>
      </c>
      <c r="J28" s="95">
        <f>IF(J$6='Prijungimas prie CŠT'!$M$4,IF('TV tinklas'!$A28='Prijungimas prie CŠT'!$M$6,'Prijungimas prie CŠT'!$M$5,0),0)</f>
        <v>0</v>
      </c>
      <c r="K28" s="95">
        <f>IF(K$6='Prijungimas prie CŠT'!$M$4,IF('TV tinklas'!$A28='Prijungimas prie CŠT'!$M$6,'Prijungimas prie CŠT'!$M$5,0),0)</f>
        <v>0</v>
      </c>
      <c r="L28" s="95">
        <f>IF(L$6='Prijungimas prie CŠT'!$M$4,IF('TV tinklas'!$A28='Prijungimas prie CŠT'!$M$6,'Prijungimas prie CŠT'!$M$5,0),0)</f>
        <v>0</v>
      </c>
    </row>
    <row r="29" spans="1:12" x14ac:dyDescent="0.2">
      <c r="A29" s="98">
        <v>800</v>
      </c>
      <c r="B29" s="263">
        <f t="shared" si="2"/>
        <v>0</v>
      </c>
      <c r="C29" s="264">
        <f t="shared" si="0"/>
        <v>0</v>
      </c>
      <c r="D29" s="95"/>
      <c r="E29" s="95"/>
      <c r="F29" s="95"/>
      <c r="G29" s="95"/>
      <c r="H29" s="264">
        <f t="shared" si="1"/>
        <v>0</v>
      </c>
      <c r="I29" s="95">
        <f>IF(I$6='Prijungimas prie CŠT'!$M$4,IF('TV tinklas'!$A29='Prijungimas prie CŠT'!$M$6,'Prijungimas prie CŠT'!$M$5,0),0)</f>
        <v>0</v>
      </c>
      <c r="J29" s="95">
        <f>IF(J$6='Prijungimas prie CŠT'!$M$4,IF('TV tinklas'!$A29='Prijungimas prie CŠT'!$M$6,'Prijungimas prie CŠT'!$M$5,0),0)</f>
        <v>0</v>
      </c>
      <c r="K29" s="95">
        <f>IF(K$6='Prijungimas prie CŠT'!$M$4,IF('TV tinklas'!$A29='Prijungimas prie CŠT'!$M$6,'Prijungimas prie CŠT'!$M$5,0),0)</f>
        <v>0</v>
      </c>
      <c r="L29" s="95">
        <f>IF(L$6='Prijungimas prie CŠT'!$M$4,IF('TV tinklas'!$A29='Prijungimas prie CŠT'!$M$6,'Prijungimas prie CŠT'!$M$5,0),0)</f>
        <v>0</v>
      </c>
    </row>
    <row r="30" spans="1:12" x14ac:dyDescent="0.2">
      <c r="A30" s="98">
        <v>900</v>
      </c>
      <c r="B30" s="263">
        <f t="shared" si="2"/>
        <v>0</v>
      </c>
      <c r="C30" s="264">
        <f t="shared" si="0"/>
        <v>0</v>
      </c>
      <c r="D30" s="95"/>
      <c r="E30" s="95"/>
      <c r="F30" s="95"/>
      <c r="G30" s="95"/>
      <c r="H30" s="264">
        <f t="shared" si="1"/>
        <v>0</v>
      </c>
      <c r="I30" s="95">
        <f>IF(I$6='Prijungimas prie CŠT'!$M$4,IF('TV tinklas'!$A30='Prijungimas prie CŠT'!$M$6,'Prijungimas prie CŠT'!$M$5,0),0)</f>
        <v>0</v>
      </c>
      <c r="J30" s="95">
        <f>IF(J$6='Prijungimas prie CŠT'!$M$4,IF('TV tinklas'!$A30='Prijungimas prie CŠT'!$M$6,'Prijungimas prie CŠT'!$M$5,0),0)</f>
        <v>0</v>
      </c>
      <c r="K30" s="95">
        <f>IF(K$6='Prijungimas prie CŠT'!$M$4,IF('TV tinklas'!$A30='Prijungimas prie CŠT'!$M$6,'Prijungimas prie CŠT'!$M$5,0),0)</f>
        <v>0</v>
      </c>
      <c r="L30" s="95">
        <f>IF(L$6='Prijungimas prie CŠT'!$M$4,IF('TV tinklas'!$A30='Prijungimas prie CŠT'!$M$6,'Prijungimas prie CŠT'!$M$5,0),0)</f>
        <v>0</v>
      </c>
    </row>
    <row r="31" spans="1:12" x14ac:dyDescent="0.2">
      <c r="A31" s="98">
        <v>1000</v>
      </c>
      <c r="B31" s="263">
        <f t="shared" si="2"/>
        <v>0</v>
      </c>
      <c r="C31" s="264">
        <f t="shared" si="0"/>
        <v>0</v>
      </c>
      <c r="D31" s="95"/>
      <c r="E31" s="95"/>
      <c r="F31" s="95"/>
      <c r="G31" s="95"/>
      <c r="H31" s="264">
        <f t="shared" si="1"/>
        <v>0</v>
      </c>
      <c r="I31" s="95">
        <f>IF(I$6='Prijungimas prie CŠT'!$M$4,IF('TV tinklas'!$A31='Prijungimas prie CŠT'!$M$6,'Prijungimas prie CŠT'!$M$5,0),0)</f>
        <v>0</v>
      </c>
      <c r="J31" s="95">
        <f>IF(J$6='Prijungimas prie CŠT'!$M$4,IF('TV tinklas'!$A31='Prijungimas prie CŠT'!$M$6,'Prijungimas prie CŠT'!$M$5,0),0)</f>
        <v>0</v>
      </c>
      <c r="K31" s="95">
        <f>IF(K$6='Prijungimas prie CŠT'!$M$4,IF('TV tinklas'!$A31='Prijungimas prie CŠT'!$M$6,'Prijungimas prie CŠT'!$M$5,0),0)</f>
        <v>0</v>
      </c>
      <c r="L31" s="95">
        <f>IF(L$6='Prijungimas prie CŠT'!$M$4,IF('TV tinklas'!$A31='Prijungimas prie CŠT'!$M$6,'Prijungimas prie CŠT'!$M$5,0),0)</f>
        <v>0</v>
      </c>
    </row>
    <row r="32" spans="1:12" x14ac:dyDescent="0.2">
      <c r="A32" s="98">
        <v>1100</v>
      </c>
      <c r="B32" s="263">
        <f>SUM(C32+H32)</f>
        <v>0</v>
      </c>
      <c r="C32" s="264">
        <f>SUM(D32:G32)</f>
        <v>0</v>
      </c>
      <c r="D32" s="95"/>
      <c r="E32" s="95"/>
      <c r="F32" s="95"/>
      <c r="G32" s="95"/>
      <c r="H32" s="264">
        <f t="shared" si="1"/>
        <v>0</v>
      </c>
      <c r="I32" s="95">
        <f>IF(I$6='Prijungimas prie CŠT'!$M$4,IF('TV tinklas'!$A32='Prijungimas prie CŠT'!$M$6,'Prijungimas prie CŠT'!$M$5,0),0)</f>
        <v>0</v>
      </c>
      <c r="J32" s="95">
        <f>IF(J$6='Prijungimas prie CŠT'!$M$4,IF('TV tinklas'!$A32='Prijungimas prie CŠT'!$M$6,'Prijungimas prie CŠT'!$M$5,0),0)</f>
        <v>0</v>
      </c>
      <c r="K32" s="95">
        <f>IF(K$6='Prijungimas prie CŠT'!$M$4,IF('TV tinklas'!$A32='Prijungimas prie CŠT'!$M$6,'Prijungimas prie CŠT'!$M$5,0),0)</f>
        <v>0</v>
      </c>
      <c r="L32" s="95">
        <f>IF(L$6='Prijungimas prie CŠT'!$M$4,IF('TV tinklas'!$A32='Prijungimas prie CŠT'!$M$6,'Prijungimas prie CŠT'!$M$5,0),0)</f>
        <v>0</v>
      </c>
    </row>
    <row r="33" spans="1:17" x14ac:dyDescent="0.2">
      <c r="A33" s="98">
        <v>1200</v>
      </c>
      <c r="B33" s="263">
        <f>SUM(C33+H33)</f>
        <v>0</v>
      </c>
      <c r="C33" s="264">
        <f>SUM(D33:G33)</f>
        <v>0</v>
      </c>
      <c r="D33" s="95"/>
      <c r="E33" s="95"/>
      <c r="F33" s="95"/>
      <c r="G33" s="95"/>
      <c r="H33" s="264">
        <f>SUM(I33:L33)</f>
        <v>0</v>
      </c>
      <c r="I33" s="95">
        <f>IF(I$6='Prijungimas prie CŠT'!$M$4,IF('TV tinklas'!$A33='Prijungimas prie CŠT'!$M$6,'Prijungimas prie CŠT'!$M$5,0),0)</f>
        <v>0</v>
      </c>
      <c r="J33" s="95">
        <f>IF(J$6='Prijungimas prie CŠT'!$M$4,IF('TV tinklas'!$A33='Prijungimas prie CŠT'!$M$6,'Prijungimas prie CŠT'!$M$5,0),0)</f>
        <v>0</v>
      </c>
      <c r="K33" s="95">
        <f>IF(K$6='Prijungimas prie CŠT'!$M$4,IF('TV tinklas'!$A33='Prijungimas prie CŠT'!$M$6,'Prijungimas prie CŠT'!$M$5,0),0)</f>
        <v>0</v>
      </c>
      <c r="L33" s="95">
        <f>IF(L$6='Prijungimas prie CŠT'!$M$4,IF('TV tinklas'!$A33='Prijungimas prie CŠT'!$M$6,'Prijungimas prie CŠT'!$M$5,0),0)</f>
        <v>0</v>
      </c>
    </row>
    <row r="34" spans="1:17" x14ac:dyDescent="0.2">
      <c r="A34" s="265" t="s">
        <v>138</v>
      </c>
      <c r="B34" s="266">
        <f>SUM(B9:B33)</f>
        <v>100</v>
      </c>
      <c r="C34" s="267">
        <f>SUM(C9:C33)</f>
        <v>0</v>
      </c>
      <c r="D34" s="267">
        <f t="shared" ref="D34:L34" si="3">SUM(D9:D33)</f>
        <v>0</v>
      </c>
      <c r="E34" s="267">
        <f t="shared" si="3"/>
        <v>0</v>
      </c>
      <c r="F34" s="267">
        <f t="shared" si="3"/>
        <v>0</v>
      </c>
      <c r="G34" s="267">
        <f t="shared" si="3"/>
        <v>0</v>
      </c>
      <c r="H34" s="267">
        <f t="shared" si="3"/>
        <v>100</v>
      </c>
      <c r="I34" s="267">
        <f t="shared" si="3"/>
        <v>0</v>
      </c>
      <c r="J34" s="267">
        <f t="shared" si="3"/>
        <v>0</v>
      </c>
      <c r="K34" s="267">
        <f t="shared" si="3"/>
        <v>100</v>
      </c>
      <c r="L34" s="267">
        <f t="shared" si="3"/>
        <v>0</v>
      </c>
    </row>
    <row r="35" spans="1:17" x14ac:dyDescent="0.2">
      <c r="A35" s="102" t="s">
        <v>305</v>
      </c>
      <c r="B35" s="90"/>
      <c r="C35" s="104"/>
      <c r="D35" s="90"/>
      <c r="E35" s="90"/>
      <c r="F35" s="90"/>
      <c r="G35" s="90"/>
      <c r="H35" s="90"/>
      <c r="I35" s="90"/>
      <c r="J35" s="90"/>
      <c r="K35" s="90"/>
      <c r="L35" s="90"/>
    </row>
    <row r="36" spans="1:17" ht="9.75" customHeight="1" x14ac:dyDescent="0.2">
      <c r="A36" s="268"/>
      <c r="B36" s="90"/>
      <c r="C36" s="90"/>
      <c r="D36" s="104"/>
      <c r="E36" s="104"/>
    </row>
    <row r="37" spans="1:17" x14ac:dyDescent="0.2">
      <c r="A37" s="253" t="s">
        <v>280</v>
      </c>
      <c r="D37" s="104"/>
      <c r="I37" s="254"/>
      <c r="J37" s="254"/>
    </row>
    <row r="38" spans="1:17" x14ac:dyDescent="0.2">
      <c r="A38" s="255"/>
      <c r="B38" s="256"/>
      <c r="C38" s="539" t="s">
        <v>112</v>
      </c>
      <c r="D38" s="540"/>
      <c r="E38" s="540"/>
      <c r="F38" s="540"/>
      <c r="G38" s="540"/>
      <c r="H38" s="539" t="s">
        <v>113</v>
      </c>
      <c r="I38" s="540"/>
      <c r="J38" s="540"/>
      <c r="K38" s="540"/>
      <c r="L38" s="544"/>
      <c r="N38" s="90"/>
      <c r="O38" s="90"/>
      <c r="P38" s="90"/>
      <c r="Q38" s="90"/>
    </row>
    <row r="39" spans="1:17" ht="12.75" customHeight="1" x14ac:dyDescent="0.2">
      <c r="A39" s="258" t="s">
        <v>82</v>
      </c>
      <c r="B39" s="259" t="s">
        <v>83</v>
      </c>
      <c r="C39" s="259" t="s">
        <v>83</v>
      </c>
      <c r="D39" s="259" t="s">
        <v>132</v>
      </c>
      <c r="E39" s="259" t="s">
        <v>133</v>
      </c>
      <c r="F39" s="259" t="s">
        <v>134</v>
      </c>
      <c r="G39" s="260" t="s">
        <v>137</v>
      </c>
      <c r="H39" s="259" t="s">
        <v>83</v>
      </c>
      <c r="I39" s="545" t="s">
        <v>347</v>
      </c>
      <c r="J39" s="545" t="s">
        <v>349</v>
      </c>
      <c r="K39" s="545" t="s">
        <v>348</v>
      </c>
      <c r="L39" s="545" t="s">
        <v>350</v>
      </c>
      <c r="N39" s="537"/>
      <c r="O39" s="538"/>
      <c r="P39" s="538"/>
      <c r="Q39" s="90"/>
    </row>
    <row r="40" spans="1:17" x14ac:dyDescent="0.2">
      <c r="A40" s="258" t="s">
        <v>124</v>
      </c>
      <c r="B40" s="259" t="s">
        <v>26</v>
      </c>
      <c r="C40" s="259" t="s">
        <v>26</v>
      </c>
      <c r="D40" s="259" t="s">
        <v>300</v>
      </c>
      <c r="E40" s="259" t="s">
        <v>301</v>
      </c>
      <c r="F40" s="259" t="s">
        <v>302</v>
      </c>
      <c r="G40" s="260" t="s">
        <v>303</v>
      </c>
      <c r="H40" s="259" t="s">
        <v>26</v>
      </c>
      <c r="I40" s="546"/>
      <c r="J40" s="546"/>
      <c r="K40" s="546"/>
      <c r="L40" s="546"/>
      <c r="N40" s="537"/>
      <c r="O40" s="538"/>
      <c r="P40" s="538"/>
      <c r="Q40" s="90"/>
    </row>
    <row r="41" spans="1:17" x14ac:dyDescent="0.2">
      <c r="A41" s="205" t="s">
        <v>0</v>
      </c>
      <c r="B41" s="261" t="s">
        <v>88</v>
      </c>
      <c r="C41" s="261" t="s">
        <v>1</v>
      </c>
      <c r="D41" s="261" t="s">
        <v>1</v>
      </c>
      <c r="E41" s="261" t="s">
        <v>1</v>
      </c>
      <c r="F41" s="261" t="s">
        <v>1</v>
      </c>
      <c r="G41" s="262" t="s">
        <v>1</v>
      </c>
      <c r="H41" s="261" t="s">
        <v>1</v>
      </c>
      <c r="I41" s="262" t="s">
        <v>1</v>
      </c>
      <c r="J41" s="261" t="s">
        <v>1</v>
      </c>
      <c r="K41" s="262" t="s">
        <v>1</v>
      </c>
      <c r="L41" s="205" t="s">
        <v>1</v>
      </c>
      <c r="N41" s="537"/>
      <c r="O41" s="538"/>
      <c r="P41" s="538"/>
      <c r="Q41" s="90"/>
    </row>
    <row r="42" spans="1:17" x14ac:dyDescent="0.2">
      <c r="A42" s="98">
        <v>25</v>
      </c>
      <c r="B42" s="263">
        <f t="shared" ref="B42:B64" si="4">SUM(C42+H42)</f>
        <v>0</v>
      </c>
      <c r="C42" s="264">
        <f t="shared" ref="C42:C64" si="5">SUM(D42:G42)</f>
        <v>0</v>
      </c>
      <c r="D42" s="95"/>
      <c r="E42" s="95"/>
      <c r="F42" s="95"/>
      <c r="G42" s="95"/>
      <c r="H42" s="264">
        <f t="shared" ref="H42:H65" si="6">SUM(I42:L42)</f>
        <v>0</v>
      </c>
      <c r="I42" s="95">
        <f>IF(I$6='Prijungimas prie CŠT'!$M$4,IF('TV tinklas'!$A9='Prijungimas prie CŠT'!$M$6,IF('Prijungimas prie CŠT'!$M$11='Prijungimas prie CŠT'!$CX$24,'Prijungimas prie CŠT'!$M$5,0),0),0)</f>
        <v>0</v>
      </c>
      <c r="J42" s="95">
        <f>IF(J$6='Prijungimas prie CŠT'!$M$4,IF('TV tinklas'!$A9='Prijungimas prie CŠT'!$M$6,IF('Prijungimas prie CŠT'!$M$11='Prijungimas prie CŠT'!$CX$24,'Prijungimas prie CŠT'!$M$5,0),0),0)</f>
        <v>0</v>
      </c>
      <c r="K42" s="95">
        <f>IF(K$6='Prijungimas prie CŠT'!$M$4,IF('TV tinklas'!$A9='Prijungimas prie CŠT'!$M$6,IF('Prijungimas prie CŠT'!$M$11='Prijungimas prie CŠT'!$CX$24,'Prijungimas prie CŠT'!$M$5,0),0),0)</f>
        <v>0</v>
      </c>
      <c r="L42" s="95">
        <f>IF(L$6='Prijungimas prie CŠT'!$M$4,IF('TV tinklas'!$A9='Prijungimas prie CŠT'!$M$6,IF('Prijungimas prie CŠT'!$M$11='Prijungimas prie CŠT'!$CX$24,'Prijungimas prie CŠT'!$M$5,0),0),0)</f>
        <v>0</v>
      </c>
    </row>
    <row r="43" spans="1:17" x14ac:dyDescent="0.2">
      <c r="A43" s="98">
        <v>32</v>
      </c>
      <c r="B43" s="263">
        <f t="shared" si="4"/>
        <v>0</v>
      </c>
      <c r="C43" s="264">
        <f t="shared" si="5"/>
        <v>0</v>
      </c>
      <c r="D43" s="95"/>
      <c r="E43" s="95"/>
      <c r="F43" s="95"/>
      <c r="G43" s="95"/>
      <c r="H43" s="264">
        <f t="shared" si="6"/>
        <v>0</v>
      </c>
      <c r="I43" s="95">
        <f>IF(I$6='Prijungimas prie CŠT'!$M$4,IF('TV tinklas'!$A10='Prijungimas prie CŠT'!$M$6,IF('Prijungimas prie CŠT'!$M$11='Prijungimas prie CŠT'!$CX$24,'Prijungimas prie CŠT'!$M$5,0),0),0)</f>
        <v>0</v>
      </c>
      <c r="J43" s="95">
        <f>IF(J$6='Prijungimas prie CŠT'!$M$4,IF('TV tinklas'!$A10='Prijungimas prie CŠT'!$M$6,IF('Prijungimas prie CŠT'!$M$11='Prijungimas prie CŠT'!$CX$24,'Prijungimas prie CŠT'!$M$5,0),0),0)</f>
        <v>0</v>
      </c>
      <c r="K43" s="95">
        <f>IF(K$6='Prijungimas prie CŠT'!$M$4,IF('TV tinklas'!$A10='Prijungimas prie CŠT'!$M$6,IF('Prijungimas prie CŠT'!$M$11='Prijungimas prie CŠT'!$CX$24,'Prijungimas prie CŠT'!$M$5,0),0),0)</f>
        <v>0</v>
      </c>
      <c r="L43" s="95">
        <f>IF(L$6='Prijungimas prie CŠT'!$M$4,IF('TV tinklas'!$A10='Prijungimas prie CŠT'!$M$6,IF('Prijungimas prie CŠT'!$M$11='Prijungimas prie CŠT'!$CX$24,'Prijungimas prie CŠT'!$M$5,0),0),0)</f>
        <v>0</v>
      </c>
    </row>
    <row r="44" spans="1:17" x14ac:dyDescent="0.2">
      <c r="A44" s="98">
        <v>40</v>
      </c>
      <c r="B44" s="263">
        <f t="shared" si="4"/>
        <v>0</v>
      </c>
      <c r="C44" s="264">
        <f t="shared" si="5"/>
        <v>0</v>
      </c>
      <c r="D44" s="95"/>
      <c r="E44" s="95"/>
      <c r="F44" s="95"/>
      <c r="G44" s="95"/>
      <c r="H44" s="264">
        <f t="shared" si="6"/>
        <v>0</v>
      </c>
      <c r="I44" s="95">
        <f>IF(I$6='Prijungimas prie CŠT'!$M$4,IF('TV tinklas'!$A11='Prijungimas prie CŠT'!$M$6,IF('Prijungimas prie CŠT'!$M$11='Prijungimas prie CŠT'!$CX$24,'Prijungimas prie CŠT'!$M$5,0),0),0)</f>
        <v>0</v>
      </c>
      <c r="J44" s="95">
        <f>IF(J$6='Prijungimas prie CŠT'!$M$4,IF('TV tinklas'!$A11='Prijungimas prie CŠT'!$M$6,IF('Prijungimas prie CŠT'!$M$11='Prijungimas prie CŠT'!$CX$24,'Prijungimas prie CŠT'!$M$5,0),0),0)</f>
        <v>0</v>
      </c>
      <c r="K44" s="95">
        <f>IF(K$6='Prijungimas prie CŠT'!$M$4,IF('TV tinklas'!$A11='Prijungimas prie CŠT'!$M$6,IF('Prijungimas prie CŠT'!$M$11='Prijungimas prie CŠT'!$CX$24,'Prijungimas prie CŠT'!$M$5,0),0),0)</f>
        <v>0</v>
      </c>
      <c r="L44" s="95">
        <f>IF(L$6='Prijungimas prie CŠT'!$M$4,IF('TV tinklas'!$A11='Prijungimas prie CŠT'!$M$6,IF('Prijungimas prie CŠT'!$M$11='Prijungimas prie CŠT'!$CX$24,'Prijungimas prie CŠT'!$M$5,0),0),0)</f>
        <v>0</v>
      </c>
    </row>
    <row r="45" spans="1:17" x14ac:dyDescent="0.2">
      <c r="A45" s="98">
        <v>50</v>
      </c>
      <c r="B45" s="263">
        <f>SUM(C45+H45)</f>
        <v>0</v>
      </c>
      <c r="C45" s="264">
        <f t="shared" si="5"/>
        <v>0</v>
      </c>
      <c r="D45" s="95"/>
      <c r="E45" s="95"/>
      <c r="F45" s="95"/>
      <c r="G45" s="95"/>
      <c r="H45" s="264">
        <f t="shared" si="6"/>
        <v>0</v>
      </c>
      <c r="I45" s="95">
        <f>IF(I$6='Prijungimas prie CŠT'!$M$4,IF('TV tinklas'!$A12='Prijungimas prie CŠT'!$M$6,IF('Prijungimas prie CŠT'!$M$11='Prijungimas prie CŠT'!$CX$24,'Prijungimas prie CŠT'!$M$5,0),0),0)</f>
        <v>0</v>
      </c>
      <c r="J45" s="95">
        <f>IF(J$6='Prijungimas prie CŠT'!$M$4,IF('TV tinklas'!$A12='Prijungimas prie CŠT'!$M$6,IF('Prijungimas prie CŠT'!$M$11='Prijungimas prie CŠT'!$CX$24,'Prijungimas prie CŠT'!$M$5,0),0),0)</f>
        <v>0</v>
      </c>
      <c r="K45" s="95">
        <f>IF(K$6='Prijungimas prie CŠT'!$M$4,IF('TV tinklas'!$A12='Prijungimas prie CŠT'!$M$6,IF('Prijungimas prie CŠT'!$M$11='Prijungimas prie CŠT'!$CX$24,'Prijungimas prie CŠT'!$M$5,0),0),0)</f>
        <v>0</v>
      </c>
      <c r="L45" s="95">
        <f>IF(L$6='Prijungimas prie CŠT'!$M$4,IF('TV tinklas'!$A12='Prijungimas prie CŠT'!$M$6,IF('Prijungimas prie CŠT'!$M$11='Prijungimas prie CŠT'!$CX$24,'Prijungimas prie CŠT'!$M$5,0),0),0)</f>
        <v>0</v>
      </c>
    </row>
    <row r="46" spans="1:17" x14ac:dyDescent="0.2">
      <c r="A46" s="98">
        <v>65</v>
      </c>
      <c r="B46" s="263">
        <f t="shared" si="4"/>
        <v>0</v>
      </c>
      <c r="C46" s="264">
        <f t="shared" si="5"/>
        <v>0</v>
      </c>
      <c r="D46" s="95"/>
      <c r="E46" s="272"/>
      <c r="F46" s="95"/>
      <c r="G46" s="95"/>
      <c r="H46" s="264">
        <f t="shared" si="6"/>
        <v>0</v>
      </c>
      <c r="I46" s="95">
        <f>IF(I$6='Prijungimas prie CŠT'!$M$4,IF('TV tinklas'!$A13='Prijungimas prie CŠT'!$M$6,IF('Prijungimas prie CŠT'!$M$11='Prijungimas prie CŠT'!$CX$24,'Prijungimas prie CŠT'!$M$5,0),0),0)</f>
        <v>0</v>
      </c>
      <c r="J46" s="95">
        <f>IF(J$6='Prijungimas prie CŠT'!$M$4,IF('TV tinklas'!$A13='Prijungimas prie CŠT'!$M$6,IF('Prijungimas prie CŠT'!$M$11='Prijungimas prie CŠT'!$CX$24,'Prijungimas prie CŠT'!$M$5,0),0),0)</f>
        <v>0</v>
      </c>
      <c r="K46" s="95">
        <f>IF(K$6='Prijungimas prie CŠT'!$M$4,IF('TV tinklas'!$A13='Prijungimas prie CŠT'!$M$6,IF('Prijungimas prie CŠT'!$M$11='Prijungimas prie CŠT'!$CX$24,'Prijungimas prie CŠT'!$M$5,0),0),0)</f>
        <v>0</v>
      </c>
      <c r="L46" s="95">
        <f>IF(L$6='Prijungimas prie CŠT'!$M$4,IF('TV tinklas'!$A13='Prijungimas prie CŠT'!$M$6,IF('Prijungimas prie CŠT'!$M$11='Prijungimas prie CŠT'!$CX$24,'Prijungimas prie CŠT'!$M$5,0),0),0)</f>
        <v>0</v>
      </c>
    </row>
    <row r="47" spans="1:17" x14ac:dyDescent="0.2">
      <c r="A47" s="98">
        <v>70</v>
      </c>
      <c r="B47" s="263">
        <f t="shared" si="4"/>
        <v>0</v>
      </c>
      <c r="C47" s="264">
        <f t="shared" si="5"/>
        <v>0</v>
      </c>
      <c r="D47" s="95"/>
      <c r="E47" s="95"/>
      <c r="F47" s="272"/>
      <c r="G47" s="95"/>
      <c r="H47" s="264">
        <f t="shared" si="6"/>
        <v>0</v>
      </c>
      <c r="I47" s="95">
        <f>IF(I$6='Prijungimas prie CŠT'!$M$4,IF('TV tinklas'!$A14='Prijungimas prie CŠT'!$M$6,IF('Prijungimas prie CŠT'!$M$11='Prijungimas prie CŠT'!$CX$24,'Prijungimas prie CŠT'!$M$5,0),0),0)</f>
        <v>0</v>
      </c>
      <c r="J47" s="95">
        <f>IF(J$6='Prijungimas prie CŠT'!$M$4,IF('TV tinklas'!$A14='Prijungimas prie CŠT'!$M$6,IF('Prijungimas prie CŠT'!$M$11='Prijungimas prie CŠT'!$CX$24,'Prijungimas prie CŠT'!$M$5,0),0),0)</f>
        <v>0</v>
      </c>
      <c r="K47" s="95">
        <f>IF(K$6='Prijungimas prie CŠT'!$M$4,IF('TV tinklas'!$A14='Prijungimas prie CŠT'!$M$6,IF('Prijungimas prie CŠT'!$M$11='Prijungimas prie CŠT'!$CX$24,'Prijungimas prie CŠT'!$M$5,0),0),0)</f>
        <v>0</v>
      </c>
      <c r="L47" s="95">
        <f>IF(L$6='Prijungimas prie CŠT'!$M$4,IF('TV tinklas'!$A14='Prijungimas prie CŠT'!$M$6,IF('Prijungimas prie CŠT'!$M$11='Prijungimas prie CŠT'!$CX$24,'Prijungimas prie CŠT'!$M$5,0),0),0)</f>
        <v>0</v>
      </c>
    </row>
    <row r="48" spans="1:17" x14ac:dyDescent="0.2">
      <c r="A48" s="98">
        <v>80</v>
      </c>
      <c r="B48" s="263">
        <f t="shared" si="4"/>
        <v>0</v>
      </c>
      <c r="C48" s="264">
        <f t="shared" si="5"/>
        <v>0</v>
      </c>
      <c r="D48" s="95"/>
      <c r="E48" s="95"/>
      <c r="F48" s="95"/>
      <c r="G48" s="95"/>
      <c r="H48" s="264">
        <f t="shared" si="6"/>
        <v>0</v>
      </c>
      <c r="I48" s="95">
        <f>IF(I$6='Prijungimas prie CŠT'!$M$4,IF('TV tinklas'!$A15='Prijungimas prie CŠT'!$M$6,IF('Prijungimas prie CŠT'!$M$11='Prijungimas prie CŠT'!$CX$24,'Prijungimas prie CŠT'!$M$5,0),0),0)</f>
        <v>0</v>
      </c>
      <c r="J48" s="95">
        <f>IF(J$6='Prijungimas prie CŠT'!$M$4,IF('TV tinklas'!$A15='Prijungimas prie CŠT'!$M$6,IF('Prijungimas prie CŠT'!$M$11='Prijungimas prie CŠT'!$CX$24,'Prijungimas prie CŠT'!$M$5,0),0),0)</f>
        <v>0</v>
      </c>
      <c r="K48" s="95">
        <f>IF(K$6='Prijungimas prie CŠT'!$M$4,IF('TV tinklas'!$A15='Prijungimas prie CŠT'!$M$6,IF('Prijungimas prie CŠT'!$M$11='Prijungimas prie CŠT'!$CX$24,'Prijungimas prie CŠT'!$M$5,0),0),0)</f>
        <v>0</v>
      </c>
      <c r="L48" s="95">
        <f>IF(L$6='Prijungimas prie CŠT'!$M$4,IF('TV tinklas'!$A15='Prijungimas prie CŠT'!$M$6,IF('Prijungimas prie CŠT'!$M$11='Prijungimas prie CŠT'!$CX$24,'Prijungimas prie CŠT'!$M$5,0),0),0)</f>
        <v>0</v>
      </c>
    </row>
    <row r="49" spans="1:12" x14ac:dyDescent="0.2">
      <c r="A49" s="98">
        <v>100</v>
      </c>
      <c r="B49" s="263">
        <f t="shared" si="4"/>
        <v>100</v>
      </c>
      <c r="C49" s="264">
        <f t="shared" si="5"/>
        <v>0</v>
      </c>
      <c r="D49" s="95"/>
      <c r="E49" s="95"/>
      <c r="F49" s="95"/>
      <c r="G49" s="95"/>
      <c r="H49" s="264">
        <f t="shared" si="6"/>
        <v>100</v>
      </c>
      <c r="I49" s="95">
        <f>IF(I$6='Prijungimas prie CŠT'!$M$4,IF('TV tinklas'!$A16='Prijungimas prie CŠT'!$M$6,IF('Prijungimas prie CŠT'!$M$11='Prijungimas prie CŠT'!$CX$24,'Prijungimas prie CŠT'!$M$5,0),0),0)</f>
        <v>0</v>
      </c>
      <c r="J49" s="95">
        <f>IF(J$6='Prijungimas prie CŠT'!$M$4,IF('TV tinklas'!$A16='Prijungimas prie CŠT'!$M$6,IF('Prijungimas prie CŠT'!$M$11='Prijungimas prie CŠT'!$CX$24,'Prijungimas prie CŠT'!$M$5,0),0),0)</f>
        <v>0</v>
      </c>
      <c r="K49" s="95">
        <f>IF(K$6='Prijungimas prie CŠT'!$M$4,IF('TV tinklas'!$A16='Prijungimas prie CŠT'!$M$6,IF('Prijungimas prie CŠT'!$M$11='Prijungimas prie CŠT'!$CX$24,'Prijungimas prie CŠT'!$M$5,0),0),0)</f>
        <v>100</v>
      </c>
      <c r="L49" s="95">
        <f>IF(L$6='Prijungimas prie CŠT'!$M$4,IF('TV tinklas'!$A16='Prijungimas prie CŠT'!$M$6,IF('Prijungimas prie CŠT'!$M$11='Prijungimas prie CŠT'!$CX$24,'Prijungimas prie CŠT'!$M$5,0),0),0)</f>
        <v>0</v>
      </c>
    </row>
    <row r="50" spans="1:12" x14ac:dyDescent="0.2">
      <c r="A50" s="98">
        <v>125</v>
      </c>
      <c r="B50" s="263">
        <f t="shared" si="4"/>
        <v>0</v>
      </c>
      <c r="C50" s="264">
        <f t="shared" si="5"/>
        <v>0</v>
      </c>
      <c r="D50" s="95"/>
      <c r="E50" s="95"/>
      <c r="F50" s="95"/>
      <c r="G50" s="95"/>
      <c r="H50" s="264">
        <f t="shared" si="6"/>
        <v>0</v>
      </c>
      <c r="I50" s="95">
        <f>IF(I$6='Prijungimas prie CŠT'!$M$4,IF('TV tinklas'!$A17='Prijungimas prie CŠT'!$M$6,IF('Prijungimas prie CŠT'!$M$11='Prijungimas prie CŠT'!$CX$24,'Prijungimas prie CŠT'!$M$5,0),0),0)</f>
        <v>0</v>
      </c>
      <c r="J50" s="95">
        <f>IF(J$6='Prijungimas prie CŠT'!$M$4,IF('TV tinklas'!$A17='Prijungimas prie CŠT'!$M$6,IF('Prijungimas prie CŠT'!$M$11='Prijungimas prie CŠT'!$CX$24,'Prijungimas prie CŠT'!$M$5,0),0),0)</f>
        <v>0</v>
      </c>
      <c r="K50" s="95">
        <f>IF(K$6='Prijungimas prie CŠT'!$M$4,IF('TV tinklas'!$A17='Prijungimas prie CŠT'!$M$6,IF('Prijungimas prie CŠT'!$M$11='Prijungimas prie CŠT'!$CX$24,'Prijungimas prie CŠT'!$M$5,0),0),0)</f>
        <v>0</v>
      </c>
      <c r="L50" s="95">
        <f>IF(L$6='Prijungimas prie CŠT'!$M$4,IF('TV tinklas'!$A17='Prijungimas prie CŠT'!$M$6,IF('Prijungimas prie CŠT'!$M$11='Prijungimas prie CŠT'!$CX$24,'Prijungimas prie CŠT'!$M$5,0),0),0)</f>
        <v>0</v>
      </c>
    </row>
    <row r="51" spans="1:12" x14ac:dyDescent="0.2">
      <c r="A51" s="98">
        <v>150</v>
      </c>
      <c r="B51" s="263">
        <f t="shared" si="4"/>
        <v>0</v>
      </c>
      <c r="C51" s="264">
        <f t="shared" si="5"/>
        <v>0</v>
      </c>
      <c r="D51" s="95"/>
      <c r="E51" s="95"/>
      <c r="F51" s="95"/>
      <c r="G51" s="95"/>
      <c r="H51" s="264">
        <f t="shared" si="6"/>
        <v>0</v>
      </c>
      <c r="I51" s="95">
        <f>IF(I$6='Prijungimas prie CŠT'!$M$4,IF('TV tinklas'!$A18='Prijungimas prie CŠT'!$M$6,IF('Prijungimas prie CŠT'!$M$11='Prijungimas prie CŠT'!$CX$24,'Prijungimas prie CŠT'!$M$5,0),0),0)</f>
        <v>0</v>
      </c>
      <c r="J51" s="95">
        <f>IF(J$6='Prijungimas prie CŠT'!$M$4,IF('TV tinklas'!$A18='Prijungimas prie CŠT'!$M$6,IF('Prijungimas prie CŠT'!$M$11='Prijungimas prie CŠT'!$CX$24,'Prijungimas prie CŠT'!$M$5,0),0),0)</f>
        <v>0</v>
      </c>
      <c r="K51" s="95">
        <f>IF(K$6='Prijungimas prie CŠT'!$M$4,IF('TV tinklas'!$A18='Prijungimas prie CŠT'!$M$6,IF('Prijungimas prie CŠT'!$M$11='Prijungimas prie CŠT'!$CX$24,'Prijungimas prie CŠT'!$M$5,0),0),0)</f>
        <v>0</v>
      </c>
      <c r="L51" s="95">
        <f>IF(L$6='Prijungimas prie CŠT'!$M$4,IF('TV tinklas'!$A18='Prijungimas prie CŠT'!$M$6,IF('Prijungimas prie CŠT'!$M$11='Prijungimas prie CŠT'!$CX$24,'Prijungimas prie CŠT'!$M$5,0),0),0)</f>
        <v>0</v>
      </c>
    </row>
    <row r="52" spans="1:12" x14ac:dyDescent="0.2">
      <c r="A52" s="98">
        <v>175</v>
      </c>
      <c r="B52" s="263">
        <f>SUM(C52+H52)</f>
        <v>0</v>
      </c>
      <c r="C52" s="264">
        <f>SUM(D52:G52)</f>
        <v>0</v>
      </c>
      <c r="D52" s="95"/>
      <c r="E52" s="95"/>
      <c r="F52" s="95"/>
      <c r="G52" s="95"/>
      <c r="H52" s="264">
        <f t="shared" si="6"/>
        <v>0</v>
      </c>
      <c r="I52" s="95">
        <f>IF(I$6='Prijungimas prie CŠT'!$M$4,IF('TV tinklas'!$A19='Prijungimas prie CŠT'!$M$6,IF('Prijungimas prie CŠT'!$M$11='Prijungimas prie CŠT'!$CX$24,'Prijungimas prie CŠT'!$M$5,0),0),0)</f>
        <v>0</v>
      </c>
      <c r="J52" s="95">
        <f>IF(J$6='Prijungimas prie CŠT'!$M$4,IF('TV tinklas'!$A19='Prijungimas prie CŠT'!$M$6,IF('Prijungimas prie CŠT'!$M$11='Prijungimas prie CŠT'!$CX$24,'Prijungimas prie CŠT'!$M$5,0),0),0)</f>
        <v>0</v>
      </c>
      <c r="K52" s="95">
        <f>IF(K$6='Prijungimas prie CŠT'!$M$4,IF('TV tinklas'!$A19='Prijungimas prie CŠT'!$M$6,IF('Prijungimas prie CŠT'!$M$11='Prijungimas prie CŠT'!$CX$24,'Prijungimas prie CŠT'!$M$5,0),0),0)</f>
        <v>0</v>
      </c>
      <c r="L52" s="95">
        <f>IF(L$6='Prijungimas prie CŠT'!$M$4,IF('TV tinklas'!$A19='Prijungimas prie CŠT'!$M$6,IF('Prijungimas prie CŠT'!$M$11='Prijungimas prie CŠT'!$CX$24,'Prijungimas prie CŠT'!$M$5,0),0),0)</f>
        <v>0</v>
      </c>
    </row>
    <row r="53" spans="1:12" x14ac:dyDescent="0.2">
      <c r="A53" s="98">
        <v>200</v>
      </c>
      <c r="B53" s="263">
        <f t="shared" si="4"/>
        <v>0</v>
      </c>
      <c r="C53" s="264">
        <f t="shared" si="5"/>
        <v>0</v>
      </c>
      <c r="D53" s="95"/>
      <c r="E53" s="95"/>
      <c r="F53" s="95"/>
      <c r="G53" s="95"/>
      <c r="H53" s="264">
        <f t="shared" si="6"/>
        <v>0</v>
      </c>
      <c r="I53" s="95">
        <f>IF(I$6='Prijungimas prie CŠT'!$M$4,IF('TV tinklas'!$A20='Prijungimas prie CŠT'!$M$6,IF('Prijungimas prie CŠT'!$M$11='Prijungimas prie CŠT'!$CX$24,'Prijungimas prie CŠT'!$M$5,0),0),0)</f>
        <v>0</v>
      </c>
      <c r="J53" s="95">
        <f>IF(J$6='Prijungimas prie CŠT'!$M$4,IF('TV tinklas'!$A20='Prijungimas prie CŠT'!$M$6,IF('Prijungimas prie CŠT'!$M$11='Prijungimas prie CŠT'!$CX$24,'Prijungimas prie CŠT'!$M$5,0),0),0)</f>
        <v>0</v>
      </c>
      <c r="K53" s="95">
        <f>IF(K$6='Prijungimas prie CŠT'!$M$4,IF('TV tinklas'!$A20='Prijungimas prie CŠT'!$M$6,IF('Prijungimas prie CŠT'!$M$11='Prijungimas prie CŠT'!$CX$24,'Prijungimas prie CŠT'!$M$5,0),0),0)</f>
        <v>0</v>
      </c>
      <c r="L53" s="95">
        <f>IF(L$6='Prijungimas prie CŠT'!$M$4,IF('TV tinklas'!$A20='Prijungimas prie CŠT'!$M$6,IF('Prijungimas prie CŠT'!$M$11='Prijungimas prie CŠT'!$CX$24,'Prijungimas prie CŠT'!$M$5,0),0),0)</f>
        <v>0</v>
      </c>
    </row>
    <row r="54" spans="1:12" x14ac:dyDescent="0.2">
      <c r="A54" s="98">
        <v>250</v>
      </c>
      <c r="B54" s="263">
        <f t="shared" si="4"/>
        <v>0</v>
      </c>
      <c r="C54" s="264">
        <f t="shared" si="5"/>
        <v>0</v>
      </c>
      <c r="D54" s="95"/>
      <c r="E54" s="95"/>
      <c r="F54" s="95"/>
      <c r="G54" s="95"/>
      <c r="H54" s="264">
        <f t="shared" si="6"/>
        <v>0</v>
      </c>
      <c r="I54" s="95">
        <f>IF(I$6='Prijungimas prie CŠT'!$M$4,IF('TV tinklas'!$A21='Prijungimas prie CŠT'!$M$6,IF('Prijungimas prie CŠT'!$M$11='Prijungimas prie CŠT'!$CX$24,'Prijungimas prie CŠT'!$M$5,0),0),0)</f>
        <v>0</v>
      </c>
      <c r="J54" s="95">
        <f>IF(J$6='Prijungimas prie CŠT'!$M$4,IF('TV tinklas'!$A21='Prijungimas prie CŠT'!$M$6,IF('Prijungimas prie CŠT'!$M$11='Prijungimas prie CŠT'!$CX$24,'Prijungimas prie CŠT'!$M$5,0),0),0)</f>
        <v>0</v>
      </c>
      <c r="K54" s="95">
        <f>IF(K$6='Prijungimas prie CŠT'!$M$4,IF('TV tinklas'!$A21='Prijungimas prie CŠT'!$M$6,IF('Prijungimas prie CŠT'!$M$11='Prijungimas prie CŠT'!$CX$24,'Prijungimas prie CŠT'!$M$5,0),0),0)</f>
        <v>0</v>
      </c>
      <c r="L54" s="95">
        <f>IF(L$6='Prijungimas prie CŠT'!$M$4,IF('TV tinklas'!$A21='Prijungimas prie CŠT'!$M$6,IF('Prijungimas prie CŠT'!$M$11='Prijungimas prie CŠT'!$CX$24,'Prijungimas prie CŠT'!$M$5,0),0),0)</f>
        <v>0</v>
      </c>
    </row>
    <row r="55" spans="1:12" x14ac:dyDescent="0.2">
      <c r="A55" s="98">
        <v>300</v>
      </c>
      <c r="B55" s="263">
        <f t="shared" si="4"/>
        <v>0</v>
      </c>
      <c r="C55" s="264">
        <f t="shared" si="5"/>
        <v>0</v>
      </c>
      <c r="D55" s="95"/>
      <c r="E55" s="95"/>
      <c r="F55" s="95"/>
      <c r="G55" s="95"/>
      <c r="H55" s="264">
        <f t="shared" si="6"/>
        <v>0</v>
      </c>
      <c r="I55" s="95">
        <f>IF(I$6='Prijungimas prie CŠT'!$M$4,IF('TV tinklas'!$A22='Prijungimas prie CŠT'!$M$6,IF('Prijungimas prie CŠT'!$M$11='Prijungimas prie CŠT'!$CX$24,'Prijungimas prie CŠT'!$M$5,0),0),0)</f>
        <v>0</v>
      </c>
      <c r="J55" s="95">
        <f>IF(J$6='Prijungimas prie CŠT'!$M$4,IF('TV tinklas'!$A22='Prijungimas prie CŠT'!$M$6,IF('Prijungimas prie CŠT'!$M$11='Prijungimas prie CŠT'!$CX$24,'Prijungimas prie CŠT'!$M$5,0),0),0)</f>
        <v>0</v>
      </c>
      <c r="K55" s="95">
        <f>IF(K$6='Prijungimas prie CŠT'!$M$4,IF('TV tinklas'!$A22='Prijungimas prie CŠT'!$M$6,IF('Prijungimas prie CŠT'!$M$11='Prijungimas prie CŠT'!$CX$24,'Prijungimas prie CŠT'!$M$5,0),0),0)</f>
        <v>0</v>
      </c>
      <c r="L55" s="95">
        <f>IF(L$6='Prijungimas prie CŠT'!$M$4,IF('TV tinklas'!$A22='Prijungimas prie CŠT'!$M$6,IF('Prijungimas prie CŠT'!$M$11='Prijungimas prie CŠT'!$CX$24,'Prijungimas prie CŠT'!$M$5,0),0),0)</f>
        <v>0</v>
      </c>
    </row>
    <row r="56" spans="1:12" x14ac:dyDescent="0.2">
      <c r="A56" s="98">
        <v>350</v>
      </c>
      <c r="B56" s="263">
        <f t="shared" si="4"/>
        <v>0</v>
      </c>
      <c r="C56" s="264">
        <f t="shared" si="5"/>
        <v>0</v>
      </c>
      <c r="D56" s="95"/>
      <c r="E56" s="95"/>
      <c r="F56" s="95"/>
      <c r="G56" s="95"/>
      <c r="H56" s="264">
        <f t="shared" si="6"/>
        <v>0</v>
      </c>
      <c r="I56" s="95">
        <f>IF(I$6='Prijungimas prie CŠT'!$M$4,IF('TV tinklas'!$A23='Prijungimas prie CŠT'!$M$6,IF('Prijungimas prie CŠT'!$M$11='Prijungimas prie CŠT'!$CX$24,'Prijungimas prie CŠT'!$M$5,0),0),0)</f>
        <v>0</v>
      </c>
      <c r="J56" s="95">
        <f>IF(J$6='Prijungimas prie CŠT'!$M$4,IF('TV tinklas'!$A23='Prijungimas prie CŠT'!$M$6,IF('Prijungimas prie CŠT'!$M$11='Prijungimas prie CŠT'!$CX$24,'Prijungimas prie CŠT'!$M$5,0),0),0)</f>
        <v>0</v>
      </c>
      <c r="K56" s="95">
        <f>IF(K$6='Prijungimas prie CŠT'!$M$4,IF('TV tinklas'!$A23='Prijungimas prie CŠT'!$M$6,IF('Prijungimas prie CŠT'!$M$11='Prijungimas prie CŠT'!$CX$24,'Prijungimas prie CŠT'!$M$5,0),0),0)</f>
        <v>0</v>
      </c>
      <c r="L56" s="95">
        <f>IF(L$6='Prijungimas prie CŠT'!$M$4,IF('TV tinklas'!$A23='Prijungimas prie CŠT'!$M$6,IF('Prijungimas prie CŠT'!$M$11='Prijungimas prie CŠT'!$CX$24,'Prijungimas prie CŠT'!$M$5,0),0),0)</f>
        <v>0</v>
      </c>
    </row>
    <row r="57" spans="1:12" x14ac:dyDescent="0.2">
      <c r="A57" s="98">
        <v>400</v>
      </c>
      <c r="B57" s="263">
        <f t="shared" si="4"/>
        <v>0</v>
      </c>
      <c r="C57" s="264">
        <f t="shared" si="5"/>
        <v>0</v>
      </c>
      <c r="D57" s="95"/>
      <c r="E57" s="95"/>
      <c r="F57" s="95"/>
      <c r="G57" s="95"/>
      <c r="H57" s="264">
        <f t="shared" si="6"/>
        <v>0</v>
      </c>
      <c r="I57" s="95">
        <f>IF(I$6='Prijungimas prie CŠT'!$M$4,IF('TV tinklas'!$A24='Prijungimas prie CŠT'!$M$6,IF('Prijungimas prie CŠT'!$M$11='Prijungimas prie CŠT'!$CX$24,'Prijungimas prie CŠT'!$M$5,0),0),0)</f>
        <v>0</v>
      </c>
      <c r="J57" s="95">
        <f>IF(J$6='Prijungimas prie CŠT'!$M$4,IF('TV tinklas'!$A24='Prijungimas prie CŠT'!$M$6,IF('Prijungimas prie CŠT'!$M$11='Prijungimas prie CŠT'!$CX$24,'Prijungimas prie CŠT'!$M$5,0),0),0)</f>
        <v>0</v>
      </c>
      <c r="K57" s="95">
        <f>IF(K$6='Prijungimas prie CŠT'!$M$4,IF('TV tinklas'!$A24='Prijungimas prie CŠT'!$M$6,IF('Prijungimas prie CŠT'!$M$11='Prijungimas prie CŠT'!$CX$24,'Prijungimas prie CŠT'!$M$5,0),0),0)</f>
        <v>0</v>
      </c>
      <c r="L57" s="95">
        <f>IF(L$6='Prijungimas prie CŠT'!$M$4,IF('TV tinklas'!$A24='Prijungimas prie CŠT'!$M$6,IF('Prijungimas prie CŠT'!$M$11='Prijungimas prie CŠT'!$CX$24,'Prijungimas prie CŠT'!$M$5,0),0),0)</f>
        <v>0</v>
      </c>
    </row>
    <row r="58" spans="1:12" x14ac:dyDescent="0.2">
      <c r="A58" s="98">
        <v>450</v>
      </c>
      <c r="B58" s="263">
        <f t="shared" si="4"/>
        <v>0</v>
      </c>
      <c r="C58" s="264">
        <f t="shared" si="5"/>
        <v>0</v>
      </c>
      <c r="D58" s="95"/>
      <c r="E58" s="95"/>
      <c r="F58" s="95"/>
      <c r="G58" s="95"/>
      <c r="H58" s="264">
        <f t="shared" si="6"/>
        <v>0</v>
      </c>
      <c r="I58" s="95">
        <f>IF(I$6='Prijungimas prie CŠT'!$M$4,IF('TV tinklas'!$A25='Prijungimas prie CŠT'!$M$6,IF('Prijungimas prie CŠT'!$M$11='Prijungimas prie CŠT'!$CX$24,'Prijungimas prie CŠT'!$M$5,0),0),0)</f>
        <v>0</v>
      </c>
      <c r="J58" s="95">
        <f>IF(J$6='Prijungimas prie CŠT'!$M$4,IF('TV tinklas'!$A25='Prijungimas prie CŠT'!$M$6,IF('Prijungimas prie CŠT'!$M$11='Prijungimas prie CŠT'!$CX$24,'Prijungimas prie CŠT'!$M$5,0),0),0)</f>
        <v>0</v>
      </c>
      <c r="K58" s="95">
        <f>IF(K$6='Prijungimas prie CŠT'!$M$4,IF('TV tinklas'!$A25='Prijungimas prie CŠT'!$M$6,IF('Prijungimas prie CŠT'!$M$11='Prijungimas prie CŠT'!$CX$24,'Prijungimas prie CŠT'!$M$5,0),0),0)</f>
        <v>0</v>
      </c>
      <c r="L58" s="95">
        <f>IF(L$6='Prijungimas prie CŠT'!$M$4,IF('TV tinklas'!$A25='Prijungimas prie CŠT'!$M$6,IF('Prijungimas prie CŠT'!$M$11='Prijungimas prie CŠT'!$CX$24,'Prijungimas prie CŠT'!$M$5,0),0),0)</f>
        <v>0</v>
      </c>
    </row>
    <row r="59" spans="1:12" x14ac:dyDescent="0.2">
      <c r="A59" s="98">
        <v>500</v>
      </c>
      <c r="B59" s="263">
        <f t="shared" si="4"/>
        <v>0</v>
      </c>
      <c r="C59" s="264">
        <f t="shared" si="5"/>
        <v>0</v>
      </c>
      <c r="D59" s="95"/>
      <c r="E59" s="95"/>
      <c r="F59" s="95"/>
      <c r="G59" s="95"/>
      <c r="H59" s="264">
        <f t="shared" si="6"/>
        <v>0</v>
      </c>
      <c r="I59" s="95">
        <f>IF(I$6='Prijungimas prie CŠT'!$M$4,IF('TV tinklas'!$A26='Prijungimas prie CŠT'!$M$6,IF('Prijungimas prie CŠT'!$M$11='Prijungimas prie CŠT'!$CX$24,'Prijungimas prie CŠT'!$M$5,0),0),0)</f>
        <v>0</v>
      </c>
      <c r="J59" s="95">
        <f>IF(J$6='Prijungimas prie CŠT'!$M$4,IF('TV tinklas'!$A26='Prijungimas prie CŠT'!$M$6,IF('Prijungimas prie CŠT'!$M$11='Prijungimas prie CŠT'!$CX$24,'Prijungimas prie CŠT'!$M$5,0),0),0)</f>
        <v>0</v>
      </c>
      <c r="K59" s="95">
        <f>IF(K$6='Prijungimas prie CŠT'!$M$4,IF('TV tinklas'!$A26='Prijungimas prie CŠT'!$M$6,IF('Prijungimas prie CŠT'!$M$11='Prijungimas prie CŠT'!$CX$24,'Prijungimas prie CŠT'!$M$5,0),0),0)</f>
        <v>0</v>
      </c>
      <c r="L59" s="95">
        <f>IF(L$6='Prijungimas prie CŠT'!$M$4,IF('TV tinklas'!$A26='Prijungimas prie CŠT'!$M$6,IF('Prijungimas prie CŠT'!$M$11='Prijungimas prie CŠT'!$CX$24,'Prijungimas prie CŠT'!$M$5,0),0),0)</f>
        <v>0</v>
      </c>
    </row>
    <row r="60" spans="1:12" x14ac:dyDescent="0.2">
      <c r="A60" s="98">
        <v>600</v>
      </c>
      <c r="B60" s="263">
        <f t="shared" si="4"/>
        <v>0</v>
      </c>
      <c r="C60" s="264">
        <f t="shared" si="5"/>
        <v>0</v>
      </c>
      <c r="D60" s="95"/>
      <c r="E60" s="95"/>
      <c r="F60" s="95"/>
      <c r="G60" s="95"/>
      <c r="H60" s="264">
        <f t="shared" si="6"/>
        <v>0</v>
      </c>
      <c r="I60" s="95">
        <f>IF(I$6='Prijungimas prie CŠT'!$M$4,IF('TV tinklas'!$A27='Prijungimas prie CŠT'!$M$6,IF('Prijungimas prie CŠT'!$M$11='Prijungimas prie CŠT'!$CX$24,'Prijungimas prie CŠT'!$M$5,0),0),0)</f>
        <v>0</v>
      </c>
      <c r="J60" s="95">
        <f>IF(J$6='Prijungimas prie CŠT'!$M$4,IF('TV tinklas'!$A27='Prijungimas prie CŠT'!$M$6,IF('Prijungimas prie CŠT'!$M$11='Prijungimas prie CŠT'!$CX$24,'Prijungimas prie CŠT'!$M$5,0),0),0)</f>
        <v>0</v>
      </c>
      <c r="K60" s="95">
        <f>IF(K$6='Prijungimas prie CŠT'!$M$4,IF('TV tinklas'!$A27='Prijungimas prie CŠT'!$M$6,IF('Prijungimas prie CŠT'!$M$11='Prijungimas prie CŠT'!$CX$24,'Prijungimas prie CŠT'!$M$5,0),0),0)</f>
        <v>0</v>
      </c>
      <c r="L60" s="95">
        <f>IF(L$6='Prijungimas prie CŠT'!$M$4,IF('TV tinklas'!$A27='Prijungimas prie CŠT'!$M$6,IF('Prijungimas prie CŠT'!$M$11='Prijungimas prie CŠT'!$CX$24,'Prijungimas prie CŠT'!$M$5,0),0),0)</f>
        <v>0</v>
      </c>
    </row>
    <row r="61" spans="1:12" x14ac:dyDescent="0.2">
      <c r="A61" s="98">
        <v>700</v>
      </c>
      <c r="B61" s="263">
        <f t="shared" si="4"/>
        <v>0</v>
      </c>
      <c r="C61" s="264">
        <f t="shared" si="5"/>
        <v>0</v>
      </c>
      <c r="D61" s="95"/>
      <c r="E61" s="95"/>
      <c r="F61" s="95"/>
      <c r="G61" s="95"/>
      <c r="H61" s="264">
        <f t="shared" si="6"/>
        <v>0</v>
      </c>
      <c r="I61" s="95">
        <f>IF(I$6='Prijungimas prie CŠT'!$M$4,IF('TV tinklas'!$A28='Prijungimas prie CŠT'!$M$6,IF('Prijungimas prie CŠT'!$M$11='Prijungimas prie CŠT'!$CX$24,'Prijungimas prie CŠT'!$M$5,0),0),0)</f>
        <v>0</v>
      </c>
      <c r="J61" s="95">
        <f>IF(J$6='Prijungimas prie CŠT'!$M$4,IF('TV tinklas'!$A28='Prijungimas prie CŠT'!$M$6,IF('Prijungimas prie CŠT'!$M$11='Prijungimas prie CŠT'!$CX$24,'Prijungimas prie CŠT'!$M$5,0),0),0)</f>
        <v>0</v>
      </c>
      <c r="K61" s="95">
        <f>IF(K$6='Prijungimas prie CŠT'!$M$4,IF('TV tinklas'!$A28='Prijungimas prie CŠT'!$M$6,IF('Prijungimas prie CŠT'!$M$11='Prijungimas prie CŠT'!$CX$24,'Prijungimas prie CŠT'!$M$5,0),0),0)</f>
        <v>0</v>
      </c>
      <c r="L61" s="95">
        <f>IF(L$6='Prijungimas prie CŠT'!$M$4,IF('TV tinklas'!$A28='Prijungimas prie CŠT'!$M$6,IF('Prijungimas prie CŠT'!$M$11='Prijungimas prie CŠT'!$CX$24,'Prijungimas prie CŠT'!$M$5,0),0),0)</f>
        <v>0</v>
      </c>
    </row>
    <row r="62" spans="1:12" x14ac:dyDescent="0.2">
      <c r="A62" s="98">
        <v>800</v>
      </c>
      <c r="B62" s="263">
        <f t="shared" si="4"/>
        <v>0</v>
      </c>
      <c r="C62" s="264">
        <f t="shared" si="5"/>
        <v>0</v>
      </c>
      <c r="D62" s="95"/>
      <c r="E62" s="95"/>
      <c r="F62" s="95"/>
      <c r="G62" s="95"/>
      <c r="H62" s="264">
        <f t="shared" si="6"/>
        <v>0</v>
      </c>
      <c r="I62" s="95">
        <f>IF(I$6='Prijungimas prie CŠT'!$M$4,IF('TV tinklas'!$A29='Prijungimas prie CŠT'!$M$6,IF('Prijungimas prie CŠT'!$M$11='Prijungimas prie CŠT'!$CX$24,'Prijungimas prie CŠT'!$M$5,0),0),0)</f>
        <v>0</v>
      </c>
      <c r="J62" s="95">
        <f>IF(J$6='Prijungimas prie CŠT'!$M$4,IF('TV tinklas'!$A29='Prijungimas prie CŠT'!$M$6,IF('Prijungimas prie CŠT'!$M$11='Prijungimas prie CŠT'!$CX$24,'Prijungimas prie CŠT'!$M$5,0),0),0)</f>
        <v>0</v>
      </c>
      <c r="K62" s="95">
        <f>IF(K$6='Prijungimas prie CŠT'!$M$4,IF('TV tinklas'!$A29='Prijungimas prie CŠT'!$M$6,IF('Prijungimas prie CŠT'!$M$11='Prijungimas prie CŠT'!$CX$24,'Prijungimas prie CŠT'!$M$5,0),0),0)</f>
        <v>0</v>
      </c>
      <c r="L62" s="95">
        <f>IF(L$6='Prijungimas prie CŠT'!$M$4,IF('TV tinklas'!$A29='Prijungimas prie CŠT'!$M$6,IF('Prijungimas prie CŠT'!$M$11='Prijungimas prie CŠT'!$CX$24,'Prijungimas prie CŠT'!$M$5,0),0),0)</f>
        <v>0</v>
      </c>
    </row>
    <row r="63" spans="1:12" x14ac:dyDescent="0.2">
      <c r="A63" s="98">
        <v>900</v>
      </c>
      <c r="B63" s="263">
        <f t="shared" si="4"/>
        <v>0</v>
      </c>
      <c r="C63" s="264">
        <f t="shared" si="5"/>
        <v>0</v>
      </c>
      <c r="D63" s="95"/>
      <c r="E63" s="95"/>
      <c r="F63" s="95"/>
      <c r="G63" s="95"/>
      <c r="H63" s="264">
        <f t="shared" si="6"/>
        <v>0</v>
      </c>
      <c r="I63" s="95">
        <f>IF(I$6='Prijungimas prie CŠT'!$M$4,IF('TV tinklas'!$A30='Prijungimas prie CŠT'!$M$6,IF('Prijungimas prie CŠT'!$M$11='Prijungimas prie CŠT'!$CX$24,'Prijungimas prie CŠT'!$M$5,0),0),0)</f>
        <v>0</v>
      </c>
      <c r="J63" s="95">
        <f>IF(J$6='Prijungimas prie CŠT'!$M$4,IF('TV tinklas'!$A30='Prijungimas prie CŠT'!$M$6,IF('Prijungimas prie CŠT'!$M$11='Prijungimas prie CŠT'!$CX$24,'Prijungimas prie CŠT'!$M$5,0),0),0)</f>
        <v>0</v>
      </c>
      <c r="K63" s="95">
        <f>IF(K$6='Prijungimas prie CŠT'!$M$4,IF('TV tinklas'!$A30='Prijungimas prie CŠT'!$M$6,IF('Prijungimas prie CŠT'!$M$11='Prijungimas prie CŠT'!$CX$24,'Prijungimas prie CŠT'!$M$5,0),0),0)</f>
        <v>0</v>
      </c>
      <c r="L63" s="95">
        <f>IF(L$6='Prijungimas prie CŠT'!$M$4,IF('TV tinklas'!$A30='Prijungimas prie CŠT'!$M$6,IF('Prijungimas prie CŠT'!$M$11='Prijungimas prie CŠT'!$CX$24,'Prijungimas prie CŠT'!$M$5,0),0),0)</f>
        <v>0</v>
      </c>
    </row>
    <row r="64" spans="1:12" x14ac:dyDescent="0.2">
      <c r="A64" s="98">
        <v>1000</v>
      </c>
      <c r="B64" s="263">
        <f t="shared" si="4"/>
        <v>0</v>
      </c>
      <c r="C64" s="264">
        <f t="shared" si="5"/>
        <v>0</v>
      </c>
      <c r="D64" s="95"/>
      <c r="E64" s="95"/>
      <c r="F64" s="95"/>
      <c r="G64" s="95"/>
      <c r="H64" s="264">
        <f t="shared" si="6"/>
        <v>0</v>
      </c>
      <c r="I64" s="95">
        <f>IF(I$6='Prijungimas prie CŠT'!$M$4,IF('TV tinklas'!$A31='Prijungimas prie CŠT'!$M$6,IF('Prijungimas prie CŠT'!$M$11='Prijungimas prie CŠT'!$CX$24,'Prijungimas prie CŠT'!$M$5,0),0),0)</f>
        <v>0</v>
      </c>
      <c r="J64" s="95">
        <f>IF(J$6='Prijungimas prie CŠT'!$M$4,IF('TV tinklas'!$A31='Prijungimas prie CŠT'!$M$6,IF('Prijungimas prie CŠT'!$M$11='Prijungimas prie CŠT'!$CX$24,'Prijungimas prie CŠT'!$M$5,0),0),0)</f>
        <v>0</v>
      </c>
      <c r="K64" s="95">
        <f>IF(K$6='Prijungimas prie CŠT'!$M$4,IF('TV tinklas'!$A31='Prijungimas prie CŠT'!$M$6,IF('Prijungimas prie CŠT'!$M$11='Prijungimas prie CŠT'!$CX$24,'Prijungimas prie CŠT'!$M$5,0),0),0)</f>
        <v>0</v>
      </c>
      <c r="L64" s="95">
        <f>IF(L$6='Prijungimas prie CŠT'!$M$4,IF('TV tinklas'!$A31='Prijungimas prie CŠT'!$M$6,IF('Prijungimas prie CŠT'!$M$11='Prijungimas prie CŠT'!$CX$24,'Prijungimas prie CŠT'!$M$5,0),0),0)</f>
        <v>0</v>
      </c>
    </row>
    <row r="65" spans="1:12" x14ac:dyDescent="0.2">
      <c r="A65" s="98">
        <v>1100</v>
      </c>
      <c r="B65" s="263">
        <f>SUM(C65+H65)</f>
        <v>0</v>
      </c>
      <c r="C65" s="264">
        <f>SUM(D65:G65)</f>
        <v>0</v>
      </c>
      <c r="D65" s="95"/>
      <c r="E65" s="95"/>
      <c r="F65" s="95"/>
      <c r="G65" s="95"/>
      <c r="H65" s="264">
        <f t="shared" si="6"/>
        <v>0</v>
      </c>
      <c r="I65" s="95">
        <f>IF(I$6='Prijungimas prie CŠT'!$M$4,IF('TV tinklas'!$A32='Prijungimas prie CŠT'!$M$6,IF('Prijungimas prie CŠT'!$M$11='Prijungimas prie CŠT'!$CX$24,'Prijungimas prie CŠT'!$M$5,0),0),0)</f>
        <v>0</v>
      </c>
      <c r="J65" s="95">
        <f>IF(J$6='Prijungimas prie CŠT'!$M$4,IF('TV tinklas'!$A32='Prijungimas prie CŠT'!$M$6,IF('Prijungimas prie CŠT'!$M$11='Prijungimas prie CŠT'!$CX$24,'Prijungimas prie CŠT'!$M$5,0),0),0)</f>
        <v>0</v>
      </c>
      <c r="K65" s="95">
        <f>IF(K$6='Prijungimas prie CŠT'!$M$4,IF('TV tinklas'!$A32='Prijungimas prie CŠT'!$M$6,IF('Prijungimas prie CŠT'!$M$11='Prijungimas prie CŠT'!$CX$24,'Prijungimas prie CŠT'!$M$5,0),0),0)</f>
        <v>0</v>
      </c>
      <c r="L65" s="95">
        <f>IF(L$6='Prijungimas prie CŠT'!$M$4,IF('TV tinklas'!$A32='Prijungimas prie CŠT'!$M$6,IF('Prijungimas prie CŠT'!$M$11='Prijungimas prie CŠT'!$CX$24,'Prijungimas prie CŠT'!$M$5,0),0),0)</f>
        <v>0</v>
      </c>
    </row>
    <row r="66" spans="1:12" x14ac:dyDescent="0.2">
      <c r="A66" s="98">
        <v>1200</v>
      </c>
      <c r="B66" s="263">
        <f>SUM(C66+H66)</f>
        <v>0</v>
      </c>
      <c r="C66" s="264">
        <f>SUM(D66:G66)</f>
        <v>0</v>
      </c>
      <c r="D66" s="95"/>
      <c r="E66" s="95"/>
      <c r="F66" s="95"/>
      <c r="G66" s="95"/>
      <c r="H66" s="264">
        <f>SUM(I66:L66)</f>
        <v>0</v>
      </c>
      <c r="I66" s="95">
        <f>IF(I$6='Prijungimas prie CŠT'!$M$4,IF('TV tinklas'!$A33='Prijungimas prie CŠT'!$M$6,IF('Prijungimas prie CŠT'!$M$11='Prijungimas prie CŠT'!$CX$24,'Prijungimas prie CŠT'!$M$5,0),0),0)</f>
        <v>0</v>
      </c>
      <c r="J66" s="95">
        <f>IF(J$6='Prijungimas prie CŠT'!$M$4,IF('TV tinklas'!$A33='Prijungimas prie CŠT'!$M$6,IF('Prijungimas prie CŠT'!$M$11='Prijungimas prie CŠT'!$CX$24,'Prijungimas prie CŠT'!$M$5,0),0),0)</f>
        <v>0</v>
      </c>
      <c r="K66" s="95">
        <f>IF(K$6='Prijungimas prie CŠT'!$M$4,IF('TV tinklas'!$A33='Prijungimas prie CŠT'!$M$6,IF('Prijungimas prie CŠT'!$M$11='Prijungimas prie CŠT'!$CX$24,'Prijungimas prie CŠT'!$M$5,0),0),0)</f>
        <v>0</v>
      </c>
      <c r="L66" s="95">
        <f>IF(L$6='Prijungimas prie CŠT'!$M$4,IF('TV tinklas'!$A33='Prijungimas prie CŠT'!$M$6,IF('Prijungimas prie CŠT'!$M$11='Prijungimas prie CŠT'!$CX$24,'Prijungimas prie CŠT'!$M$5,0),0),0)</f>
        <v>0</v>
      </c>
    </row>
    <row r="67" spans="1:12" x14ac:dyDescent="0.2">
      <c r="A67" s="265" t="s">
        <v>138</v>
      </c>
      <c r="B67" s="267">
        <f>SUM(B42:B66)</f>
        <v>100</v>
      </c>
      <c r="C67" s="267">
        <f t="shared" ref="C67:L67" si="7">SUM(C42:C66)</f>
        <v>0</v>
      </c>
      <c r="D67" s="267">
        <f t="shared" si="7"/>
        <v>0</v>
      </c>
      <c r="E67" s="267">
        <f t="shared" si="7"/>
        <v>0</v>
      </c>
      <c r="F67" s="267">
        <f t="shared" si="7"/>
        <v>0</v>
      </c>
      <c r="G67" s="267">
        <f t="shared" si="7"/>
        <v>0</v>
      </c>
      <c r="H67" s="267">
        <f t="shared" si="7"/>
        <v>100</v>
      </c>
      <c r="I67" s="267">
        <f t="shared" si="7"/>
        <v>0</v>
      </c>
      <c r="J67" s="267">
        <f t="shared" si="7"/>
        <v>0</v>
      </c>
      <c r="K67" s="267">
        <f t="shared" si="7"/>
        <v>100</v>
      </c>
      <c r="L67" s="267">
        <f t="shared" si="7"/>
        <v>0</v>
      </c>
    </row>
    <row r="68" spans="1:12" x14ac:dyDescent="0.2">
      <c r="A68" s="102" t="s">
        <v>305</v>
      </c>
      <c r="B68" s="90"/>
      <c r="C68" s="90"/>
      <c r="D68" s="90"/>
      <c r="E68" s="90"/>
      <c r="F68" s="90"/>
      <c r="G68" s="269"/>
      <c r="H68" s="270"/>
      <c r="I68" s="269"/>
      <c r="J68" s="269"/>
      <c r="K68" s="269"/>
      <c r="L68" s="271"/>
    </row>
  </sheetData>
  <protectedRanges>
    <protectedRange sqref="G9:G24" name="Diapazonas4"/>
    <protectedRange sqref="E9:E31" name="Diapazonas2"/>
    <protectedRange sqref="D9:D33" name="Diapazonas1"/>
    <protectedRange sqref="F9:F33" name="Diapazonas3"/>
    <protectedRange sqref="I9:L33" name="Diapazonas5"/>
  </protectedRanges>
  <mergeCells count="16">
    <mergeCell ref="A2:L2"/>
    <mergeCell ref="N5:R5"/>
    <mergeCell ref="N39:N41"/>
    <mergeCell ref="O39:P41"/>
    <mergeCell ref="C38:G38"/>
    <mergeCell ref="C5:G5"/>
    <mergeCell ref="H5:L5"/>
    <mergeCell ref="H38:L38"/>
    <mergeCell ref="I6:I7"/>
    <mergeCell ref="J6:J7"/>
    <mergeCell ref="K6:K7"/>
    <mergeCell ref="L6:L7"/>
    <mergeCell ref="I39:I40"/>
    <mergeCell ref="J39:J40"/>
    <mergeCell ref="K39:K40"/>
    <mergeCell ref="L39:L40"/>
  </mergeCells>
  <phoneticPr fontId="5" type="noConversion"/>
  <printOptions horizontalCentered="1" verticalCentered="1"/>
  <pageMargins left="0.51" right="0.17" top="0.46" bottom="0.21" header="0.39" footer="0.16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showGridLines="0" showZeros="0" zoomScaleNormal="100" workbookViewId="0">
      <selection activeCell="F36" sqref="F36"/>
    </sheetView>
  </sheetViews>
  <sheetFormatPr defaultColWidth="9.33203125" defaultRowHeight="12.75" x14ac:dyDescent="0.2"/>
  <cols>
    <col min="1" max="12" width="11.5" style="103" customWidth="1"/>
    <col min="13" max="16384" width="9.33203125" style="103"/>
  </cols>
  <sheetData>
    <row r="1" spans="1:12" x14ac:dyDescent="0.2">
      <c r="A1" s="103">
        <f>'Pradiniai duomenys'!A1</f>
        <v>0</v>
      </c>
    </row>
    <row r="2" spans="1:12" ht="15.75" x14ac:dyDescent="0.25">
      <c r="A2" s="535" t="s">
        <v>306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</row>
    <row r="3" spans="1:12" ht="10.5" customHeight="1" x14ac:dyDescent="0.25">
      <c r="A3" s="273"/>
      <c r="B3" s="90"/>
      <c r="C3" s="274"/>
      <c r="D3" s="274"/>
      <c r="F3" s="104"/>
    </row>
    <row r="4" spans="1:12" x14ac:dyDescent="0.2">
      <c r="A4" s="253" t="s">
        <v>279</v>
      </c>
      <c r="D4" s="104"/>
      <c r="I4" s="254"/>
      <c r="J4" s="254"/>
    </row>
    <row r="5" spans="1:12" x14ac:dyDescent="0.2">
      <c r="A5" s="255"/>
      <c r="B5" s="256"/>
      <c r="C5" s="539" t="s">
        <v>112</v>
      </c>
      <c r="D5" s="540"/>
      <c r="E5" s="540"/>
      <c r="F5" s="540"/>
      <c r="G5" s="540"/>
      <c r="H5" s="539" t="s">
        <v>113</v>
      </c>
      <c r="I5" s="540"/>
      <c r="J5" s="540"/>
      <c r="K5" s="540"/>
      <c r="L5" s="544"/>
    </row>
    <row r="6" spans="1:12" x14ac:dyDescent="0.2">
      <c r="A6" s="258" t="s">
        <v>82</v>
      </c>
      <c r="B6" s="259" t="s">
        <v>83</v>
      </c>
      <c r="C6" s="259" t="s">
        <v>83</v>
      </c>
      <c r="D6" s="259" t="s">
        <v>132</v>
      </c>
      <c r="E6" s="259" t="s">
        <v>133</v>
      </c>
      <c r="F6" s="259" t="s">
        <v>134</v>
      </c>
      <c r="G6" s="260" t="s">
        <v>137</v>
      </c>
      <c r="H6" s="259" t="s">
        <v>83</v>
      </c>
      <c r="I6" s="259" t="s">
        <v>132</v>
      </c>
      <c r="J6" s="259" t="s">
        <v>133</v>
      </c>
      <c r="K6" s="259" t="s">
        <v>134</v>
      </c>
      <c r="L6" s="260" t="s">
        <v>137</v>
      </c>
    </row>
    <row r="7" spans="1:12" x14ac:dyDescent="0.2">
      <c r="A7" s="258" t="s">
        <v>124</v>
      </c>
      <c r="B7" s="259" t="s">
        <v>26</v>
      </c>
      <c r="C7" s="259" t="s">
        <v>26</v>
      </c>
      <c r="D7" s="259" t="s">
        <v>300</v>
      </c>
      <c r="E7" s="259" t="s">
        <v>301</v>
      </c>
      <c r="F7" s="259" t="s">
        <v>302</v>
      </c>
      <c r="G7" s="260" t="s">
        <v>303</v>
      </c>
      <c r="H7" s="259" t="s">
        <v>26</v>
      </c>
      <c r="I7" s="260" t="s">
        <v>300</v>
      </c>
      <c r="J7" s="259" t="s">
        <v>301</v>
      </c>
      <c r="K7" s="260" t="s">
        <v>302</v>
      </c>
      <c r="L7" s="260" t="s">
        <v>303</v>
      </c>
    </row>
    <row r="8" spans="1:12" x14ac:dyDescent="0.2">
      <c r="A8" s="205" t="s">
        <v>0</v>
      </c>
      <c r="B8" s="261" t="s">
        <v>88</v>
      </c>
      <c r="C8" s="261" t="s">
        <v>1</v>
      </c>
      <c r="D8" s="261" t="s">
        <v>1</v>
      </c>
      <c r="E8" s="261" t="s">
        <v>1</v>
      </c>
      <c r="F8" s="261" t="s">
        <v>1</v>
      </c>
      <c r="G8" s="262" t="s">
        <v>1</v>
      </c>
      <c r="H8" s="261" t="s">
        <v>1</v>
      </c>
      <c r="I8" s="262" t="s">
        <v>1</v>
      </c>
      <c r="J8" s="261" t="s">
        <v>1</v>
      </c>
      <c r="K8" s="262" t="s">
        <v>1</v>
      </c>
      <c r="L8" s="262" t="s">
        <v>1</v>
      </c>
    </row>
    <row r="9" spans="1:12" x14ac:dyDescent="0.2">
      <c r="A9" s="205" t="s">
        <v>64</v>
      </c>
      <c r="B9" s="263">
        <f t="shared" ref="B9:B23" si="0">SUM(C9+H9)</f>
        <v>0</v>
      </c>
      <c r="C9" s="264">
        <f t="shared" ref="C9:C23" si="1">SUM(D9:G9)</f>
        <v>0</v>
      </c>
      <c r="D9" s="95">
        <v>0</v>
      </c>
      <c r="E9" s="95">
        <v>0</v>
      </c>
      <c r="F9" s="95">
        <v>0</v>
      </c>
      <c r="G9" s="95">
        <v>0</v>
      </c>
      <c r="H9" s="264">
        <f t="shared" ref="H9:H23" si="2">SUM(I9:L9)</f>
        <v>0</v>
      </c>
      <c r="I9" s="95">
        <v>0</v>
      </c>
      <c r="J9" s="95">
        <v>0</v>
      </c>
      <c r="K9" s="95">
        <v>0</v>
      </c>
      <c r="L9" s="95">
        <v>0</v>
      </c>
    </row>
    <row r="10" spans="1:12" x14ac:dyDescent="0.2">
      <c r="A10" s="98" t="s">
        <v>65</v>
      </c>
      <c r="B10" s="263">
        <f t="shared" si="0"/>
        <v>0</v>
      </c>
      <c r="C10" s="264">
        <f t="shared" si="1"/>
        <v>0</v>
      </c>
      <c r="D10" s="95">
        <v>0</v>
      </c>
      <c r="E10" s="95">
        <v>0</v>
      </c>
      <c r="F10" s="95">
        <v>0</v>
      </c>
      <c r="G10" s="95">
        <v>0</v>
      </c>
      <c r="H10" s="264">
        <f t="shared" si="2"/>
        <v>0</v>
      </c>
      <c r="I10" s="95">
        <v>0</v>
      </c>
      <c r="J10" s="95">
        <v>0</v>
      </c>
      <c r="K10" s="95">
        <v>0</v>
      </c>
      <c r="L10" s="95">
        <v>0</v>
      </c>
    </row>
    <row r="11" spans="1:12" x14ac:dyDescent="0.2">
      <c r="A11" s="98" t="s">
        <v>66</v>
      </c>
      <c r="B11" s="263">
        <f t="shared" si="0"/>
        <v>0</v>
      </c>
      <c r="C11" s="264">
        <f t="shared" si="1"/>
        <v>0</v>
      </c>
      <c r="D11" s="95">
        <v>0</v>
      </c>
      <c r="E11" s="95">
        <v>0</v>
      </c>
      <c r="F11" s="95">
        <v>0</v>
      </c>
      <c r="G11" s="95">
        <v>0</v>
      </c>
      <c r="H11" s="264">
        <f t="shared" si="2"/>
        <v>0</v>
      </c>
      <c r="I11" s="95">
        <v>0</v>
      </c>
      <c r="J11" s="95">
        <v>0</v>
      </c>
      <c r="K11" s="95">
        <v>0</v>
      </c>
      <c r="L11" s="95">
        <v>0</v>
      </c>
    </row>
    <row r="12" spans="1:12" x14ac:dyDescent="0.2">
      <c r="A12" s="98" t="s">
        <v>67</v>
      </c>
      <c r="B12" s="263">
        <f t="shared" si="0"/>
        <v>0</v>
      </c>
      <c r="C12" s="264">
        <f t="shared" si="1"/>
        <v>0</v>
      </c>
      <c r="D12" s="95">
        <v>0</v>
      </c>
      <c r="E12" s="95">
        <v>0</v>
      </c>
      <c r="F12" s="95">
        <v>0</v>
      </c>
      <c r="G12" s="95">
        <v>0</v>
      </c>
      <c r="H12" s="264">
        <f t="shared" si="2"/>
        <v>0</v>
      </c>
      <c r="I12" s="95">
        <v>0</v>
      </c>
      <c r="J12" s="95">
        <v>0</v>
      </c>
      <c r="K12" s="95">
        <v>0</v>
      </c>
      <c r="L12" s="95">
        <v>0</v>
      </c>
    </row>
    <row r="13" spans="1:12" x14ac:dyDescent="0.2">
      <c r="A13" s="98" t="s">
        <v>68</v>
      </c>
      <c r="B13" s="263">
        <f t="shared" si="0"/>
        <v>0</v>
      </c>
      <c r="C13" s="264">
        <f t="shared" si="1"/>
        <v>0</v>
      </c>
      <c r="D13" s="95">
        <v>0</v>
      </c>
      <c r="E13" s="95">
        <v>0</v>
      </c>
      <c r="F13" s="95">
        <v>0</v>
      </c>
      <c r="G13" s="95">
        <v>0</v>
      </c>
      <c r="H13" s="264">
        <f t="shared" si="2"/>
        <v>0</v>
      </c>
      <c r="I13" s="95">
        <v>0</v>
      </c>
      <c r="J13" s="95">
        <v>0</v>
      </c>
      <c r="K13" s="95">
        <v>0</v>
      </c>
      <c r="L13" s="95">
        <v>0</v>
      </c>
    </row>
    <row r="14" spans="1:12" x14ac:dyDescent="0.2">
      <c r="A14" s="98" t="s">
        <v>69</v>
      </c>
      <c r="B14" s="263">
        <f t="shared" si="0"/>
        <v>0</v>
      </c>
      <c r="C14" s="264">
        <f t="shared" si="1"/>
        <v>0</v>
      </c>
      <c r="D14" s="95">
        <v>0</v>
      </c>
      <c r="E14" s="95">
        <v>0</v>
      </c>
      <c r="F14" s="95">
        <v>0</v>
      </c>
      <c r="G14" s="95">
        <v>0</v>
      </c>
      <c r="H14" s="264">
        <f t="shared" si="2"/>
        <v>0</v>
      </c>
      <c r="I14" s="95">
        <v>0</v>
      </c>
      <c r="J14" s="95">
        <v>0</v>
      </c>
      <c r="K14" s="95">
        <v>0</v>
      </c>
      <c r="L14" s="95">
        <v>0</v>
      </c>
    </row>
    <row r="15" spans="1:12" x14ac:dyDescent="0.2">
      <c r="A15" s="98" t="s">
        <v>70</v>
      </c>
      <c r="B15" s="263">
        <f t="shared" si="0"/>
        <v>0</v>
      </c>
      <c r="C15" s="264">
        <f t="shared" si="1"/>
        <v>0</v>
      </c>
      <c r="D15" s="95">
        <v>0</v>
      </c>
      <c r="E15" s="95">
        <v>0</v>
      </c>
      <c r="F15" s="95">
        <v>0</v>
      </c>
      <c r="G15" s="95">
        <v>0</v>
      </c>
      <c r="H15" s="264">
        <f t="shared" si="2"/>
        <v>0</v>
      </c>
      <c r="I15" s="95">
        <v>0</v>
      </c>
      <c r="J15" s="95">
        <v>0</v>
      </c>
      <c r="K15" s="95">
        <v>0</v>
      </c>
      <c r="L15" s="95">
        <v>0</v>
      </c>
    </row>
    <row r="16" spans="1:12" x14ac:dyDescent="0.2">
      <c r="A16" s="98" t="s">
        <v>71</v>
      </c>
      <c r="B16" s="263">
        <f t="shared" si="0"/>
        <v>0</v>
      </c>
      <c r="C16" s="264">
        <f t="shared" si="1"/>
        <v>0</v>
      </c>
      <c r="D16" s="95">
        <v>0</v>
      </c>
      <c r="E16" s="95">
        <v>0</v>
      </c>
      <c r="F16" s="95">
        <v>0</v>
      </c>
      <c r="G16" s="95">
        <v>0</v>
      </c>
      <c r="H16" s="264">
        <f t="shared" si="2"/>
        <v>0</v>
      </c>
      <c r="I16" s="95">
        <v>0</v>
      </c>
      <c r="J16" s="95">
        <v>0</v>
      </c>
      <c r="K16" s="95">
        <v>0</v>
      </c>
      <c r="L16" s="95">
        <v>0</v>
      </c>
    </row>
    <row r="17" spans="1:12" x14ac:dyDescent="0.2">
      <c r="A17" s="98" t="s">
        <v>72</v>
      </c>
      <c r="B17" s="263">
        <f t="shared" si="0"/>
        <v>0</v>
      </c>
      <c r="C17" s="264">
        <f t="shared" si="1"/>
        <v>0</v>
      </c>
      <c r="D17" s="95">
        <v>0</v>
      </c>
      <c r="E17" s="95">
        <v>0</v>
      </c>
      <c r="F17" s="95">
        <v>0</v>
      </c>
      <c r="G17" s="95">
        <v>0</v>
      </c>
      <c r="H17" s="264">
        <f t="shared" si="2"/>
        <v>0</v>
      </c>
      <c r="I17" s="95">
        <v>0</v>
      </c>
      <c r="J17" s="95">
        <v>0</v>
      </c>
      <c r="K17" s="95">
        <v>0</v>
      </c>
      <c r="L17" s="95">
        <v>0</v>
      </c>
    </row>
    <row r="18" spans="1:12" x14ac:dyDescent="0.2">
      <c r="A18" s="98" t="s">
        <v>73</v>
      </c>
      <c r="B18" s="263">
        <f t="shared" si="0"/>
        <v>0</v>
      </c>
      <c r="C18" s="264">
        <f t="shared" si="1"/>
        <v>0</v>
      </c>
      <c r="D18" s="95">
        <v>0</v>
      </c>
      <c r="E18" s="95">
        <v>0</v>
      </c>
      <c r="F18" s="95">
        <v>0</v>
      </c>
      <c r="G18" s="95">
        <v>0</v>
      </c>
      <c r="H18" s="264">
        <f t="shared" si="2"/>
        <v>0</v>
      </c>
      <c r="I18" s="95">
        <v>0</v>
      </c>
      <c r="J18" s="95">
        <v>0</v>
      </c>
      <c r="K18" s="95">
        <v>0</v>
      </c>
      <c r="L18" s="95">
        <v>0</v>
      </c>
    </row>
    <row r="19" spans="1:12" x14ac:dyDescent="0.2">
      <c r="A19" s="98" t="s">
        <v>74</v>
      </c>
      <c r="B19" s="263">
        <f t="shared" si="0"/>
        <v>0</v>
      </c>
      <c r="C19" s="264">
        <f t="shared" si="1"/>
        <v>0</v>
      </c>
      <c r="D19" s="95">
        <v>0</v>
      </c>
      <c r="E19" s="95">
        <v>0</v>
      </c>
      <c r="F19" s="95">
        <v>0</v>
      </c>
      <c r="G19" s="95">
        <v>0</v>
      </c>
      <c r="H19" s="264">
        <f t="shared" si="2"/>
        <v>0</v>
      </c>
      <c r="I19" s="95">
        <v>0</v>
      </c>
      <c r="J19" s="95">
        <v>0</v>
      </c>
      <c r="K19" s="95">
        <v>0</v>
      </c>
      <c r="L19" s="95">
        <v>0</v>
      </c>
    </row>
    <row r="20" spans="1:12" x14ac:dyDescent="0.2">
      <c r="A20" s="98" t="s">
        <v>75</v>
      </c>
      <c r="B20" s="263">
        <f t="shared" si="0"/>
        <v>0</v>
      </c>
      <c r="C20" s="264">
        <f t="shared" si="1"/>
        <v>0</v>
      </c>
      <c r="D20" s="95">
        <v>0</v>
      </c>
      <c r="E20" s="95">
        <v>0</v>
      </c>
      <c r="F20" s="95">
        <v>0</v>
      </c>
      <c r="G20" s="95">
        <v>0</v>
      </c>
      <c r="H20" s="264">
        <f t="shared" si="2"/>
        <v>0</v>
      </c>
      <c r="I20" s="95">
        <v>0</v>
      </c>
      <c r="J20" s="95">
        <v>0</v>
      </c>
      <c r="K20" s="95">
        <v>0</v>
      </c>
      <c r="L20" s="95">
        <v>0</v>
      </c>
    </row>
    <row r="21" spans="1:12" x14ac:dyDescent="0.2">
      <c r="A21" s="98" t="s">
        <v>76</v>
      </c>
      <c r="B21" s="263">
        <f t="shared" si="0"/>
        <v>0</v>
      </c>
      <c r="C21" s="264">
        <f t="shared" si="1"/>
        <v>0</v>
      </c>
      <c r="D21" s="95">
        <v>0</v>
      </c>
      <c r="E21" s="95">
        <v>0</v>
      </c>
      <c r="F21" s="95">
        <v>0</v>
      </c>
      <c r="G21" s="95">
        <v>0</v>
      </c>
      <c r="H21" s="264">
        <f t="shared" si="2"/>
        <v>0</v>
      </c>
      <c r="I21" s="95">
        <v>0</v>
      </c>
      <c r="J21" s="95">
        <v>0</v>
      </c>
      <c r="K21" s="95">
        <v>0</v>
      </c>
      <c r="L21" s="95">
        <v>0</v>
      </c>
    </row>
    <row r="22" spans="1:12" x14ac:dyDescent="0.2">
      <c r="A22" s="98" t="s">
        <v>77</v>
      </c>
      <c r="B22" s="263">
        <f t="shared" si="0"/>
        <v>0</v>
      </c>
      <c r="C22" s="264">
        <f t="shared" si="1"/>
        <v>0</v>
      </c>
      <c r="D22" s="95">
        <v>0</v>
      </c>
      <c r="E22" s="95">
        <v>0</v>
      </c>
      <c r="F22" s="95">
        <v>0</v>
      </c>
      <c r="G22" s="95">
        <v>0</v>
      </c>
      <c r="H22" s="264">
        <f t="shared" si="2"/>
        <v>0</v>
      </c>
      <c r="I22" s="95">
        <v>0</v>
      </c>
      <c r="J22" s="95">
        <v>0</v>
      </c>
      <c r="K22" s="95">
        <v>0</v>
      </c>
      <c r="L22" s="95">
        <v>0</v>
      </c>
    </row>
    <row r="23" spans="1:12" x14ac:dyDescent="0.2">
      <c r="A23" s="98" t="s">
        <v>78</v>
      </c>
      <c r="B23" s="263">
        <f t="shared" si="0"/>
        <v>0</v>
      </c>
      <c r="C23" s="264">
        <f t="shared" si="1"/>
        <v>0</v>
      </c>
      <c r="D23" s="95">
        <v>0</v>
      </c>
      <c r="E23" s="95">
        <v>0</v>
      </c>
      <c r="F23" s="95">
        <v>0</v>
      </c>
      <c r="G23" s="95">
        <v>0</v>
      </c>
      <c r="H23" s="264">
        <f t="shared" si="2"/>
        <v>0</v>
      </c>
      <c r="I23" s="95">
        <v>0</v>
      </c>
      <c r="J23" s="95">
        <v>0</v>
      </c>
      <c r="K23" s="95">
        <v>0</v>
      </c>
      <c r="L23" s="95">
        <v>0</v>
      </c>
    </row>
    <row r="24" spans="1:12" x14ac:dyDescent="0.2">
      <c r="A24" s="265" t="s">
        <v>138</v>
      </c>
      <c r="B24" s="267">
        <f>SUM(B9:B23)</f>
        <v>0</v>
      </c>
      <c r="C24" s="267">
        <f>SUM(C9:C23)</f>
        <v>0</v>
      </c>
      <c r="D24" s="267">
        <f t="shared" ref="D24:L24" si="3">SUM(D9:D23)</f>
        <v>0</v>
      </c>
      <c r="E24" s="267">
        <f t="shared" si="3"/>
        <v>0</v>
      </c>
      <c r="F24" s="267">
        <f t="shared" si="3"/>
        <v>0</v>
      </c>
      <c r="G24" s="267">
        <f t="shared" si="3"/>
        <v>0</v>
      </c>
      <c r="H24" s="267">
        <f t="shared" si="3"/>
        <v>0</v>
      </c>
      <c r="I24" s="267">
        <f t="shared" si="3"/>
        <v>0</v>
      </c>
      <c r="J24" s="267">
        <f t="shared" si="3"/>
        <v>0</v>
      </c>
      <c r="K24" s="267">
        <f t="shared" si="3"/>
        <v>0</v>
      </c>
      <c r="L24" s="267">
        <f t="shared" si="3"/>
        <v>0</v>
      </c>
    </row>
    <row r="25" spans="1:12" x14ac:dyDescent="0.2">
      <c r="A25" s="102" t="s">
        <v>305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x14ac:dyDescent="0.2">
      <c r="C26" s="104"/>
    </row>
    <row r="27" spans="1:12" x14ac:dyDescent="0.2">
      <c r="C27" s="104"/>
    </row>
    <row r="28" spans="1:12" x14ac:dyDescent="0.2">
      <c r="A28" s="268"/>
      <c r="B28" s="104"/>
      <c r="C28" s="104"/>
      <c r="D28" s="275"/>
      <c r="F28" s="104"/>
    </row>
    <row r="29" spans="1:12" x14ac:dyDescent="0.2">
      <c r="A29" s="253" t="s">
        <v>280</v>
      </c>
      <c r="D29" s="104"/>
      <c r="I29" s="254"/>
      <c r="J29" s="254"/>
    </row>
    <row r="30" spans="1:12" x14ac:dyDescent="0.2">
      <c r="A30" s="255"/>
      <c r="B30" s="256"/>
      <c r="C30" s="539" t="s">
        <v>112</v>
      </c>
      <c r="D30" s="540"/>
      <c r="E30" s="540"/>
      <c r="F30" s="540"/>
      <c r="G30" s="540"/>
      <c r="H30" s="539" t="s">
        <v>113</v>
      </c>
      <c r="I30" s="540"/>
      <c r="J30" s="540"/>
      <c r="K30" s="540"/>
      <c r="L30" s="544"/>
    </row>
    <row r="31" spans="1:12" x14ac:dyDescent="0.2">
      <c r="A31" s="258" t="s">
        <v>82</v>
      </c>
      <c r="B31" s="259" t="s">
        <v>83</v>
      </c>
      <c r="C31" s="259" t="s">
        <v>83</v>
      </c>
      <c r="D31" s="259" t="s">
        <v>132</v>
      </c>
      <c r="E31" s="259" t="s">
        <v>133</v>
      </c>
      <c r="F31" s="259" t="s">
        <v>134</v>
      </c>
      <c r="G31" s="260" t="s">
        <v>137</v>
      </c>
      <c r="H31" s="259" t="s">
        <v>83</v>
      </c>
      <c r="I31" s="259" t="s">
        <v>132</v>
      </c>
      <c r="J31" s="259" t="s">
        <v>133</v>
      </c>
      <c r="K31" s="259" t="s">
        <v>134</v>
      </c>
      <c r="L31" s="260" t="s">
        <v>137</v>
      </c>
    </row>
    <row r="32" spans="1:12" x14ac:dyDescent="0.2">
      <c r="A32" s="258" t="s">
        <v>124</v>
      </c>
      <c r="B32" s="259" t="s">
        <v>26</v>
      </c>
      <c r="C32" s="259" t="s">
        <v>26</v>
      </c>
      <c r="D32" s="259" t="s">
        <v>300</v>
      </c>
      <c r="E32" s="259" t="s">
        <v>301</v>
      </c>
      <c r="F32" s="259" t="s">
        <v>302</v>
      </c>
      <c r="G32" s="260" t="s">
        <v>303</v>
      </c>
      <c r="H32" s="259" t="s">
        <v>26</v>
      </c>
      <c r="I32" s="260" t="s">
        <v>300</v>
      </c>
      <c r="J32" s="259" t="s">
        <v>301</v>
      </c>
      <c r="K32" s="260" t="s">
        <v>302</v>
      </c>
      <c r="L32" s="260" t="s">
        <v>303</v>
      </c>
    </row>
    <row r="33" spans="1:12" x14ac:dyDescent="0.2">
      <c r="A33" s="205" t="s">
        <v>0</v>
      </c>
      <c r="B33" s="261" t="s">
        <v>88</v>
      </c>
      <c r="C33" s="261" t="s">
        <v>1</v>
      </c>
      <c r="D33" s="261" t="s">
        <v>1</v>
      </c>
      <c r="E33" s="261" t="s">
        <v>1</v>
      </c>
      <c r="F33" s="261" t="s">
        <v>1</v>
      </c>
      <c r="G33" s="262" t="s">
        <v>1</v>
      </c>
      <c r="H33" s="261" t="s">
        <v>1</v>
      </c>
      <c r="I33" s="262" t="s">
        <v>1</v>
      </c>
      <c r="J33" s="261" t="s">
        <v>1</v>
      </c>
      <c r="K33" s="262" t="s">
        <v>1</v>
      </c>
      <c r="L33" s="262" t="s">
        <v>1</v>
      </c>
    </row>
    <row r="34" spans="1:12" x14ac:dyDescent="0.2">
      <c r="A34" s="205" t="s">
        <v>64</v>
      </c>
      <c r="B34" s="263">
        <f t="shared" ref="B34:B48" si="4">SUM(C34+H34)</f>
        <v>0</v>
      </c>
      <c r="C34" s="264">
        <f t="shared" ref="C34:C48" si="5">SUM(D34:G34)</f>
        <v>0</v>
      </c>
      <c r="D34" s="95">
        <v>0</v>
      </c>
      <c r="E34" s="95">
        <v>0</v>
      </c>
      <c r="F34" s="95">
        <v>0</v>
      </c>
      <c r="G34" s="95">
        <v>0</v>
      </c>
      <c r="H34" s="264">
        <f t="shared" ref="H34:H48" si="6">SUM(I34:L34)</f>
        <v>0</v>
      </c>
      <c r="I34" s="95">
        <v>0</v>
      </c>
      <c r="J34" s="95">
        <v>0</v>
      </c>
      <c r="K34" s="95">
        <v>0</v>
      </c>
      <c r="L34" s="95">
        <v>0</v>
      </c>
    </row>
    <row r="35" spans="1:12" x14ac:dyDescent="0.2">
      <c r="A35" s="98" t="s">
        <v>65</v>
      </c>
      <c r="B35" s="263">
        <f t="shared" si="4"/>
        <v>0</v>
      </c>
      <c r="C35" s="264">
        <f t="shared" si="5"/>
        <v>0</v>
      </c>
      <c r="D35" s="95">
        <v>0</v>
      </c>
      <c r="E35" s="95">
        <v>0</v>
      </c>
      <c r="F35" s="95">
        <v>0</v>
      </c>
      <c r="G35" s="95">
        <v>0</v>
      </c>
      <c r="H35" s="264">
        <f t="shared" si="6"/>
        <v>0</v>
      </c>
      <c r="I35" s="95">
        <v>0</v>
      </c>
      <c r="J35" s="95">
        <v>0</v>
      </c>
      <c r="K35" s="95">
        <v>0</v>
      </c>
      <c r="L35" s="95">
        <v>0</v>
      </c>
    </row>
    <row r="36" spans="1:12" x14ac:dyDescent="0.2">
      <c r="A36" s="98" t="s">
        <v>66</v>
      </c>
      <c r="B36" s="263">
        <f t="shared" si="4"/>
        <v>0</v>
      </c>
      <c r="C36" s="264">
        <f t="shared" si="5"/>
        <v>0</v>
      </c>
      <c r="D36" s="95">
        <v>0</v>
      </c>
      <c r="E36" s="95">
        <v>0</v>
      </c>
      <c r="F36" s="95">
        <v>0</v>
      </c>
      <c r="G36" s="95">
        <v>0</v>
      </c>
      <c r="H36" s="264">
        <f t="shared" si="6"/>
        <v>0</v>
      </c>
      <c r="I36" s="95">
        <v>0</v>
      </c>
      <c r="J36" s="95">
        <v>0</v>
      </c>
      <c r="K36" s="95">
        <v>0</v>
      </c>
      <c r="L36" s="95">
        <v>0</v>
      </c>
    </row>
    <row r="37" spans="1:12" x14ac:dyDescent="0.2">
      <c r="A37" s="98" t="s">
        <v>67</v>
      </c>
      <c r="B37" s="263">
        <f t="shared" si="4"/>
        <v>0</v>
      </c>
      <c r="C37" s="264">
        <f t="shared" si="5"/>
        <v>0</v>
      </c>
      <c r="D37" s="95">
        <v>0</v>
      </c>
      <c r="E37" s="95">
        <v>0</v>
      </c>
      <c r="F37" s="95">
        <v>0</v>
      </c>
      <c r="G37" s="95">
        <v>0</v>
      </c>
      <c r="H37" s="264">
        <f t="shared" si="6"/>
        <v>0</v>
      </c>
      <c r="I37" s="95">
        <v>0</v>
      </c>
      <c r="J37" s="95">
        <v>0</v>
      </c>
      <c r="K37" s="95">
        <v>0</v>
      </c>
      <c r="L37" s="95">
        <v>0</v>
      </c>
    </row>
    <row r="38" spans="1:12" x14ac:dyDescent="0.2">
      <c r="A38" s="98" t="s">
        <v>68</v>
      </c>
      <c r="B38" s="263">
        <f t="shared" si="4"/>
        <v>0</v>
      </c>
      <c r="C38" s="264">
        <f t="shared" si="5"/>
        <v>0</v>
      </c>
      <c r="D38" s="95">
        <v>0</v>
      </c>
      <c r="E38" s="95">
        <v>0</v>
      </c>
      <c r="F38" s="95">
        <v>0</v>
      </c>
      <c r="G38" s="95">
        <v>0</v>
      </c>
      <c r="H38" s="264">
        <f t="shared" si="6"/>
        <v>0</v>
      </c>
      <c r="I38" s="95">
        <v>0</v>
      </c>
      <c r="J38" s="95">
        <v>0</v>
      </c>
      <c r="K38" s="95">
        <v>0</v>
      </c>
      <c r="L38" s="95">
        <v>0</v>
      </c>
    </row>
    <row r="39" spans="1:12" x14ac:dyDescent="0.2">
      <c r="A39" s="98" t="s">
        <v>69</v>
      </c>
      <c r="B39" s="263">
        <f t="shared" si="4"/>
        <v>0</v>
      </c>
      <c r="C39" s="264">
        <f t="shared" si="5"/>
        <v>0</v>
      </c>
      <c r="D39" s="95">
        <v>0</v>
      </c>
      <c r="E39" s="95">
        <v>0</v>
      </c>
      <c r="F39" s="95">
        <v>0</v>
      </c>
      <c r="G39" s="95">
        <v>0</v>
      </c>
      <c r="H39" s="264">
        <f t="shared" si="6"/>
        <v>0</v>
      </c>
      <c r="I39" s="95">
        <v>0</v>
      </c>
      <c r="J39" s="95">
        <v>0</v>
      </c>
      <c r="K39" s="95">
        <v>0</v>
      </c>
      <c r="L39" s="95">
        <v>0</v>
      </c>
    </row>
    <row r="40" spans="1:12" x14ac:dyDescent="0.2">
      <c r="A40" s="98" t="s">
        <v>70</v>
      </c>
      <c r="B40" s="263">
        <f t="shared" si="4"/>
        <v>0</v>
      </c>
      <c r="C40" s="264">
        <f t="shared" si="5"/>
        <v>0</v>
      </c>
      <c r="D40" s="95">
        <v>0</v>
      </c>
      <c r="E40" s="95">
        <v>0</v>
      </c>
      <c r="F40" s="95">
        <v>0</v>
      </c>
      <c r="G40" s="95">
        <v>0</v>
      </c>
      <c r="H40" s="264">
        <f t="shared" si="6"/>
        <v>0</v>
      </c>
      <c r="I40" s="95">
        <v>0</v>
      </c>
      <c r="J40" s="95">
        <v>0</v>
      </c>
      <c r="K40" s="95">
        <v>0</v>
      </c>
      <c r="L40" s="95">
        <v>0</v>
      </c>
    </row>
    <row r="41" spans="1:12" x14ac:dyDescent="0.2">
      <c r="A41" s="98" t="s">
        <v>71</v>
      </c>
      <c r="B41" s="263">
        <f t="shared" si="4"/>
        <v>0</v>
      </c>
      <c r="C41" s="264">
        <f t="shared" si="5"/>
        <v>0</v>
      </c>
      <c r="D41" s="95">
        <v>0</v>
      </c>
      <c r="E41" s="95">
        <v>0</v>
      </c>
      <c r="F41" s="95">
        <v>0</v>
      </c>
      <c r="G41" s="95">
        <v>0</v>
      </c>
      <c r="H41" s="264">
        <f t="shared" si="6"/>
        <v>0</v>
      </c>
      <c r="I41" s="95">
        <v>0</v>
      </c>
      <c r="J41" s="95">
        <v>0</v>
      </c>
      <c r="K41" s="95">
        <v>0</v>
      </c>
      <c r="L41" s="95">
        <v>0</v>
      </c>
    </row>
    <row r="42" spans="1:12" x14ac:dyDescent="0.2">
      <c r="A42" s="98" t="s">
        <v>72</v>
      </c>
      <c r="B42" s="263">
        <f t="shared" si="4"/>
        <v>0</v>
      </c>
      <c r="C42" s="264">
        <f t="shared" si="5"/>
        <v>0</v>
      </c>
      <c r="D42" s="95">
        <v>0</v>
      </c>
      <c r="E42" s="95">
        <v>0</v>
      </c>
      <c r="F42" s="95">
        <v>0</v>
      </c>
      <c r="G42" s="95">
        <v>0</v>
      </c>
      <c r="H42" s="264">
        <f t="shared" si="6"/>
        <v>0</v>
      </c>
      <c r="I42" s="95">
        <v>0</v>
      </c>
      <c r="J42" s="95">
        <v>0</v>
      </c>
      <c r="K42" s="95">
        <v>0</v>
      </c>
      <c r="L42" s="95">
        <v>0</v>
      </c>
    </row>
    <row r="43" spans="1:12" x14ac:dyDescent="0.2">
      <c r="A43" s="98" t="s">
        <v>73</v>
      </c>
      <c r="B43" s="263">
        <f t="shared" si="4"/>
        <v>0</v>
      </c>
      <c r="C43" s="264">
        <f t="shared" si="5"/>
        <v>0</v>
      </c>
      <c r="D43" s="95">
        <v>0</v>
      </c>
      <c r="E43" s="95">
        <v>0</v>
      </c>
      <c r="F43" s="95">
        <v>0</v>
      </c>
      <c r="G43" s="95">
        <v>0</v>
      </c>
      <c r="H43" s="264">
        <f t="shared" si="6"/>
        <v>0</v>
      </c>
      <c r="I43" s="95">
        <v>0</v>
      </c>
      <c r="J43" s="95">
        <v>0</v>
      </c>
      <c r="K43" s="95">
        <v>0</v>
      </c>
      <c r="L43" s="95">
        <v>0</v>
      </c>
    </row>
    <row r="44" spans="1:12" x14ac:dyDescent="0.2">
      <c r="A44" s="98" t="s">
        <v>74</v>
      </c>
      <c r="B44" s="263">
        <f t="shared" si="4"/>
        <v>0</v>
      </c>
      <c r="C44" s="264">
        <f t="shared" si="5"/>
        <v>0</v>
      </c>
      <c r="D44" s="95">
        <v>0</v>
      </c>
      <c r="E44" s="95">
        <v>0</v>
      </c>
      <c r="F44" s="95">
        <v>0</v>
      </c>
      <c r="G44" s="95">
        <v>0</v>
      </c>
      <c r="H44" s="264">
        <f t="shared" si="6"/>
        <v>0</v>
      </c>
      <c r="I44" s="95">
        <v>0</v>
      </c>
      <c r="J44" s="95">
        <v>0</v>
      </c>
      <c r="K44" s="95">
        <v>0</v>
      </c>
      <c r="L44" s="95">
        <v>0</v>
      </c>
    </row>
    <row r="45" spans="1:12" x14ac:dyDescent="0.2">
      <c r="A45" s="98" t="s">
        <v>75</v>
      </c>
      <c r="B45" s="263">
        <f t="shared" si="4"/>
        <v>0</v>
      </c>
      <c r="C45" s="264">
        <f t="shared" si="5"/>
        <v>0</v>
      </c>
      <c r="D45" s="95">
        <v>0</v>
      </c>
      <c r="E45" s="95">
        <v>0</v>
      </c>
      <c r="F45" s="95">
        <v>0</v>
      </c>
      <c r="G45" s="95">
        <v>0</v>
      </c>
      <c r="H45" s="264">
        <f t="shared" si="6"/>
        <v>0</v>
      </c>
      <c r="I45" s="95">
        <v>0</v>
      </c>
      <c r="J45" s="95">
        <v>0</v>
      </c>
      <c r="K45" s="95">
        <v>0</v>
      </c>
      <c r="L45" s="95">
        <v>0</v>
      </c>
    </row>
    <row r="46" spans="1:12" x14ac:dyDescent="0.2">
      <c r="A46" s="98" t="s">
        <v>76</v>
      </c>
      <c r="B46" s="263">
        <f t="shared" si="4"/>
        <v>0</v>
      </c>
      <c r="C46" s="264">
        <f t="shared" si="5"/>
        <v>0</v>
      </c>
      <c r="D46" s="95">
        <v>0</v>
      </c>
      <c r="E46" s="95">
        <v>0</v>
      </c>
      <c r="F46" s="95">
        <v>0</v>
      </c>
      <c r="G46" s="95">
        <v>0</v>
      </c>
      <c r="H46" s="264">
        <f t="shared" si="6"/>
        <v>0</v>
      </c>
      <c r="I46" s="95">
        <v>0</v>
      </c>
      <c r="J46" s="95">
        <v>0</v>
      </c>
      <c r="K46" s="95">
        <v>0</v>
      </c>
      <c r="L46" s="95">
        <v>0</v>
      </c>
    </row>
    <row r="47" spans="1:12" x14ac:dyDescent="0.2">
      <c r="A47" s="98" t="s">
        <v>77</v>
      </c>
      <c r="B47" s="263">
        <f t="shared" si="4"/>
        <v>0</v>
      </c>
      <c r="C47" s="264">
        <f t="shared" si="5"/>
        <v>0</v>
      </c>
      <c r="D47" s="95">
        <v>0</v>
      </c>
      <c r="E47" s="95">
        <v>0</v>
      </c>
      <c r="F47" s="95">
        <v>0</v>
      </c>
      <c r="G47" s="95">
        <v>0</v>
      </c>
      <c r="H47" s="264">
        <f t="shared" si="6"/>
        <v>0</v>
      </c>
      <c r="I47" s="95">
        <v>0</v>
      </c>
      <c r="J47" s="95">
        <v>0</v>
      </c>
      <c r="K47" s="95">
        <v>0</v>
      </c>
      <c r="L47" s="95">
        <v>0</v>
      </c>
    </row>
    <row r="48" spans="1:12" x14ac:dyDescent="0.2">
      <c r="A48" s="98" t="s">
        <v>78</v>
      </c>
      <c r="B48" s="263">
        <f t="shared" si="4"/>
        <v>0</v>
      </c>
      <c r="C48" s="264">
        <f t="shared" si="5"/>
        <v>0</v>
      </c>
      <c r="D48" s="95">
        <v>0</v>
      </c>
      <c r="E48" s="95">
        <v>0</v>
      </c>
      <c r="F48" s="95">
        <v>0</v>
      </c>
      <c r="G48" s="95">
        <v>0</v>
      </c>
      <c r="H48" s="264">
        <f t="shared" si="6"/>
        <v>0</v>
      </c>
      <c r="I48" s="95">
        <v>0</v>
      </c>
      <c r="J48" s="95">
        <v>0</v>
      </c>
      <c r="K48" s="95">
        <v>0</v>
      </c>
      <c r="L48" s="95">
        <v>0</v>
      </c>
    </row>
    <row r="49" spans="1:12" x14ac:dyDescent="0.2">
      <c r="A49" s="265" t="s">
        <v>138</v>
      </c>
      <c r="B49" s="267">
        <f>SUM(B34:B48)</f>
        <v>0</v>
      </c>
      <c r="C49" s="267">
        <f t="shared" ref="C49:L49" si="7">SUM(C34:C48)</f>
        <v>0</v>
      </c>
      <c r="D49" s="267">
        <f t="shared" si="7"/>
        <v>0</v>
      </c>
      <c r="E49" s="267">
        <f t="shared" si="7"/>
        <v>0</v>
      </c>
      <c r="F49" s="267">
        <f t="shared" si="7"/>
        <v>0</v>
      </c>
      <c r="G49" s="267">
        <f t="shared" si="7"/>
        <v>0</v>
      </c>
      <c r="H49" s="267">
        <f t="shared" si="7"/>
        <v>0</v>
      </c>
      <c r="I49" s="267">
        <f t="shared" si="7"/>
        <v>0</v>
      </c>
      <c r="J49" s="267">
        <f t="shared" si="7"/>
        <v>0</v>
      </c>
      <c r="K49" s="267">
        <f t="shared" si="7"/>
        <v>0</v>
      </c>
      <c r="L49" s="267">
        <f t="shared" si="7"/>
        <v>0</v>
      </c>
    </row>
    <row r="50" spans="1:12" x14ac:dyDescent="0.2">
      <c r="A50" s="102" t="s">
        <v>305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x14ac:dyDescent="0.2">
      <c r="A51" s="104"/>
      <c r="G51" s="268"/>
      <c r="H51" s="212"/>
      <c r="I51" s="268"/>
      <c r="J51" s="268"/>
      <c r="K51" s="268"/>
      <c r="L51" s="268"/>
    </row>
  </sheetData>
  <protectedRanges>
    <protectedRange sqref="I34:L48" name="Range4"/>
    <protectedRange sqref="D34:G48" name="Range3"/>
    <protectedRange sqref="I9:L23" name="Range2"/>
    <protectedRange sqref="D9:G23" name="Range1"/>
  </protectedRanges>
  <mergeCells count="5">
    <mergeCell ref="C30:G30"/>
    <mergeCell ref="C5:G5"/>
    <mergeCell ref="H5:L5"/>
    <mergeCell ref="H30:L30"/>
    <mergeCell ref="A2:L2"/>
  </mergeCells>
  <phoneticPr fontId="5" type="noConversion"/>
  <printOptions horizontalCentered="1" verticalCentered="1"/>
  <pageMargins left="0.51" right="0.17" top="1.18" bottom="0.78" header="0.57999999999999996" footer="0.39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R25"/>
  <sheetViews>
    <sheetView showGridLines="0" showZeros="0" workbookViewId="0">
      <selection activeCell="H42" sqref="H42"/>
    </sheetView>
  </sheetViews>
  <sheetFormatPr defaultColWidth="9.33203125" defaultRowHeight="12.75" x14ac:dyDescent="0.2"/>
  <cols>
    <col min="1" max="1" width="4.83203125" style="119" customWidth="1"/>
    <col min="2" max="2" width="15.83203125" style="119" customWidth="1"/>
    <col min="3" max="18" width="11.5" style="119" customWidth="1"/>
    <col min="19" max="16384" width="9.33203125" style="119"/>
  </cols>
  <sheetData>
    <row r="3" spans="1:18" x14ac:dyDescent="0.2">
      <c r="B3" s="119">
        <f>'Pradiniai duomenys'!A1</f>
        <v>0</v>
      </c>
      <c r="C3" s="120"/>
    </row>
    <row r="5" spans="1:18" s="121" customFormat="1" ht="15.75" x14ac:dyDescent="0.25">
      <c r="A5" s="550" t="s">
        <v>307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</row>
    <row r="6" spans="1:18" s="121" customFormat="1" ht="15" x14ac:dyDescent="0.25">
      <c r="A6" s="122"/>
      <c r="B6" s="123"/>
      <c r="C6" s="124"/>
      <c r="D6" s="124"/>
      <c r="F6" s="125"/>
    </row>
    <row r="7" spans="1:18" s="127" customFormat="1" ht="15" x14ac:dyDescent="0.25">
      <c r="A7" s="126"/>
      <c r="B7" s="126"/>
      <c r="C7" s="549" t="s">
        <v>308</v>
      </c>
      <c r="D7" s="549"/>
      <c r="E7" s="549"/>
      <c r="F7" s="549"/>
      <c r="G7" s="549"/>
      <c r="H7" s="549"/>
      <c r="I7" s="549"/>
      <c r="J7" s="549"/>
      <c r="K7" s="549" t="s">
        <v>309</v>
      </c>
      <c r="L7" s="549"/>
      <c r="M7" s="549"/>
      <c r="N7" s="549"/>
      <c r="O7" s="549"/>
      <c r="P7" s="549"/>
      <c r="Q7" s="549"/>
      <c r="R7" s="549"/>
    </row>
    <row r="8" spans="1:18" x14ac:dyDescent="0.2">
      <c r="A8" s="128" t="s">
        <v>4</v>
      </c>
      <c r="B8" s="128" t="s">
        <v>99</v>
      </c>
      <c r="C8" s="128" t="s">
        <v>8</v>
      </c>
      <c r="D8" s="128" t="s">
        <v>130</v>
      </c>
      <c r="E8" s="128" t="s">
        <v>8</v>
      </c>
      <c r="F8" s="128" t="s">
        <v>10</v>
      </c>
      <c r="G8" s="128" t="s">
        <v>10</v>
      </c>
      <c r="H8" s="129" t="s">
        <v>10</v>
      </c>
      <c r="I8" s="129" t="s">
        <v>104</v>
      </c>
      <c r="J8" s="129" t="s">
        <v>123</v>
      </c>
      <c r="K8" s="128" t="s">
        <v>8</v>
      </c>
      <c r="L8" s="128" t="s">
        <v>130</v>
      </c>
      <c r="M8" s="128" t="s">
        <v>8</v>
      </c>
      <c r="N8" s="128" t="s">
        <v>10</v>
      </c>
      <c r="O8" s="128" t="s">
        <v>10</v>
      </c>
      <c r="P8" s="129" t="s">
        <v>10</v>
      </c>
      <c r="Q8" s="128" t="s">
        <v>108</v>
      </c>
      <c r="R8" s="128" t="s">
        <v>123</v>
      </c>
    </row>
    <row r="9" spans="1:18" x14ac:dyDescent="0.2">
      <c r="A9" s="128" t="s">
        <v>5</v>
      </c>
      <c r="B9" s="128" t="s">
        <v>100</v>
      </c>
      <c r="C9" s="128" t="s">
        <v>26</v>
      </c>
      <c r="D9" s="128" t="s">
        <v>131</v>
      </c>
      <c r="E9" s="128" t="s">
        <v>103</v>
      </c>
      <c r="F9" s="128" t="s">
        <v>106</v>
      </c>
      <c r="G9" s="128" t="s">
        <v>106</v>
      </c>
      <c r="H9" s="129" t="s">
        <v>107</v>
      </c>
      <c r="I9" s="129" t="s">
        <v>105</v>
      </c>
      <c r="J9" s="129" t="s">
        <v>124</v>
      </c>
      <c r="K9" s="128" t="s">
        <v>26</v>
      </c>
      <c r="L9" s="128" t="s">
        <v>131</v>
      </c>
      <c r="M9" s="128" t="s">
        <v>103</v>
      </c>
      <c r="N9" s="128" t="s">
        <v>106</v>
      </c>
      <c r="O9" s="128" t="s">
        <v>106</v>
      </c>
      <c r="P9" s="129" t="s">
        <v>107</v>
      </c>
      <c r="Q9" s="128" t="s">
        <v>105</v>
      </c>
      <c r="R9" s="128" t="s">
        <v>124</v>
      </c>
    </row>
    <row r="10" spans="1:18" s="121" customFormat="1" ht="15.75" x14ac:dyDescent="0.2">
      <c r="A10" s="130"/>
      <c r="B10" s="130"/>
      <c r="C10" s="128" t="s">
        <v>1</v>
      </c>
      <c r="D10" s="131" t="s">
        <v>1</v>
      </c>
      <c r="E10" s="131" t="s">
        <v>122</v>
      </c>
      <c r="F10" s="131" t="s">
        <v>122</v>
      </c>
      <c r="G10" s="128" t="s">
        <v>3</v>
      </c>
      <c r="H10" s="129" t="s">
        <v>3</v>
      </c>
      <c r="I10" s="129" t="s">
        <v>3</v>
      </c>
      <c r="J10" s="129" t="s">
        <v>0</v>
      </c>
      <c r="K10" s="128" t="s">
        <v>1</v>
      </c>
      <c r="L10" s="131" t="s">
        <v>1</v>
      </c>
      <c r="M10" s="131" t="s">
        <v>122</v>
      </c>
      <c r="N10" s="131" t="s">
        <v>122</v>
      </c>
      <c r="O10" s="128" t="s">
        <v>3</v>
      </c>
      <c r="P10" s="129" t="s">
        <v>3</v>
      </c>
      <c r="Q10" s="128" t="s">
        <v>3</v>
      </c>
      <c r="R10" s="130" t="s">
        <v>0</v>
      </c>
    </row>
    <row r="11" spans="1:18" s="121" customFormat="1" ht="15.75" customHeight="1" x14ac:dyDescent="0.2">
      <c r="A11" s="130"/>
      <c r="B11" s="132" t="s">
        <v>279</v>
      </c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5"/>
    </row>
    <row r="12" spans="1:18" ht="15.75" customHeight="1" x14ac:dyDescent="0.2">
      <c r="A12" s="136">
        <v>1</v>
      </c>
      <c r="B12" s="137" t="s">
        <v>96</v>
      </c>
      <c r="C12" s="138">
        <f>'TV tinklas'!D$34+'TV tinklas'!I$34</f>
        <v>0</v>
      </c>
      <c r="D12" s="138">
        <f>('TV m2,m3'!E$33+'TV m2,m3'!J$33)/6.28*10</f>
        <v>0</v>
      </c>
      <c r="E12" s="138">
        <f>'TV m2,m3'!R$33+'TV m2,m3'!W$33</f>
        <v>0</v>
      </c>
      <c r="F12" s="138">
        <f>('TV m2,m3'!R$33+'TV m2,m3'!W$33)*'Pradiniai duomenys'!E$13*'Pradiniai duomenys'!J39</f>
        <v>0</v>
      </c>
      <c r="G12" s="138">
        <f>('TV m2,m3'!R$33+'TV m2,m3'!W$33)*0.001*'Pradiniai duomenys'!J39*1.163*'Pradiniai duomenys'!E$13*(('Pradiniai duomenys'!C$13+'Pradiniai duomenys'!D$13)/2-'Pradiniai duomenys'!I$13)</f>
        <v>0</v>
      </c>
      <c r="H12" s="138">
        <f>'Nepraeinami kanalai'!$S$33</f>
        <v>0</v>
      </c>
      <c r="I12" s="138">
        <f>SUM(G12:H12)</f>
        <v>0</v>
      </c>
      <c r="J12" s="139">
        <f>IF(C12=0,0,SUM(D12/C12)*100)</f>
        <v>0</v>
      </c>
      <c r="K12" s="138">
        <f>'KV tinklas'!B$24</f>
        <v>0</v>
      </c>
      <c r="L12" s="138">
        <f>'KV m2, m3'!D$23/6.28*10</f>
        <v>0</v>
      </c>
      <c r="M12" s="138">
        <f>'KV m2, m3'!Q$23</f>
        <v>0</v>
      </c>
      <c r="N12" s="138">
        <f>'Pradiniai duomenys'!H$13*'KV m2, m3'!Q$23*'Pradiniai duomenys'!J39</f>
        <v>0</v>
      </c>
      <c r="O12" s="138">
        <f>'KV m2, m3'!Q$23*0.001*'Pradiniai duomenys'!J39*1.163*'Pradiniai duomenys'!H$13*(('Pradiniai duomenys'!F$13+'Pradiniai duomenys'!G$13)/2-'Pradiniai duomenys'!I$13)</f>
        <v>0</v>
      </c>
      <c r="P12" s="138">
        <f>'KV 2x1 nepraein'!R$22</f>
        <v>0</v>
      </c>
      <c r="Q12" s="138">
        <f>SUM(O12:P12)</f>
        <v>0</v>
      </c>
      <c r="R12" s="139">
        <f>IF(K12=0,0,SUM(L12/K12)*100)</f>
        <v>0</v>
      </c>
    </row>
    <row r="13" spans="1:18" ht="15.75" customHeight="1" x14ac:dyDescent="0.2">
      <c r="A13" s="136">
        <v>2</v>
      </c>
      <c r="B13" s="140" t="s">
        <v>101</v>
      </c>
      <c r="C13" s="141">
        <f>'TV tinklas'!E$34+'TV tinklas'!J$34</f>
        <v>0</v>
      </c>
      <c r="D13" s="138">
        <f>('TV m2,m3'!F$33+'TV m2,m3'!K$33)/6.28*10</f>
        <v>0</v>
      </c>
      <c r="E13" s="141">
        <f>'TV m2,m3'!S$33+'TV m2,m3'!X$33</f>
        <v>0</v>
      </c>
      <c r="F13" s="141">
        <f>('TV m2,m3'!S$33+'TV m2,m3'!X$33)*'Pradiniai duomenys'!E$13*'Pradiniai duomenys'!J39</f>
        <v>0</v>
      </c>
      <c r="G13" s="141">
        <f>('TV m2,m3'!S$33+'TV m2,m3'!X$33)*0.001*'Pradiniai duomenys'!J39*1.163*'Pradiniai duomenys'!E$13*(('Pradiniai duomenys'!C$13+'Pradiniai duomenys'!D$13)/2-'Pradiniai duomenys'!I$13)</f>
        <v>0</v>
      </c>
      <c r="H13" s="141">
        <f>'Orinės trasos'!$L$30</f>
        <v>0</v>
      </c>
      <c r="I13" s="141">
        <f>SUM(G13:H13)</f>
        <v>0</v>
      </c>
      <c r="J13" s="139">
        <f t="shared" ref="J13:J22" si="0">IF(C13=0,0,SUM(D13/C13)*100)</f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f>SUM(O13:P13)</f>
        <v>0</v>
      </c>
      <c r="R13" s="139">
        <f>IF(K13=0,0,SUM(L13/K13)*100)</f>
        <v>0</v>
      </c>
    </row>
    <row r="14" spans="1:18" ht="15.75" customHeight="1" x14ac:dyDescent="0.2">
      <c r="A14" s="136">
        <v>3</v>
      </c>
      <c r="B14" s="140" t="s">
        <v>102</v>
      </c>
      <c r="C14" s="141">
        <f>'TV tinklas'!F$34+'TV tinklas'!K$34</f>
        <v>100</v>
      </c>
      <c r="D14" s="138">
        <f>('TV m2,m3'!G$33+'TV m2,m3'!L$33)/6.28*10</f>
        <v>100</v>
      </c>
      <c r="E14" s="141">
        <f>'TV m2,m3'!T$33+'TV m2,m3'!Y$33</f>
        <v>1.5699999999999998</v>
      </c>
      <c r="F14" s="141">
        <f>('TV m2,m3'!T$33+'TV m2,m3'!Y$33)*'Pradiniai duomenys'!E$13*'Pradiniai duomenys'!J38</f>
        <v>7.0335999999999999</v>
      </c>
      <c r="G14" s="141">
        <f>('TV m2,m3'!T$33+'TV m2,m3'!Y$33)*0.001*'Pradiniai duomenys'!J38*1.163*'Pradiniai duomenys'!E$13*(('Pradiniai duomenys'!C$13+'Pradiniai duomenys'!D$13)/2-'Pradiniai duomenys'!I$13)</f>
        <v>0.42425350264913103</v>
      </c>
      <c r="H14" s="141">
        <f>'Bekanalinės trasos'!$O$35</f>
        <v>15.983386173675539</v>
      </c>
      <c r="I14" s="141">
        <f>SUM(G14:H14)</f>
        <v>16.407639676324671</v>
      </c>
      <c r="J14" s="139">
        <f t="shared" si="0"/>
        <v>100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f>SUM(O14:P14)</f>
        <v>0</v>
      </c>
      <c r="R14" s="139">
        <f>IF(K14=0,0,SUM(L14/K14)*100)</f>
        <v>0</v>
      </c>
    </row>
    <row r="15" spans="1:18" ht="15.75" customHeight="1" x14ac:dyDescent="0.2">
      <c r="A15" s="136">
        <v>4</v>
      </c>
      <c r="B15" s="140" t="s">
        <v>141</v>
      </c>
      <c r="C15" s="141">
        <f>'TV tinklas'!G$34+'TV tinklas'!L$34</f>
        <v>0</v>
      </c>
      <c r="D15" s="138">
        <f>('TV m2,m3'!H$33+'TV m2,m3'!M$33)/6.28*10</f>
        <v>0</v>
      </c>
      <c r="E15" s="141">
        <f>'TV m2,m3'!U$33+'TV m2,m3'!Z$33</f>
        <v>0</v>
      </c>
      <c r="F15" s="141">
        <f>('TV m2,m3'!U$33+'TV m2,m3'!Z$33)*'Pradiniai duomenys'!E$13*'Pradiniai duomenys'!J39</f>
        <v>0</v>
      </c>
      <c r="G15" s="141">
        <f>('TV m2,m3'!U$33+'TV m2,m3'!Z33)*0.001*'Pradiniai duomenys'!J39*1.163*'Pradiniai duomenys'!E$13*(('Pradiniai duomenys'!C$13+'Pradiniai duomenys'!D$13)/2-'Pradiniai duomenys'!I$13)</f>
        <v>0</v>
      </c>
      <c r="H15" s="141">
        <f>Patalpose!$K$24</f>
        <v>0</v>
      </c>
      <c r="I15" s="141">
        <f>SUM(G15:H15)</f>
        <v>0</v>
      </c>
      <c r="J15" s="139">
        <f t="shared" si="0"/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141">
        <v>0</v>
      </c>
      <c r="Q15" s="141">
        <f>SUM(O15:P15)</f>
        <v>0</v>
      </c>
      <c r="R15" s="139">
        <f>IF(K15=0,0,SUM(L15/K15)*100)</f>
        <v>0</v>
      </c>
    </row>
    <row r="16" spans="1:18" ht="15.75" customHeight="1" x14ac:dyDescent="0.2">
      <c r="A16" s="136">
        <v>5</v>
      </c>
      <c r="B16" s="142" t="s">
        <v>138</v>
      </c>
      <c r="C16" s="143">
        <f t="shared" ref="C16:H16" si="1">SUM(C12:C15)</f>
        <v>100</v>
      </c>
      <c r="D16" s="143">
        <f t="shared" si="1"/>
        <v>100</v>
      </c>
      <c r="E16" s="143">
        <f t="shared" si="1"/>
        <v>1.5699999999999998</v>
      </c>
      <c r="F16" s="143">
        <f t="shared" si="1"/>
        <v>7.0335999999999999</v>
      </c>
      <c r="G16" s="144">
        <f>SUM(G12:G15)</f>
        <v>0.42425350264913103</v>
      </c>
      <c r="H16" s="143">
        <f t="shared" si="1"/>
        <v>15.983386173675539</v>
      </c>
      <c r="I16" s="145">
        <f>SUM(I12:I15)</f>
        <v>16.407639676324671</v>
      </c>
      <c r="J16" s="145">
        <f t="shared" si="0"/>
        <v>100</v>
      </c>
      <c r="K16" s="143">
        <f t="shared" ref="K16:Q16" si="2">SUM(K12:K15)</f>
        <v>0</v>
      </c>
      <c r="L16" s="143">
        <f t="shared" si="2"/>
        <v>0</v>
      </c>
      <c r="M16" s="143">
        <f t="shared" si="2"/>
        <v>0</v>
      </c>
      <c r="N16" s="144">
        <f t="shared" si="2"/>
        <v>0</v>
      </c>
      <c r="O16" s="143">
        <f t="shared" si="2"/>
        <v>0</v>
      </c>
      <c r="P16" s="145">
        <f t="shared" si="2"/>
        <v>0</v>
      </c>
      <c r="Q16" s="145">
        <f t="shared" si="2"/>
        <v>0</v>
      </c>
      <c r="R16" s="145">
        <f>IF(K16=0,0,SUM(L16/K16)*100)</f>
        <v>0</v>
      </c>
    </row>
    <row r="17" spans="1:18" s="121" customFormat="1" ht="15.75" customHeight="1" x14ac:dyDescent="0.2">
      <c r="A17" s="136"/>
      <c r="B17" s="132" t="s">
        <v>280</v>
      </c>
      <c r="C17" s="146"/>
      <c r="D17" s="147"/>
      <c r="E17" s="148"/>
      <c r="F17" s="147"/>
      <c r="G17" s="148"/>
      <c r="H17" s="147"/>
      <c r="I17" s="147"/>
      <c r="J17" s="147"/>
      <c r="K17" s="147"/>
      <c r="L17" s="147"/>
      <c r="M17" s="148"/>
      <c r="N17" s="147"/>
      <c r="O17" s="147"/>
      <c r="P17" s="147"/>
      <c r="Q17" s="147"/>
      <c r="R17" s="149"/>
    </row>
    <row r="18" spans="1:18" ht="15.75" customHeight="1" x14ac:dyDescent="0.2">
      <c r="A18" s="136">
        <v>6</v>
      </c>
      <c r="B18" s="137" t="s">
        <v>96</v>
      </c>
      <c r="C18" s="138">
        <f>'TV tinklas'!D$67+'TV tinklas'!I$67</f>
        <v>0</v>
      </c>
      <c r="D18" s="138">
        <f>('TV m2,m3'!E$66+'TV m2,m3'!J$66)/6.28*10</f>
        <v>0</v>
      </c>
      <c r="E18" s="138">
        <f>'TV m2,m3'!R$66+'TV m2,m3'!W$66</f>
        <v>0</v>
      </c>
      <c r="F18" s="138">
        <f>('TV m2,m3'!R$66+'TV m2,m3'!W$66)*'Pradiniai duomenys'!E$25*'Pradiniai duomenys'!J39</f>
        <v>0</v>
      </c>
      <c r="G18" s="138">
        <f>('TV m2,m3'!R$66+'TV m2,m3'!W$66)*0.001*'Pradiniai duomenys'!J39*1.163*'Pradiniai duomenys'!E$25*(('Pradiniai duomenys'!C$25+'Pradiniai duomenys'!D$25)/2-'Pradiniai duomenys'!I$25)</f>
        <v>0</v>
      </c>
      <c r="H18" s="138">
        <f>'Nepraeinami kanalai'!$S$68</f>
        <v>0</v>
      </c>
      <c r="I18" s="138">
        <f>SUM(G18:H18)</f>
        <v>0</v>
      </c>
      <c r="J18" s="139">
        <f t="shared" si="0"/>
        <v>0</v>
      </c>
      <c r="K18" s="138">
        <f>'KV tinklas'!B$49</f>
        <v>0</v>
      </c>
      <c r="L18" s="138">
        <f>'KV m2, m3'!D$48/6.28*10</f>
        <v>0</v>
      </c>
      <c r="M18" s="138">
        <f>'KV m2, m3'!Q$48</f>
        <v>0</v>
      </c>
      <c r="N18" s="138">
        <f>'Pradiniai duomenys'!H$25*'KV m2, m3'!Q$48*'Pradiniai duomenys'!J39</f>
        <v>0</v>
      </c>
      <c r="O18" s="138">
        <f>'KV m2, m3'!Q$48*0.001*'Pradiniai duomenys'!J39*1.163*'Pradiniai duomenys'!H$25*(('Pradiniai duomenys'!F$25+'Pradiniai duomenys'!G$25)/2-'Pradiniai duomenys'!I$25)</f>
        <v>0</v>
      </c>
      <c r="P18" s="138">
        <f>'KV 2x1 nepraein'!R$47</f>
        <v>0</v>
      </c>
      <c r="Q18" s="138">
        <f>SUM(O18:P18)</f>
        <v>0</v>
      </c>
      <c r="R18" s="139">
        <f>IF(K18=0,0,SUM(L18/K18)*100)</f>
        <v>0</v>
      </c>
    </row>
    <row r="19" spans="1:18" ht="15.75" customHeight="1" x14ac:dyDescent="0.2">
      <c r="A19" s="136">
        <v>7</v>
      </c>
      <c r="B19" s="140" t="s">
        <v>101</v>
      </c>
      <c r="C19" s="141">
        <f>'TV tinklas'!E$67+'TV tinklas'!J$67</f>
        <v>0</v>
      </c>
      <c r="D19" s="138">
        <f>('TV m2,m3'!F$66+'TV m2,m3'!K$66)/6.28*10</f>
        <v>0</v>
      </c>
      <c r="E19" s="141">
        <f>'TV m2,m3'!S$66+'TV m2,m3'!X$66</f>
        <v>0</v>
      </c>
      <c r="F19" s="141">
        <f>('TV m2,m3'!S$66+'TV m2,m3'!X$66)*'Pradiniai duomenys'!E$25*'Pradiniai duomenys'!J39</f>
        <v>0</v>
      </c>
      <c r="G19" s="141">
        <f>('TV m2,m3'!S$66+'TV m2,m3'!X$66)*0.001*'Pradiniai duomenys'!J39*1.163*'Pradiniai duomenys'!E$25*(('Pradiniai duomenys'!C$25+'Pradiniai duomenys'!D$25)/2-'Pradiniai duomenys'!I$25)</f>
        <v>0</v>
      </c>
      <c r="H19" s="141">
        <f>'Orinės trasos'!$L$60</f>
        <v>0</v>
      </c>
      <c r="I19" s="141">
        <f>SUM(G19:H19)</f>
        <v>0</v>
      </c>
      <c r="J19" s="139">
        <f t="shared" si="0"/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f>SUM(O19:P19)</f>
        <v>0</v>
      </c>
      <c r="R19" s="139">
        <f>IF(K19=0,0,SUM(L19/K19)*100)</f>
        <v>0</v>
      </c>
    </row>
    <row r="20" spans="1:18" ht="15.75" customHeight="1" x14ac:dyDescent="0.2">
      <c r="A20" s="136">
        <v>8</v>
      </c>
      <c r="B20" s="140" t="s">
        <v>102</v>
      </c>
      <c r="C20" s="141">
        <f>'TV tinklas'!F$67+'TV tinklas'!K$67</f>
        <v>100</v>
      </c>
      <c r="D20" s="138">
        <f>('TV m2,m3'!G$66+'TV m2,m3'!L$66)/6.28*10</f>
        <v>100</v>
      </c>
      <c r="E20" s="141">
        <f>'TV m2,m3'!T$66+'TV m2,m3'!Y$66</f>
        <v>1.5699999999999998</v>
      </c>
      <c r="F20" s="141">
        <f>('TV m2,m3'!T$66+'TV m2,m3'!Y$66)*'Pradiniai duomenys'!E$25*'Pradiniai duomenys'!J38</f>
        <v>6.7321599999999995</v>
      </c>
      <c r="G20" s="141">
        <f>('TV m2,m3'!T$66+'TV m2,m3'!Y$66)*0.001*'Pradiniai duomenys'!J38*1.163*'Pradiniai duomenys'!E$25*(('Pradiniai duomenys'!C$25+'Pradiniai duomenys'!D$25)/2-'Pradiniai duomenys'!I$25)</f>
        <v>0.37243768642958458</v>
      </c>
      <c r="H20" s="141">
        <f>'Bekanalinės trasos'!$M$70</f>
        <v>12.831141578683646</v>
      </c>
      <c r="I20" s="141">
        <f>SUM(G20:H20)</f>
        <v>13.20357926511323</v>
      </c>
      <c r="J20" s="139">
        <f t="shared" si="0"/>
        <v>100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f>SUM(O20:P20)</f>
        <v>0</v>
      </c>
      <c r="R20" s="139">
        <f>IF(K20=0,0,SUM(L20/K20)*100)</f>
        <v>0</v>
      </c>
    </row>
    <row r="21" spans="1:18" ht="15.75" customHeight="1" x14ac:dyDescent="0.2">
      <c r="A21" s="136">
        <v>9</v>
      </c>
      <c r="B21" s="140" t="s">
        <v>141</v>
      </c>
      <c r="C21" s="141">
        <f>'TV tinklas'!G$67+'TV tinklas'!L$67</f>
        <v>0</v>
      </c>
      <c r="D21" s="138">
        <f>('TV m2,m3'!H$66+'TV m2,m3'!M$66)/6.28*10</f>
        <v>0</v>
      </c>
      <c r="E21" s="141">
        <f>'TV m2,m3'!U$66+'TV m2,m3'!Z$66</f>
        <v>0</v>
      </c>
      <c r="F21" s="141">
        <f>('TV m2,m3'!U$66+'TV m2,m3'!Z$66)*'Pradiniai duomenys'!E$25*'Pradiniai duomenys'!J39</f>
        <v>0</v>
      </c>
      <c r="G21" s="141">
        <f>('TV m2,m3'!U$66+'TV m2,m3'!Z$66)*0.001*'Pradiniai duomenys'!J39*1.163*'Pradiniai duomenys'!E$25*(('Pradiniai duomenys'!C$25+'Pradiniai duomenys'!D$25)/2-'Pradiniai duomenys'!I$25)</f>
        <v>0</v>
      </c>
      <c r="H21" s="141">
        <f>Patalpose!$K$49</f>
        <v>0</v>
      </c>
      <c r="I21" s="141">
        <f>SUM(G21:H21)</f>
        <v>0</v>
      </c>
      <c r="J21" s="139">
        <f t="shared" si="0"/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f>SUM(O21:P21)</f>
        <v>0</v>
      </c>
      <c r="R21" s="139">
        <f>IF(K21=0,0,SUM(L21/K21)*100)</f>
        <v>0</v>
      </c>
    </row>
    <row r="22" spans="1:18" ht="15.75" customHeight="1" x14ac:dyDescent="0.2">
      <c r="A22" s="136">
        <v>10</v>
      </c>
      <c r="B22" s="142" t="s">
        <v>138</v>
      </c>
      <c r="C22" s="143">
        <f t="shared" ref="C22:Q22" si="3">SUM(C18:C21)</f>
        <v>100</v>
      </c>
      <c r="D22" s="143">
        <f t="shared" si="3"/>
        <v>100</v>
      </c>
      <c r="E22" s="143">
        <f t="shared" si="3"/>
        <v>1.5699999999999998</v>
      </c>
      <c r="F22" s="143">
        <f t="shared" si="3"/>
        <v>6.7321599999999995</v>
      </c>
      <c r="G22" s="144">
        <f t="shared" si="3"/>
        <v>0.37243768642958458</v>
      </c>
      <c r="H22" s="143">
        <f t="shared" si="3"/>
        <v>12.831141578683646</v>
      </c>
      <c r="I22" s="145">
        <f t="shared" si="3"/>
        <v>13.20357926511323</v>
      </c>
      <c r="J22" s="145">
        <f t="shared" si="0"/>
        <v>100</v>
      </c>
      <c r="K22" s="143">
        <f t="shared" si="3"/>
        <v>0</v>
      </c>
      <c r="L22" s="143">
        <f t="shared" si="3"/>
        <v>0</v>
      </c>
      <c r="M22" s="143">
        <f t="shared" si="3"/>
        <v>0</v>
      </c>
      <c r="N22" s="144">
        <f t="shared" si="3"/>
        <v>0</v>
      </c>
      <c r="O22" s="143">
        <f t="shared" si="3"/>
        <v>0</v>
      </c>
      <c r="P22" s="145">
        <f t="shared" si="3"/>
        <v>0</v>
      </c>
      <c r="Q22" s="145">
        <f t="shared" si="3"/>
        <v>0</v>
      </c>
      <c r="R22" s="145">
        <f>IF(K22=0,0,SUM(L22/K22)*100)</f>
        <v>0</v>
      </c>
    </row>
    <row r="23" spans="1:18" s="121" customFormat="1" ht="1.5" customHeight="1" x14ac:dyDescent="0.2">
      <c r="A23" s="133"/>
      <c r="B23" s="150"/>
      <c r="C23" s="147"/>
      <c r="D23" s="147"/>
      <c r="E23" s="148"/>
      <c r="F23" s="147"/>
      <c r="G23" s="148"/>
      <c r="H23" s="148"/>
      <c r="I23" s="147"/>
      <c r="J23" s="147"/>
      <c r="K23" s="147"/>
      <c r="L23" s="147"/>
      <c r="M23" s="148"/>
      <c r="N23" s="148"/>
      <c r="O23" s="147"/>
      <c r="P23" s="148"/>
      <c r="Q23" s="147"/>
      <c r="R23" s="149"/>
    </row>
    <row r="24" spans="1:18" ht="15.75" customHeight="1" x14ac:dyDescent="0.2">
      <c r="A24" s="136">
        <v>11</v>
      </c>
      <c r="B24" s="151" t="s">
        <v>138</v>
      </c>
      <c r="C24" s="152">
        <f>SUM(C12:C15)</f>
        <v>100</v>
      </c>
      <c r="D24" s="152">
        <f>SUM(D12:D15)</f>
        <v>100</v>
      </c>
      <c r="E24" s="152">
        <f>SUM(E12:E15)</f>
        <v>1.5699999999999998</v>
      </c>
      <c r="F24" s="152">
        <f>SUM(F16+F22)</f>
        <v>13.76576</v>
      </c>
      <c r="G24" s="152">
        <f>SUM(G16+G22)</f>
        <v>0.79669118907871561</v>
      </c>
      <c r="H24" s="152">
        <f>SUM(H16+H22)</f>
        <v>28.814527752359183</v>
      </c>
      <c r="I24" s="152">
        <f>SUM(I16+I22)</f>
        <v>29.611218941437901</v>
      </c>
      <c r="J24" s="152">
        <f>SUM(J16)</f>
        <v>100</v>
      </c>
      <c r="K24" s="152">
        <f>SUM(K12:K15)</f>
        <v>0</v>
      </c>
      <c r="L24" s="152">
        <f>SUM(L12:L15)</f>
        <v>0</v>
      </c>
      <c r="M24" s="152">
        <f>SUM(M12:M15)</f>
        <v>0</v>
      </c>
      <c r="N24" s="152">
        <f>SUM(N16+N22)</f>
        <v>0</v>
      </c>
      <c r="O24" s="152">
        <f>SUM(O16+O22)</f>
        <v>0</v>
      </c>
      <c r="P24" s="152">
        <f>SUM(P16+P22)</f>
        <v>0</v>
      </c>
      <c r="Q24" s="152">
        <f>SUM(Q16+Q22)</f>
        <v>0</v>
      </c>
      <c r="R24" s="152">
        <f>SUM(R16)</f>
        <v>0</v>
      </c>
    </row>
    <row r="25" spans="1:18" s="121" customFormat="1" x14ac:dyDescent="0.2"/>
  </sheetData>
  <protectedRanges>
    <protectedRange sqref="A1:R6" name="Range1"/>
  </protectedRanges>
  <mergeCells count="3">
    <mergeCell ref="C7:J7"/>
    <mergeCell ref="K7:R7"/>
    <mergeCell ref="A5:R5"/>
  </mergeCells>
  <phoneticPr fontId="5" type="noConversion"/>
  <printOptions horizontalCentered="1" verticalCentered="1"/>
  <pageMargins left="0.39370078740157483" right="0.31496062992125984" top="0.98425196850393704" bottom="0.98425196850393704" header="0.51181102362204722" footer="0.51181102362204722"/>
  <pageSetup paperSize="9" scale="76" fitToHeight="0" orientation="landscape" horizontalDpi="4294967292" verticalDpi="300" r:id="rId1"/>
  <headerFooter alignWithMargins="0">
    <oddHeader>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7"/>
  <sheetViews>
    <sheetView workbookViewId="0">
      <selection activeCell="G3" sqref="G3"/>
    </sheetView>
  </sheetViews>
  <sheetFormatPr defaultColWidth="9.33203125" defaultRowHeight="11.25" x14ac:dyDescent="0.2"/>
  <cols>
    <col min="1" max="1" width="8.83203125" style="24" customWidth="1"/>
    <col min="2" max="2" width="8.83203125" style="42" customWidth="1"/>
    <col min="3" max="13" width="8.83203125" style="24" customWidth="1"/>
    <col min="14" max="14" width="9.33203125" style="24"/>
    <col min="15" max="15" width="8.83203125" style="42" customWidth="1"/>
    <col min="16" max="26" width="8.83203125" style="24" customWidth="1"/>
    <col min="27" max="16384" width="9.33203125" style="24"/>
  </cols>
  <sheetData>
    <row r="1" spans="1:26" s="67" customFormat="1" ht="12.75" x14ac:dyDescent="0.2">
      <c r="A1" s="67" t="e">
        <f>'TV tinklas'!#REF!</f>
        <v>#REF!</v>
      </c>
      <c r="B1" s="77"/>
      <c r="O1" s="77"/>
    </row>
    <row r="3" spans="1:26" ht="12.75" x14ac:dyDescent="0.2">
      <c r="A3" s="68" t="s">
        <v>110</v>
      </c>
      <c r="B3" s="68"/>
      <c r="O3" s="68" t="s">
        <v>110</v>
      </c>
    </row>
    <row r="4" spans="1:26" x14ac:dyDescent="0.2">
      <c r="A4" s="43"/>
      <c r="B4" s="43" t="s">
        <v>115</v>
      </c>
      <c r="C4" s="44" t="s">
        <v>115</v>
      </c>
      <c r="D4" s="554" t="s">
        <v>112</v>
      </c>
      <c r="E4" s="552"/>
      <c r="F4" s="552"/>
      <c r="G4" s="552"/>
      <c r="H4" s="552"/>
      <c r="I4" s="551" t="s">
        <v>113</v>
      </c>
      <c r="J4" s="552"/>
      <c r="K4" s="552"/>
      <c r="L4" s="552"/>
      <c r="M4" s="553"/>
      <c r="O4" s="43"/>
      <c r="P4" s="44"/>
      <c r="Q4" s="554" t="s">
        <v>112</v>
      </c>
      <c r="R4" s="552"/>
      <c r="S4" s="552"/>
      <c r="T4" s="552"/>
      <c r="U4" s="552"/>
      <c r="V4" s="551" t="s">
        <v>113</v>
      </c>
      <c r="W4" s="552"/>
      <c r="X4" s="552"/>
      <c r="Y4" s="552"/>
      <c r="Z4" s="553"/>
    </row>
    <row r="5" spans="1:26" x14ac:dyDescent="0.2">
      <c r="A5" s="45" t="s">
        <v>82</v>
      </c>
      <c r="B5" s="45" t="s">
        <v>118</v>
      </c>
      <c r="C5" s="46" t="s">
        <v>117</v>
      </c>
      <c r="D5" s="58" t="s">
        <v>83</v>
      </c>
      <c r="E5" s="46" t="s">
        <v>132</v>
      </c>
      <c r="F5" s="46" t="s">
        <v>133</v>
      </c>
      <c r="G5" s="46" t="s">
        <v>134</v>
      </c>
      <c r="H5" s="47" t="s">
        <v>135</v>
      </c>
      <c r="I5" s="46" t="s">
        <v>83</v>
      </c>
      <c r="J5" s="46" t="s">
        <v>132</v>
      </c>
      <c r="K5" s="46" t="s">
        <v>133</v>
      </c>
      <c r="L5" s="46" t="s">
        <v>134</v>
      </c>
      <c r="M5" s="66" t="s">
        <v>135</v>
      </c>
      <c r="O5" s="63" t="s">
        <v>90</v>
      </c>
      <c r="P5" s="46" t="s">
        <v>83</v>
      </c>
      <c r="Q5" s="58" t="s">
        <v>83</v>
      </c>
      <c r="R5" s="46" t="s">
        <v>132</v>
      </c>
      <c r="S5" s="46" t="s">
        <v>133</v>
      </c>
      <c r="T5" s="46" t="s">
        <v>134</v>
      </c>
      <c r="U5" s="47" t="s">
        <v>135</v>
      </c>
      <c r="V5" s="46" t="s">
        <v>83</v>
      </c>
      <c r="W5" s="46" t="s">
        <v>132</v>
      </c>
      <c r="X5" s="46" t="s">
        <v>133</v>
      </c>
      <c r="Y5" s="46" t="s">
        <v>134</v>
      </c>
      <c r="Z5" s="66" t="s">
        <v>135</v>
      </c>
    </row>
    <row r="6" spans="1:26" x14ac:dyDescent="0.2">
      <c r="A6" s="45" t="s">
        <v>84</v>
      </c>
      <c r="B6" s="63" t="s">
        <v>91</v>
      </c>
      <c r="C6" s="46" t="s">
        <v>118</v>
      </c>
      <c r="D6" s="46" t="s">
        <v>118</v>
      </c>
      <c r="E6" s="46" t="s">
        <v>85</v>
      </c>
      <c r="F6" s="46" t="s">
        <v>86</v>
      </c>
      <c r="G6" s="46" t="s">
        <v>87</v>
      </c>
      <c r="H6" s="47" t="s">
        <v>136</v>
      </c>
      <c r="I6" s="46" t="s">
        <v>118</v>
      </c>
      <c r="J6" s="46" t="s">
        <v>85</v>
      </c>
      <c r="K6" s="46" t="s">
        <v>86</v>
      </c>
      <c r="L6" s="46" t="s">
        <v>87</v>
      </c>
      <c r="M6" s="63" t="s">
        <v>136</v>
      </c>
      <c r="O6" s="63" t="s">
        <v>91</v>
      </c>
      <c r="P6" s="46" t="s">
        <v>92</v>
      </c>
      <c r="Q6" s="45" t="s">
        <v>92</v>
      </c>
      <c r="R6" s="46" t="s">
        <v>85</v>
      </c>
      <c r="S6" s="46" t="s">
        <v>86</v>
      </c>
      <c r="T6" s="46" t="s">
        <v>87</v>
      </c>
      <c r="U6" s="47" t="s">
        <v>136</v>
      </c>
      <c r="V6" s="45" t="s">
        <v>92</v>
      </c>
      <c r="W6" s="46" t="s">
        <v>85</v>
      </c>
      <c r="X6" s="46" t="s">
        <v>86</v>
      </c>
      <c r="Y6" s="46" t="s">
        <v>87</v>
      </c>
      <c r="Z6" s="63" t="s">
        <v>136</v>
      </c>
    </row>
    <row r="7" spans="1:26" x14ac:dyDescent="0.2">
      <c r="A7" s="48" t="s">
        <v>0</v>
      </c>
      <c r="B7" s="48" t="s">
        <v>119</v>
      </c>
      <c r="C7" s="46" t="s">
        <v>116</v>
      </c>
      <c r="D7" s="46" t="s">
        <v>116</v>
      </c>
      <c r="E7" s="46" t="s">
        <v>116</v>
      </c>
      <c r="F7" s="46" t="s">
        <v>116</v>
      </c>
      <c r="G7" s="46" t="s">
        <v>116</v>
      </c>
      <c r="H7" s="46" t="s">
        <v>116</v>
      </c>
      <c r="I7" s="46" t="s">
        <v>116</v>
      </c>
      <c r="J7" s="46" t="s">
        <v>116</v>
      </c>
      <c r="K7" s="46" t="s">
        <v>116</v>
      </c>
      <c r="L7" s="46" t="s">
        <v>116</v>
      </c>
      <c r="M7" s="72" t="s">
        <v>116</v>
      </c>
      <c r="O7" s="48" t="s">
        <v>7</v>
      </c>
      <c r="P7" s="46" t="s">
        <v>93</v>
      </c>
      <c r="Q7" s="45" t="s">
        <v>93</v>
      </c>
      <c r="R7" s="45" t="s">
        <v>93</v>
      </c>
      <c r="S7" s="45" t="s">
        <v>93</v>
      </c>
      <c r="T7" s="45" t="s">
        <v>93</v>
      </c>
      <c r="U7" s="45" t="s">
        <v>93</v>
      </c>
      <c r="V7" s="45" t="s">
        <v>93</v>
      </c>
      <c r="W7" s="45" t="s">
        <v>93</v>
      </c>
      <c r="X7" s="45" t="s">
        <v>93</v>
      </c>
      <c r="Y7" s="45" t="s">
        <v>93</v>
      </c>
      <c r="Z7" s="72" t="s">
        <v>93</v>
      </c>
    </row>
    <row r="8" spans="1:26" x14ac:dyDescent="0.2">
      <c r="A8" s="49">
        <v>25</v>
      </c>
      <c r="B8" s="23">
        <f>A8*3.14/1000</f>
        <v>7.85E-2</v>
      </c>
      <c r="C8" s="75">
        <f t="shared" ref="C8:C30" si="0">SUM(D8+I8)</f>
        <v>0</v>
      </c>
      <c r="D8" s="75">
        <f t="shared" ref="D8:D30" si="1">SUM(E8:H8)</f>
        <v>0</v>
      </c>
      <c r="E8" s="75">
        <f>$B8*'TV tinklas'!D9*2</f>
        <v>0</v>
      </c>
      <c r="F8" s="75">
        <f>$B8*'TV tinklas'!E9*2</f>
        <v>0</v>
      </c>
      <c r="G8" s="75">
        <f>$B8*'TV tinklas'!F9*2</f>
        <v>0</v>
      </c>
      <c r="H8" s="75">
        <f>$B8*'TV tinklas'!G9*2</f>
        <v>0</v>
      </c>
      <c r="I8" s="75">
        <f t="shared" ref="I8:I30" si="2">SUM(J8:M8)</f>
        <v>0</v>
      </c>
      <c r="J8" s="75">
        <f>$B8*'TV tinklas'!I9*2</f>
        <v>0</v>
      </c>
      <c r="K8" s="75">
        <f>$B8*'TV tinklas'!J9*2</f>
        <v>0</v>
      </c>
      <c r="L8" s="75">
        <f>$B8*'TV tinklas'!K9*2</f>
        <v>0</v>
      </c>
      <c r="M8" s="75">
        <f>$B8*'TV tinklas'!L9*2</f>
        <v>0</v>
      </c>
      <c r="O8" s="23">
        <f t="shared" ref="O8:O32" si="3">SUM(A8/2)*(A8/2)*3.14/1000000</f>
        <v>4.9062499999999996E-4</v>
      </c>
      <c r="P8" s="61">
        <f t="shared" ref="P8:P30" si="4">SUM(Q8+V8)</f>
        <v>0</v>
      </c>
      <c r="Q8" s="61">
        <f t="shared" ref="Q8:Q30" si="5">SUM(R8:U8)</f>
        <v>0</v>
      </c>
      <c r="R8" s="61">
        <f>$O8*'TV tinklas'!D9*2</f>
        <v>0</v>
      </c>
      <c r="S8" s="61">
        <f>$O8*'TV tinklas'!E9*2</f>
        <v>0</v>
      </c>
      <c r="T8" s="61">
        <f>$O8*'TV tinklas'!F9*2</f>
        <v>0</v>
      </c>
      <c r="U8" s="61">
        <f>$O8*'TV tinklas'!G9*2</f>
        <v>0</v>
      </c>
      <c r="V8" s="61">
        <f t="shared" ref="V8:V30" si="6">SUM(W8:Z8)</f>
        <v>0</v>
      </c>
      <c r="W8" s="61">
        <f>$O8*'TV tinklas'!I9*2</f>
        <v>0</v>
      </c>
      <c r="X8" s="61">
        <f>$O8*'TV tinklas'!J9*2</f>
        <v>0</v>
      </c>
      <c r="Y8" s="61">
        <f>$O8*'TV tinklas'!K9*2</f>
        <v>0</v>
      </c>
      <c r="Z8" s="61">
        <f>$O8*'TV tinklas'!L9*2</f>
        <v>0</v>
      </c>
    </row>
    <row r="9" spans="1:26" x14ac:dyDescent="0.2">
      <c r="A9" s="49">
        <v>32</v>
      </c>
      <c r="B9" s="23">
        <f t="shared" ref="B9:B32" si="7">A9*3.14/1000</f>
        <v>0.10048</v>
      </c>
      <c r="C9" s="75">
        <f t="shared" si="0"/>
        <v>0</v>
      </c>
      <c r="D9" s="75">
        <f t="shared" si="1"/>
        <v>0</v>
      </c>
      <c r="E9" s="75">
        <f>$B9*'TV tinklas'!D10*2</f>
        <v>0</v>
      </c>
      <c r="F9" s="75">
        <f>$B9*'TV tinklas'!E10*2</f>
        <v>0</v>
      </c>
      <c r="G9" s="75">
        <f>$B9*'TV tinklas'!F10*2</f>
        <v>0</v>
      </c>
      <c r="H9" s="75">
        <f>$B9*'TV tinklas'!G10*2</f>
        <v>0</v>
      </c>
      <c r="I9" s="75">
        <f t="shared" si="2"/>
        <v>0</v>
      </c>
      <c r="J9" s="75">
        <f>$B9*'TV tinklas'!I10*2</f>
        <v>0</v>
      </c>
      <c r="K9" s="75">
        <f>$B9*'TV tinklas'!J10*2</f>
        <v>0</v>
      </c>
      <c r="L9" s="75">
        <f>$B9*'TV tinklas'!K10*2</f>
        <v>0</v>
      </c>
      <c r="M9" s="75">
        <f>$B9*'TV tinklas'!L10*2</f>
        <v>0</v>
      </c>
      <c r="O9" s="23">
        <f t="shared" si="3"/>
        <v>8.0384E-4</v>
      </c>
      <c r="P9" s="61">
        <f t="shared" si="4"/>
        <v>0</v>
      </c>
      <c r="Q9" s="61">
        <f t="shared" si="5"/>
        <v>0</v>
      </c>
      <c r="R9" s="61">
        <f>$O9*'TV tinklas'!D10*2</f>
        <v>0</v>
      </c>
      <c r="S9" s="61">
        <f>$O9*'TV tinklas'!E10*2</f>
        <v>0</v>
      </c>
      <c r="T9" s="61">
        <f>$O9*'TV tinklas'!F10*2</f>
        <v>0</v>
      </c>
      <c r="U9" s="61">
        <f>$O9*'TV tinklas'!G10*2</f>
        <v>0</v>
      </c>
      <c r="V9" s="61">
        <f t="shared" si="6"/>
        <v>0</v>
      </c>
      <c r="W9" s="61">
        <f>$O9*'TV tinklas'!I10*2</f>
        <v>0</v>
      </c>
      <c r="X9" s="61">
        <f>$O9*'TV tinklas'!J10*2</f>
        <v>0</v>
      </c>
      <c r="Y9" s="61">
        <f>$O9*'TV tinklas'!K10*2</f>
        <v>0</v>
      </c>
      <c r="Z9" s="61">
        <f>$O9*'TV tinklas'!L10*2</f>
        <v>0</v>
      </c>
    </row>
    <row r="10" spans="1:26" x14ac:dyDescent="0.2">
      <c r="A10" s="49">
        <v>40</v>
      </c>
      <c r="B10" s="23">
        <f t="shared" si="7"/>
        <v>0.12560000000000002</v>
      </c>
      <c r="C10" s="75">
        <f t="shared" si="0"/>
        <v>0</v>
      </c>
      <c r="D10" s="75">
        <f t="shared" si="1"/>
        <v>0</v>
      </c>
      <c r="E10" s="75">
        <f>$B10*'TV tinklas'!D11*2</f>
        <v>0</v>
      </c>
      <c r="F10" s="75">
        <f>$B10*'TV tinklas'!E11*2</f>
        <v>0</v>
      </c>
      <c r="G10" s="75">
        <f>$B10*'TV tinklas'!F11*2</f>
        <v>0</v>
      </c>
      <c r="H10" s="75">
        <f>$B10*'TV tinklas'!G11*2</f>
        <v>0</v>
      </c>
      <c r="I10" s="75">
        <f t="shared" si="2"/>
        <v>0</v>
      </c>
      <c r="J10" s="75">
        <f>$B10*'TV tinklas'!I11*2</f>
        <v>0</v>
      </c>
      <c r="K10" s="75">
        <f>$B10*'TV tinklas'!J11*2</f>
        <v>0</v>
      </c>
      <c r="L10" s="75">
        <f>$B10*'TV tinklas'!K11*2</f>
        <v>0</v>
      </c>
      <c r="M10" s="75">
        <f>$B10*'TV tinklas'!L11*2</f>
        <v>0</v>
      </c>
      <c r="O10" s="23">
        <f t="shared" si="3"/>
        <v>1.256E-3</v>
      </c>
      <c r="P10" s="61">
        <f t="shared" si="4"/>
        <v>0</v>
      </c>
      <c r="Q10" s="61">
        <f t="shared" si="5"/>
        <v>0</v>
      </c>
      <c r="R10" s="61">
        <f>$O10*'TV tinklas'!D11*2</f>
        <v>0</v>
      </c>
      <c r="S10" s="61">
        <f>$O10*'TV tinklas'!E11*2</f>
        <v>0</v>
      </c>
      <c r="T10" s="61">
        <f>$O10*'TV tinklas'!F11*2</f>
        <v>0</v>
      </c>
      <c r="U10" s="61">
        <f>$O10*'TV tinklas'!G11*2</f>
        <v>0</v>
      </c>
      <c r="V10" s="61">
        <f t="shared" si="6"/>
        <v>0</v>
      </c>
      <c r="W10" s="61">
        <f>$O10*'TV tinklas'!I11*2</f>
        <v>0</v>
      </c>
      <c r="X10" s="61">
        <f>$O10*'TV tinklas'!J11*2</f>
        <v>0</v>
      </c>
      <c r="Y10" s="61">
        <f>$O10*'TV tinklas'!K11*2</f>
        <v>0</v>
      </c>
      <c r="Z10" s="61">
        <f>$O10*'TV tinklas'!L11*2</f>
        <v>0</v>
      </c>
    </row>
    <row r="11" spans="1:26" x14ac:dyDescent="0.2">
      <c r="A11" s="49">
        <v>50</v>
      </c>
      <c r="B11" s="23">
        <f t="shared" si="7"/>
        <v>0.157</v>
      </c>
      <c r="C11" s="75">
        <f t="shared" si="0"/>
        <v>0</v>
      </c>
      <c r="D11" s="75">
        <f t="shared" si="1"/>
        <v>0</v>
      </c>
      <c r="E11" s="75">
        <f>$B11*'TV tinklas'!D12*2</f>
        <v>0</v>
      </c>
      <c r="F11" s="75">
        <f>$B11*'TV tinklas'!E12*2</f>
        <v>0</v>
      </c>
      <c r="G11" s="75">
        <f>$B11*'TV tinklas'!F12*2</f>
        <v>0</v>
      </c>
      <c r="H11" s="75">
        <f>$B11*'TV tinklas'!G12*2</f>
        <v>0</v>
      </c>
      <c r="I11" s="75">
        <f t="shared" si="2"/>
        <v>0</v>
      </c>
      <c r="J11" s="75">
        <f>$B11*'TV tinklas'!I12*2</f>
        <v>0</v>
      </c>
      <c r="K11" s="75">
        <f>$B11*'TV tinklas'!J12*2</f>
        <v>0</v>
      </c>
      <c r="L11" s="75">
        <f>$B11*'TV tinklas'!K12*2</f>
        <v>0</v>
      </c>
      <c r="M11" s="75">
        <f>$B11*'TV tinklas'!L12*2</f>
        <v>0</v>
      </c>
      <c r="O11" s="23">
        <f t="shared" si="3"/>
        <v>1.9624999999999998E-3</v>
      </c>
      <c r="P11" s="61">
        <f t="shared" si="4"/>
        <v>0</v>
      </c>
      <c r="Q11" s="61">
        <f t="shared" si="5"/>
        <v>0</v>
      </c>
      <c r="R11" s="61">
        <f>$O11*'TV tinklas'!D12*2</f>
        <v>0</v>
      </c>
      <c r="S11" s="61">
        <f>$O11*'TV tinklas'!E12*2</f>
        <v>0</v>
      </c>
      <c r="T11" s="61">
        <f>$O11*'TV tinklas'!F12*2</f>
        <v>0</v>
      </c>
      <c r="U11" s="61">
        <f>$O11*'TV tinklas'!G12*2</f>
        <v>0</v>
      </c>
      <c r="V11" s="61">
        <f t="shared" si="6"/>
        <v>0</v>
      </c>
      <c r="W11" s="61">
        <f>$O11*'TV tinklas'!I12*2</f>
        <v>0</v>
      </c>
      <c r="X11" s="61">
        <f>$O11*'TV tinklas'!J12*2</f>
        <v>0</v>
      </c>
      <c r="Y11" s="61">
        <f>$O11*'TV tinklas'!K12*2</f>
        <v>0</v>
      </c>
      <c r="Z11" s="61">
        <f>$O11*'TV tinklas'!L12*2</f>
        <v>0</v>
      </c>
    </row>
    <row r="12" spans="1:26" x14ac:dyDescent="0.2">
      <c r="A12" s="49">
        <v>65</v>
      </c>
      <c r="B12" s="23">
        <f t="shared" si="7"/>
        <v>0.2041</v>
      </c>
      <c r="C12" s="75">
        <f t="shared" si="0"/>
        <v>0</v>
      </c>
      <c r="D12" s="75">
        <f t="shared" si="1"/>
        <v>0</v>
      </c>
      <c r="E12" s="75">
        <f>$B12*'TV tinklas'!D13*2</f>
        <v>0</v>
      </c>
      <c r="F12" s="75">
        <f>$B12*'TV tinklas'!E13*2</f>
        <v>0</v>
      </c>
      <c r="G12" s="75">
        <f>$B12*'TV tinklas'!F13*2</f>
        <v>0</v>
      </c>
      <c r="H12" s="75">
        <f>$B12*'TV tinklas'!G13*2</f>
        <v>0</v>
      </c>
      <c r="I12" s="75">
        <f t="shared" si="2"/>
        <v>0</v>
      </c>
      <c r="J12" s="75">
        <f>$B12*'TV tinklas'!I13*2</f>
        <v>0</v>
      </c>
      <c r="K12" s="75">
        <f>$B12*'TV tinklas'!J13*2</f>
        <v>0</v>
      </c>
      <c r="L12" s="75">
        <f>$B12*'TV tinklas'!K13*2</f>
        <v>0</v>
      </c>
      <c r="M12" s="75">
        <f>$B12*'TV tinklas'!L13*2</f>
        <v>0</v>
      </c>
      <c r="O12" s="23">
        <f t="shared" si="3"/>
        <v>3.3166250000000001E-3</v>
      </c>
      <c r="P12" s="61">
        <f t="shared" si="4"/>
        <v>0</v>
      </c>
      <c r="Q12" s="61">
        <f t="shared" si="5"/>
        <v>0</v>
      </c>
      <c r="R12" s="61">
        <f>$O12*'TV tinklas'!D13*2</f>
        <v>0</v>
      </c>
      <c r="S12" s="61">
        <f>$O12*'TV tinklas'!E13*2</f>
        <v>0</v>
      </c>
      <c r="T12" s="61">
        <f>$O12*'TV tinklas'!F13*2</f>
        <v>0</v>
      </c>
      <c r="U12" s="61">
        <f>$O12*'TV tinklas'!G13*2</f>
        <v>0</v>
      </c>
      <c r="V12" s="61">
        <f t="shared" si="6"/>
        <v>0</v>
      </c>
      <c r="W12" s="61">
        <f>$O12*'TV tinklas'!I13*2</f>
        <v>0</v>
      </c>
      <c r="X12" s="61">
        <f>$O12*'TV tinklas'!J13*2</f>
        <v>0</v>
      </c>
      <c r="Y12" s="61">
        <f>$O12*'TV tinklas'!K13*2</f>
        <v>0</v>
      </c>
      <c r="Z12" s="61">
        <f>$O12*'TV tinklas'!L13*2</f>
        <v>0</v>
      </c>
    </row>
    <row r="13" spans="1:26" x14ac:dyDescent="0.2">
      <c r="A13" s="49">
        <v>70</v>
      </c>
      <c r="B13" s="23">
        <f t="shared" si="7"/>
        <v>0.21980000000000002</v>
      </c>
      <c r="C13" s="75">
        <f t="shared" si="0"/>
        <v>0</v>
      </c>
      <c r="D13" s="75">
        <f t="shared" si="1"/>
        <v>0</v>
      </c>
      <c r="E13" s="75">
        <f>$B13*'TV tinklas'!D14*2</f>
        <v>0</v>
      </c>
      <c r="F13" s="75">
        <f>$B13*'TV tinklas'!E14*2</f>
        <v>0</v>
      </c>
      <c r="G13" s="75">
        <f>$B13*'TV tinklas'!F14*2</f>
        <v>0</v>
      </c>
      <c r="H13" s="75">
        <f>$B13*'TV tinklas'!G14*2</f>
        <v>0</v>
      </c>
      <c r="I13" s="75">
        <f t="shared" si="2"/>
        <v>0</v>
      </c>
      <c r="J13" s="75">
        <f>$B13*'TV tinklas'!I14*2</f>
        <v>0</v>
      </c>
      <c r="K13" s="75">
        <f>$B13*'TV tinklas'!J14*2</f>
        <v>0</v>
      </c>
      <c r="L13" s="75">
        <f>$B13*'TV tinklas'!K14*2</f>
        <v>0</v>
      </c>
      <c r="M13" s="75">
        <f>$B13*'TV tinklas'!L14*2</f>
        <v>0</v>
      </c>
      <c r="O13" s="23">
        <f t="shared" si="3"/>
        <v>3.8465000000000001E-3</v>
      </c>
      <c r="P13" s="61">
        <f t="shared" si="4"/>
        <v>0</v>
      </c>
      <c r="Q13" s="61">
        <f t="shared" si="5"/>
        <v>0</v>
      </c>
      <c r="R13" s="61">
        <f>$O13*'TV tinklas'!D14*2</f>
        <v>0</v>
      </c>
      <c r="S13" s="61">
        <f>$O13*'TV tinklas'!E14*2</f>
        <v>0</v>
      </c>
      <c r="T13" s="61">
        <f>$O13*'TV tinklas'!F14*2</f>
        <v>0</v>
      </c>
      <c r="U13" s="61">
        <f>$O13*'TV tinklas'!G14*2</f>
        <v>0</v>
      </c>
      <c r="V13" s="61">
        <f t="shared" si="6"/>
        <v>0</v>
      </c>
      <c r="W13" s="61">
        <f>$O13*'TV tinklas'!I14*2</f>
        <v>0</v>
      </c>
      <c r="X13" s="61">
        <f>$O13*'TV tinklas'!J14*2</f>
        <v>0</v>
      </c>
      <c r="Y13" s="61">
        <f>$O13*'TV tinklas'!K14*2</f>
        <v>0</v>
      </c>
      <c r="Z13" s="61">
        <f>$O13*'TV tinklas'!L14*2</f>
        <v>0</v>
      </c>
    </row>
    <row r="14" spans="1:26" x14ac:dyDescent="0.2">
      <c r="A14" s="49">
        <v>80</v>
      </c>
      <c r="B14" s="23">
        <f t="shared" si="7"/>
        <v>0.25120000000000003</v>
      </c>
      <c r="C14" s="75">
        <f t="shared" si="0"/>
        <v>0</v>
      </c>
      <c r="D14" s="75">
        <f t="shared" si="1"/>
        <v>0</v>
      </c>
      <c r="E14" s="75">
        <f>$B14*'TV tinklas'!D15*2</f>
        <v>0</v>
      </c>
      <c r="F14" s="75">
        <f>$B14*'TV tinklas'!E15*2</f>
        <v>0</v>
      </c>
      <c r="G14" s="75">
        <f>$B14*'TV tinklas'!F15*2</f>
        <v>0</v>
      </c>
      <c r="H14" s="75">
        <f>$B14*'TV tinklas'!G15*2</f>
        <v>0</v>
      </c>
      <c r="I14" s="75">
        <f t="shared" si="2"/>
        <v>0</v>
      </c>
      <c r="J14" s="75">
        <f>$B14*'TV tinklas'!I15*2</f>
        <v>0</v>
      </c>
      <c r="K14" s="75">
        <f>$B14*'TV tinklas'!J15*2</f>
        <v>0</v>
      </c>
      <c r="L14" s="75">
        <f>$B14*'TV tinklas'!K15*2</f>
        <v>0</v>
      </c>
      <c r="M14" s="75">
        <f>$B14*'TV tinklas'!L15*2</f>
        <v>0</v>
      </c>
      <c r="O14" s="23">
        <f t="shared" si="3"/>
        <v>5.0239999999999998E-3</v>
      </c>
      <c r="P14" s="61">
        <f t="shared" si="4"/>
        <v>0</v>
      </c>
      <c r="Q14" s="61">
        <f t="shared" si="5"/>
        <v>0</v>
      </c>
      <c r="R14" s="61">
        <f>$O14*'TV tinklas'!D15*2</f>
        <v>0</v>
      </c>
      <c r="S14" s="61">
        <f>$O14*'TV tinklas'!E15*2</f>
        <v>0</v>
      </c>
      <c r="T14" s="61">
        <f>$O14*'TV tinklas'!F15*2</f>
        <v>0</v>
      </c>
      <c r="U14" s="61">
        <f>$O14*'TV tinklas'!G15*2</f>
        <v>0</v>
      </c>
      <c r="V14" s="61">
        <f t="shared" si="6"/>
        <v>0</v>
      </c>
      <c r="W14" s="61">
        <f>$O14*'TV tinklas'!I15*2</f>
        <v>0</v>
      </c>
      <c r="X14" s="61">
        <f>$O14*'TV tinklas'!J15*2</f>
        <v>0</v>
      </c>
      <c r="Y14" s="61">
        <f>$O14*'TV tinklas'!K15*2</f>
        <v>0</v>
      </c>
      <c r="Z14" s="61">
        <f>$O14*'TV tinklas'!L15*2</f>
        <v>0</v>
      </c>
    </row>
    <row r="15" spans="1:26" x14ac:dyDescent="0.2">
      <c r="A15" s="49">
        <v>100</v>
      </c>
      <c r="B15" s="23">
        <f t="shared" si="7"/>
        <v>0.314</v>
      </c>
      <c r="C15" s="75">
        <f t="shared" si="0"/>
        <v>62.8</v>
      </c>
      <c r="D15" s="75">
        <f t="shared" si="1"/>
        <v>0</v>
      </c>
      <c r="E15" s="75">
        <f>$B15*'TV tinklas'!D16*2</f>
        <v>0</v>
      </c>
      <c r="F15" s="75">
        <f>$B15*'TV tinklas'!E16*2</f>
        <v>0</v>
      </c>
      <c r="G15" s="75">
        <f>$B15*'TV tinklas'!F16*2</f>
        <v>0</v>
      </c>
      <c r="H15" s="75">
        <f>$B15*'TV tinklas'!G16*2</f>
        <v>0</v>
      </c>
      <c r="I15" s="75">
        <f t="shared" si="2"/>
        <v>62.8</v>
      </c>
      <c r="J15" s="75">
        <f>$B15*'TV tinklas'!I16*2</f>
        <v>0</v>
      </c>
      <c r="K15" s="75">
        <f>$B15*'TV tinklas'!J16*2</f>
        <v>0</v>
      </c>
      <c r="L15" s="75">
        <f>$B15*'TV tinklas'!K16*2</f>
        <v>62.8</v>
      </c>
      <c r="M15" s="75">
        <f>$B15*'TV tinklas'!L16*2</f>
        <v>0</v>
      </c>
      <c r="O15" s="23">
        <f t="shared" si="3"/>
        <v>7.8499999999999993E-3</v>
      </c>
      <c r="P15" s="61">
        <f t="shared" si="4"/>
        <v>1.5699999999999998</v>
      </c>
      <c r="Q15" s="61">
        <f t="shared" si="5"/>
        <v>0</v>
      </c>
      <c r="R15" s="61">
        <f>$O15*'TV tinklas'!D16*2</f>
        <v>0</v>
      </c>
      <c r="S15" s="61">
        <f>$O15*'TV tinklas'!E16*2</f>
        <v>0</v>
      </c>
      <c r="T15" s="61">
        <f>$O15*'TV tinklas'!F16*2</f>
        <v>0</v>
      </c>
      <c r="U15" s="61">
        <f>$O15*'TV tinklas'!G16*2</f>
        <v>0</v>
      </c>
      <c r="V15" s="61">
        <f t="shared" si="6"/>
        <v>1.5699999999999998</v>
      </c>
      <c r="W15" s="61">
        <f>$O15*'TV tinklas'!I16*2</f>
        <v>0</v>
      </c>
      <c r="X15" s="61">
        <f>$O15*'TV tinklas'!J16*2</f>
        <v>0</v>
      </c>
      <c r="Y15" s="61">
        <f>$O15*'TV tinklas'!K16*2</f>
        <v>1.5699999999999998</v>
      </c>
      <c r="Z15" s="61">
        <f>$O15*'TV tinklas'!L16*2</f>
        <v>0</v>
      </c>
    </row>
    <row r="16" spans="1:26" x14ac:dyDescent="0.2">
      <c r="A16" s="49">
        <v>125</v>
      </c>
      <c r="B16" s="23">
        <f t="shared" si="7"/>
        <v>0.39250000000000002</v>
      </c>
      <c r="C16" s="75">
        <f t="shared" si="0"/>
        <v>0</v>
      </c>
      <c r="D16" s="75">
        <f t="shared" si="1"/>
        <v>0</v>
      </c>
      <c r="E16" s="75">
        <f>$B16*'TV tinklas'!D17*2</f>
        <v>0</v>
      </c>
      <c r="F16" s="75">
        <f>$B16*'TV tinklas'!E17*2</f>
        <v>0</v>
      </c>
      <c r="G16" s="75">
        <f>$B16*'TV tinklas'!F17*2</f>
        <v>0</v>
      </c>
      <c r="H16" s="75">
        <f>$B16*'TV tinklas'!G17*2</f>
        <v>0</v>
      </c>
      <c r="I16" s="75">
        <f t="shared" si="2"/>
        <v>0</v>
      </c>
      <c r="J16" s="75">
        <f>$B16*'TV tinklas'!I17*2</f>
        <v>0</v>
      </c>
      <c r="K16" s="75">
        <f>$B16*'TV tinklas'!J17*2</f>
        <v>0</v>
      </c>
      <c r="L16" s="75">
        <f>$B16*'TV tinklas'!K17*2</f>
        <v>0</v>
      </c>
      <c r="M16" s="75">
        <f>$B16*'TV tinklas'!L17*2</f>
        <v>0</v>
      </c>
      <c r="O16" s="23">
        <f t="shared" si="3"/>
        <v>1.2265625E-2</v>
      </c>
      <c r="P16" s="61">
        <f t="shared" si="4"/>
        <v>0</v>
      </c>
      <c r="Q16" s="61">
        <f t="shared" si="5"/>
        <v>0</v>
      </c>
      <c r="R16" s="61">
        <f>$O16*'TV tinklas'!D17*2</f>
        <v>0</v>
      </c>
      <c r="S16" s="61">
        <f>$O16*'TV tinklas'!E17*2</f>
        <v>0</v>
      </c>
      <c r="T16" s="61">
        <f>$O16*'TV tinklas'!F17*2</f>
        <v>0</v>
      </c>
      <c r="U16" s="61">
        <f>$O16*'TV tinklas'!G17*2</f>
        <v>0</v>
      </c>
      <c r="V16" s="61">
        <f t="shared" si="6"/>
        <v>0</v>
      </c>
      <c r="W16" s="61">
        <f>$O16*'TV tinklas'!I17*2</f>
        <v>0</v>
      </c>
      <c r="X16" s="61">
        <f>$O16*'TV tinklas'!J17*2</f>
        <v>0</v>
      </c>
      <c r="Y16" s="61">
        <f>$O16*'TV tinklas'!K17*2</f>
        <v>0</v>
      </c>
      <c r="Z16" s="61">
        <f>$O16*'TV tinklas'!L17*2</f>
        <v>0</v>
      </c>
    </row>
    <row r="17" spans="1:26" x14ac:dyDescent="0.2">
      <c r="A17" s="49">
        <v>150</v>
      </c>
      <c r="B17" s="23">
        <f t="shared" si="7"/>
        <v>0.47099999999999997</v>
      </c>
      <c r="C17" s="75">
        <f t="shared" si="0"/>
        <v>0</v>
      </c>
      <c r="D17" s="75">
        <f t="shared" si="1"/>
        <v>0</v>
      </c>
      <c r="E17" s="75">
        <f>$B17*'TV tinklas'!D18*2</f>
        <v>0</v>
      </c>
      <c r="F17" s="75">
        <f>$B17*'TV tinklas'!E18*2</f>
        <v>0</v>
      </c>
      <c r="G17" s="75">
        <f>$B17*'TV tinklas'!F18*2</f>
        <v>0</v>
      </c>
      <c r="H17" s="75">
        <f>$B17*'TV tinklas'!G18*2</f>
        <v>0</v>
      </c>
      <c r="I17" s="75">
        <f t="shared" si="2"/>
        <v>0</v>
      </c>
      <c r="J17" s="75">
        <f>$B17*'TV tinklas'!I18*2</f>
        <v>0</v>
      </c>
      <c r="K17" s="75">
        <f>$B17*'TV tinklas'!J18*2</f>
        <v>0</v>
      </c>
      <c r="L17" s="75">
        <f>$B17*'TV tinklas'!K18*2</f>
        <v>0</v>
      </c>
      <c r="M17" s="75">
        <f>$B17*'TV tinklas'!L18*2</f>
        <v>0</v>
      </c>
      <c r="O17" s="23">
        <f t="shared" si="3"/>
        <v>1.7662500000000001E-2</v>
      </c>
      <c r="P17" s="61">
        <f t="shared" si="4"/>
        <v>0</v>
      </c>
      <c r="Q17" s="61">
        <f t="shared" si="5"/>
        <v>0</v>
      </c>
      <c r="R17" s="61">
        <f>$O17*'TV tinklas'!D18*2</f>
        <v>0</v>
      </c>
      <c r="S17" s="61">
        <f>$O17*'TV tinklas'!E18*2</f>
        <v>0</v>
      </c>
      <c r="T17" s="61">
        <f>$O17*'TV tinklas'!F18*2</f>
        <v>0</v>
      </c>
      <c r="U17" s="61">
        <f>$O17*'TV tinklas'!G18*2</f>
        <v>0</v>
      </c>
      <c r="V17" s="61">
        <f t="shared" si="6"/>
        <v>0</v>
      </c>
      <c r="W17" s="61">
        <f>$O17*'TV tinklas'!I18*2</f>
        <v>0</v>
      </c>
      <c r="X17" s="61">
        <f>$O17*'TV tinklas'!J18*2</f>
        <v>0</v>
      </c>
      <c r="Y17" s="61">
        <f>$O17*'TV tinklas'!K18*2</f>
        <v>0</v>
      </c>
      <c r="Z17" s="61">
        <f>$O17*'TV tinklas'!L18*2</f>
        <v>0</v>
      </c>
    </row>
    <row r="18" spans="1:26" x14ac:dyDescent="0.2">
      <c r="A18" s="49">
        <v>175</v>
      </c>
      <c r="B18" s="23">
        <f t="shared" si="7"/>
        <v>0.54949999999999999</v>
      </c>
      <c r="C18" s="75">
        <f>SUM(D18+I18)</f>
        <v>0</v>
      </c>
      <c r="D18" s="75">
        <f>SUM(E18:H18)</f>
        <v>0</v>
      </c>
      <c r="E18" s="75">
        <f>$B18*'TV tinklas'!D19*2</f>
        <v>0</v>
      </c>
      <c r="F18" s="75">
        <f>$B18*'TV tinklas'!E19*2</f>
        <v>0</v>
      </c>
      <c r="G18" s="75">
        <f>$B18*'TV tinklas'!F19*2</f>
        <v>0</v>
      </c>
      <c r="H18" s="75">
        <f>$B18*'TV tinklas'!G19*2</f>
        <v>0</v>
      </c>
      <c r="I18" s="75">
        <f>SUM(J18:M18)</f>
        <v>0</v>
      </c>
      <c r="J18" s="75">
        <f>$B18*'TV tinklas'!I19*2</f>
        <v>0</v>
      </c>
      <c r="K18" s="75">
        <f>$B18*'TV tinklas'!J19*2</f>
        <v>0</v>
      </c>
      <c r="L18" s="75">
        <f>$B18*'TV tinklas'!K19*2</f>
        <v>0</v>
      </c>
      <c r="M18" s="75">
        <f>$B18*'TV tinklas'!L19*2</f>
        <v>0</v>
      </c>
      <c r="O18" s="23">
        <f t="shared" si="3"/>
        <v>2.4040624999999999E-2</v>
      </c>
      <c r="P18" s="61">
        <f>SUM(Q18+V18)</f>
        <v>0</v>
      </c>
      <c r="Q18" s="61">
        <f>SUM(R18:U18)</f>
        <v>0</v>
      </c>
      <c r="R18" s="61">
        <f>$O18*'TV tinklas'!D19*2</f>
        <v>0</v>
      </c>
      <c r="S18" s="61">
        <f>$O18*'TV tinklas'!E19*2</f>
        <v>0</v>
      </c>
      <c r="T18" s="61">
        <f>$O18*'TV tinklas'!F19*2</f>
        <v>0</v>
      </c>
      <c r="U18" s="61">
        <f>$O18*'TV tinklas'!G19*2</f>
        <v>0</v>
      </c>
      <c r="V18" s="61">
        <f>SUM(W18:Z18)</f>
        <v>0</v>
      </c>
      <c r="W18" s="61">
        <f>$O18*'TV tinklas'!I19*2</f>
        <v>0</v>
      </c>
      <c r="X18" s="61">
        <f>$O18*'TV tinklas'!J19*2</f>
        <v>0</v>
      </c>
      <c r="Y18" s="61">
        <f>$O18*'TV tinklas'!K19*2</f>
        <v>0</v>
      </c>
      <c r="Z18" s="61">
        <f>$O18*'TV tinklas'!L19*2</f>
        <v>0</v>
      </c>
    </row>
    <row r="19" spans="1:26" x14ac:dyDescent="0.2">
      <c r="A19" s="49">
        <v>200</v>
      </c>
      <c r="B19" s="23">
        <f t="shared" si="7"/>
        <v>0.628</v>
      </c>
      <c r="C19" s="75">
        <f t="shared" si="0"/>
        <v>0</v>
      </c>
      <c r="D19" s="75">
        <f t="shared" si="1"/>
        <v>0</v>
      </c>
      <c r="E19" s="75">
        <f>$B19*'TV tinklas'!D20*2</f>
        <v>0</v>
      </c>
      <c r="F19" s="75">
        <f>$B19*'TV tinklas'!E20*2</f>
        <v>0</v>
      </c>
      <c r="G19" s="75">
        <f>$B19*'TV tinklas'!F20*2</f>
        <v>0</v>
      </c>
      <c r="H19" s="75">
        <f>$B19*'TV tinklas'!G20*2</f>
        <v>0</v>
      </c>
      <c r="I19" s="75">
        <f t="shared" si="2"/>
        <v>0</v>
      </c>
      <c r="J19" s="75">
        <f>$B19*'TV tinklas'!I20*2</f>
        <v>0</v>
      </c>
      <c r="K19" s="75">
        <f>$B19*'TV tinklas'!J20*2</f>
        <v>0</v>
      </c>
      <c r="L19" s="75">
        <f>$B19*'TV tinklas'!K20*2</f>
        <v>0</v>
      </c>
      <c r="M19" s="75">
        <f>$B19*'TV tinklas'!L20*2</f>
        <v>0</v>
      </c>
      <c r="O19" s="23">
        <f t="shared" si="3"/>
        <v>3.1399999999999997E-2</v>
      </c>
      <c r="P19" s="61">
        <f t="shared" si="4"/>
        <v>0</v>
      </c>
      <c r="Q19" s="61">
        <f t="shared" si="5"/>
        <v>0</v>
      </c>
      <c r="R19" s="61">
        <f>$O19*'TV tinklas'!D20*2</f>
        <v>0</v>
      </c>
      <c r="S19" s="61">
        <f>$O19*'TV tinklas'!E20*2</f>
        <v>0</v>
      </c>
      <c r="T19" s="61">
        <f>$O19*'TV tinklas'!F20*2</f>
        <v>0</v>
      </c>
      <c r="U19" s="61">
        <f>$O19*'TV tinklas'!G20*2</f>
        <v>0</v>
      </c>
      <c r="V19" s="61">
        <f t="shared" si="6"/>
        <v>0</v>
      </c>
      <c r="W19" s="61">
        <f>$O19*'TV tinklas'!I20*2</f>
        <v>0</v>
      </c>
      <c r="X19" s="61">
        <f>$O19*'TV tinklas'!J20*2</f>
        <v>0</v>
      </c>
      <c r="Y19" s="61">
        <f>$O19*'TV tinklas'!K20*2</f>
        <v>0</v>
      </c>
      <c r="Z19" s="61">
        <f>$O19*'TV tinklas'!L20*2</f>
        <v>0</v>
      </c>
    </row>
    <row r="20" spans="1:26" x14ac:dyDescent="0.2">
      <c r="A20" s="49">
        <v>250</v>
      </c>
      <c r="B20" s="23">
        <f t="shared" si="7"/>
        <v>0.78500000000000003</v>
      </c>
      <c r="C20" s="75">
        <f t="shared" si="0"/>
        <v>0</v>
      </c>
      <c r="D20" s="75">
        <f t="shared" si="1"/>
        <v>0</v>
      </c>
      <c r="E20" s="75">
        <f>$B20*'TV tinklas'!D21*2</f>
        <v>0</v>
      </c>
      <c r="F20" s="75">
        <f>$B20*'TV tinklas'!E21*2</f>
        <v>0</v>
      </c>
      <c r="G20" s="75">
        <f>$B20*'TV tinklas'!F21*2</f>
        <v>0</v>
      </c>
      <c r="H20" s="75">
        <f>$B20*'TV tinklas'!G21*2</f>
        <v>0</v>
      </c>
      <c r="I20" s="75">
        <f t="shared" si="2"/>
        <v>0</v>
      </c>
      <c r="J20" s="75">
        <f>$B20*'TV tinklas'!I21*2</f>
        <v>0</v>
      </c>
      <c r="K20" s="75">
        <f>$B20*'TV tinklas'!J21*2</f>
        <v>0</v>
      </c>
      <c r="L20" s="75">
        <f>$B20*'TV tinklas'!K21*2</f>
        <v>0</v>
      </c>
      <c r="M20" s="75">
        <f>$B20*'TV tinklas'!L21*2</f>
        <v>0</v>
      </c>
      <c r="O20" s="23">
        <f t="shared" si="3"/>
        <v>4.9062500000000002E-2</v>
      </c>
      <c r="P20" s="61">
        <f t="shared" si="4"/>
        <v>0</v>
      </c>
      <c r="Q20" s="61">
        <f t="shared" si="5"/>
        <v>0</v>
      </c>
      <c r="R20" s="61">
        <f>$O20*'TV tinklas'!D21*2</f>
        <v>0</v>
      </c>
      <c r="S20" s="61">
        <f>$O20*'TV tinklas'!E21*2</f>
        <v>0</v>
      </c>
      <c r="T20" s="61">
        <f>$O20*'TV tinklas'!F21*2</f>
        <v>0</v>
      </c>
      <c r="U20" s="61">
        <f>$O20*'TV tinklas'!G21*2</f>
        <v>0</v>
      </c>
      <c r="V20" s="61">
        <f t="shared" si="6"/>
        <v>0</v>
      </c>
      <c r="W20" s="61">
        <f>$O20*'TV tinklas'!I21*2</f>
        <v>0</v>
      </c>
      <c r="X20" s="61">
        <f>$O20*'TV tinklas'!J21*2</f>
        <v>0</v>
      </c>
      <c r="Y20" s="61">
        <f>$O20*'TV tinklas'!K21*2</f>
        <v>0</v>
      </c>
      <c r="Z20" s="61">
        <f>$O20*'TV tinklas'!L21*2</f>
        <v>0</v>
      </c>
    </row>
    <row r="21" spans="1:26" x14ac:dyDescent="0.2">
      <c r="A21" s="49">
        <v>300</v>
      </c>
      <c r="B21" s="23">
        <f t="shared" si="7"/>
        <v>0.94199999999999995</v>
      </c>
      <c r="C21" s="75">
        <f t="shared" si="0"/>
        <v>0</v>
      </c>
      <c r="D21" s="75">
        <f t="shared" si="1"/>
        <v>0</v>
      </c>
      <c r="E21" s="75">
        <f>$B21*'TV tinklas'!D22*2</f>
        <v>0</v>
      </c>
      <c r="F21" s="75">
        <f>$B21*'TV tinklas'!E22*2</f>
        <v>0</v>
      </c>
      <c r="G21" s="75">
        <f>$B21*'TV tinklas'!F22*2</f>
        <v>0</v>
      </c>
      <c r="H21" s="75">
        <f>$B21*'TV tinklas'!G22*2</f>
        <v>0</v>
      </c>
      <c r="I21" s="75">
        <f t="shared" si="2"/>
        <v>0</v>
      </c>
      <c r="J21" s="75">
        <f>$B21*'TV tinklas'!I22*2</f>
        <v>0</v>
      </c>
      <c r="K21" s="75">
        <f>$B21*'TV tinklas'!J22*2</f>
        <v>0</v>
      </c>
      <c r="L21" s="75">
        <f>$B21*'TV tinklas'!K22*2</f>
        <v>0</v>
      </c>
      <c r="M21" s="75">
        <f>$B21*'TV tinklas'!L22*2</f>
        <v>0</v>
      </c>
      <c r="O21" s="23">
        <f t="shared" si="3"/>
        <v>7.0650000000000004E-2</v>
      </c>
      <c r="P21" s="61">
        <f t="shared" si="4"/>
        <v>0</v>
      </c>
      <c r="Q21" s="61">
        <f t="shared" si="5"/>
        <v>0</v>
      </c>
      <c r="R21" s="61">
        <f>$O21*'TV tinklas'!D22*2</f>
        <v>0</v>
      </c>
      <c r="S21" s="61">
        <f>$O21*'TV tinklas'!E22*2</f>
        <v>0</v>
      </c>
      <c r="T21" s="61">
        <f>$O21*'TV tinklas'!F22*2</f>
        <v>0</v>
      </c>
      <c r="U21" s="61">
        <f>$O21*'TV tinklas'!G22*2</f>
        <v>0</v>
      </c>
      <c r="V21" s="61">
        <f t="shared" si="6"/>
        <v>0</v>
      </c>
      <c r="W21" s="61">
        <f>$O21*'TV tinklas'!I22*2</f>
        <v>0</v>
      </c>
      <c r="X21" s="61">
        <f>$O21*'TV tinklas'!J22*2</f>
        <v>0</v>
      </c>
      <c r="Y21" s="61">
        <f>$O21*'TV tinklas'!K22*2</f>
        <v>0</v>
      </c>
      <c r="Z21" s="61">
        <f>$O21*'TV tinklas'!L22*2</f>
        <v>0</v>
      </c>
    </row>
    <row r="22" spans="1:26" x14ac:dyDescent="0.2">
      <c r="A22" s="49">
        <v>350</v>
      </c>
      <c r="B22" s="23">
        <f t="shared" si="7"/>
        <v>1.099</v>
      </c>
      <c r="C22" s="75">
        <f t="shared" si="0"/>
        <v>0</v>
      </c>
      <c r="D22" s="75">
        <f t="shared" si="1"/>
        <v>0</v>
      </c>
      <c r="E22" s="75">
        <f>$B22*'TV tinklas'!D23*2</f>
        <v>0</v>
      </c>
      <c r="F22" s="75">
        <f>$B22*'TV tinklas'!E23*2</f>
        <v>0</v>
      </c>
      <c r="G22" s="75">
        <f>$B22*'TV tinklas'!F23*2</f>
        <v>0</v>
      </c>
      <c r="H22" s="75">
        <f>$B22*'TV tinklas'!G23*2</f>
        <v>0</v>
      </c>
      <c r="I22" s="75">
        <f t="shared" si="2"/>
        <v>0</v>
      </c>
      <c r="J22" s="75">
        <f>$B22*'TV tinklas'!I23*2</f>
        <v>0</v>
      </c>
      <c r="K22" s="75">
        <f>$B22*'TV tinklas'!J23*2</f>
        <v>0</v>
      </c>
      <c r="L22" s="75">
        <f>$B22*'TV tinklas'!K23*2</f>
        <v>0</v>
      </c>
      <c r="M22" s="75">
        <f>$B22*'TV tinklas'!L23*2</f>
        <v>0</v>
      </c>
      <c r="O22" s="23">
        <f t="shared" si="3"/>
        <v>9.6162499999999998E-2</v>
      </c>
      <c r="P22" s="61">
        <f t="shared" si="4"/>
        <v>0</v>
      </c>
      <c r="Q22" s="61">
        <f t="shared" si="5"/>
        <v>0</v>
      </c>
      <c r="R22" s="61">
        <f>$O22*'TV tinklas'!D23*2</f>
        <v>0</v>
      </c>
      <c r="S22" s="61">
        <f>$O22*'TV tinklas'!E23*2</f>
        <v>0</v>
      </c>
      <c r="T22" s="61">
        <f>$O22*'TV tinklas'!F23*2</f>
        <v>0</v>
      </c>
      <c r="U22" s="61">
        <f>$O22*'TV tinklas'!G23*2</f>
        <v>0</v>
      </c>
      <c r="V22" s="61">
        <f t="shared" si="6"/>
        <v>0</v>
      </c>
      <c r="W22" s="61">
        <f>$O22*'TV tinklas'!I23*2</f>
        <v>0</v>
      </c>
      <c r="X22" s="61">
        <f>$O22*'TV tinklas'!J23*2</f>
        <v>0</v>
      </c>
      <c r="Y22" s="61">
        <f>$O22*'TV tinklas'!K23*2</f>
        <v>0</v>
      </c>
      <c r="Z22" s="61">
        <f>$O22*'TV tinklas'!L23*2</f>
        <v>0</v>
      </c>
    </row>
    <row r="23" spans="1:26" x14ac:dyDescent="0.2">
      <c r="A23" s="49">
        <v>400</v>
      </c>
      <c r="B23" s="23">
        <f t="shared" si="7"/>
        <v>1.256</v>
      </c>
      <c r="C23" s="75">
        <f t="shared" si="0"/>
        <v>0</v>
      </c>
      <c r="D23" s="75">
        <f t="shared" si="1"/>
        <v>0</v>
      </c>
      <c r="E23" s="75">
        <f>$B23*'TV tinklas'!D24*2</f>
        <v>0</v>
      </c>
      <c r="F23" s="75">
        <f>$B23*'TV tinklas'!E24*2</f>
        <v>0</v>
      </c>
      <c r="G23" s="75">
        <f>$B23*'TV tinklas'!F24*2</f>
        <v>0</v>
      </c>
      <c r="H23" s="75">
        <f>$B23*'TV tinklas'!G24*2</f>
        <v>0</v>
      </c>
      <c r="I23" s="75">
        <f t="shared" si="2"/>
        <v>0</v>
      </c>
      <c r="J23" s="75">
        <f>$B23*'TV tinklas'!I24*2</f>
        <v>0</v>
      </c>
      <c r="K23" s="75">
        <f>$B23*'TV tinklas'!J24*2</f>
        <v>0</v>
      </c>
      <c r="L23" s="75">
        <f>$B23*'TV tinklas'!K24*2</f>
        <v>0</v>
      </c>
      <c r="M23" s="75">
        <f>$B23*'TV tinklas'!L24*2</f>
        <v>0</v>
      </c>
      <c r="O23" s="23">
        <f t="shared" si="3"/>
        <v>0.12559999999999999</v>
      </c>
      <c r="P23" s="61">
        <f t="shared" si="4"/>
        <v>0</v>
      </c>
      <c r="Q23" s="61">
        <f t="shared" si="5"/>
        <v>0</v>
      </c>
      <c r="R23" s="61">
        <f>$O23*'TV tinklas'!D24*2</f>
        <v>0</v>
      </c>
      <c r="S23" s="61">
        <f>$O23*'TV tinklas'!E24*2</f>
        <v>0</v>
      </c>
      <c r="T23" s="61">
        <f>$O23*'TV tinklas'!F24*2</f>
        <v>0</v>
      </c>
      <c r="U23" s="61">
        <f>$O23*'TV tinklas'!G24*2</f>
        <v>0</v>
      </c>
      <c r="V23" s="61">
        <f t="shared" si="6"/>
        <v>0</v>
      </c>
      <c r="W23" s="61">
        <f>$O23*'TV tinklas'!I24*2</f>
        <v>0</v>
      </c>
      <c r="X23" s="61">
        <f>$O23*'TV tinklas'!J24*2</f>
        <v>0</v>
      </c>
      <c r="Y23" s="61">
        <f>$O23*'TV tinklas'!K24*2</f>
        <v>0</v>
      </c>
      <c r="Z23" s="61">
        <f>$O23*'TV tinklas'!L24*2</f>
        <v>0</v>
      </c>
    </row>
    <row r="24" spans="1:26" x14ac:dyDescent="0.2">
      <c r="A24" s="49">
        <v>450</v>
      </c>
      <c r="B24" s="23">
        <f t="shared" si="7"/>
        <v>1.413</v>
      </c>
      <c r="C24" s="75">
        <f t="shared" si="0"/>
        <v>0</v>
      </c>
      <c r="D24" s="75">
        <f t="shared" si="1"/>
        <v>0</v>
      </c>
      <c r="E24" s="75">
        <f>$B24*'TV tinklas'!D25*2</f>
        <v>0</v>
      </c>
      <c r="F24" s="75">
        <f>$B24*'TV tinklas'!E25*2</f>
        <v>0</v>
      </c>
      <c r="G24" s="75">
        <f>$B24*'TV tinklas'!F25*2</f>
        <v>0</v>
      </c>
      <c r="H24" s="75">
        <f>$B24*'TV tinklas'!G25*2</f>
        <v>0</v>
      </c>
      <c r="I24" s="75">
        <f t="shared" si="2"/>
        <v>0</v>
      </c>
      <c r="J24" s="75">
        <f>$B24*'TV tinklas'!I25*2</f>
        <v>0</v>
      </c>
      <c r="K24" s="75">
        <f>$B24*'TV tinklas'!J25*2</f>
        <v>0</v>
      </c>
      <c r="L24" s="75">
        <f>$B24*'TV tinklas'!K25*2</f>
        <v>0</v>
      </c>
      <c r="M24" s="75">
        <f>$B24*'TV tinklas'!L25*2</f>
        <v>0</v>
      </c>
      <c r="O24" s="23">
        <f t="shared" si="3"/>
        <v>0.15896250000000001</v>
      </c>
      <c r="P24" s="61">
        <f t="shared" si="4"/>
        <v>0</v>
      </c>
      <c r="Q24" s="61">
        <f t="shared" si="5"/>
        <v>0</v>
      </c>
      <c r="R24" s="61">
        <f>$O24*'TV tinklas'!D25*2</f>
        <v>0</v>
      </c>
      <c r="S24" s="61">
        <f>$O24*'TV tinklas'!E25*2</f>
        <v>0</v>
      </c>
      <c r="T24" s="61">
        <f>$O24*'TV tinklas'!F25*2</f>
        <v>0</v>
      </c>
      <c r="U24" s="61">
        <f>$O24*'TV tinklas'!G25*2</f>
        <v>0</v>
      </c>
      <c r="V24" s="61">
        <f t="shared" si="6"/>
        <v>0</v>
      </c>
      <c r="W24" s="61">
        <f>$O24*'TV tinklas'!I25*2</f>
        <v>0</v>
      </c>
      <c r="X24" s="61">
        <f>$O24*'TV tinklas'!J25*2</f>
        <v>0</v>
      </c>
      <c r="Y24" s="61">
        <f>$O24*'TV tinklas'!K25*2</f>
        <v>0</v>
      </c>
      <c r="Z24" s="61">
        <f>$O24*'TV tinklas'!L25*2</f>
        <v>0</v>
      </c>
    </row>
    <row r="25" spans="1:26" x14ac:dyDescent="0.2">
      <c r="A25" s="49">
        <v>500</v>
      </c>
      <c r="B25" s="23">
        <f t="shared" si="7"/>
        <v>1.57</v>
      </c>
      <c r="C25" s="75">
        <f t="shared" si="0"/>
        <v>0</v>
      </c>
      <c r="D25" s="75">
        <f t="shared" si="1"/>
        <v>0</v>
      </c>
      <c r="E25" s="75">
        <f>$B25*'TV tinklas'!D26*2</f>
        <v>0</v>
      </c>
      <c r="F25" s="75">
        <f>$B25*'TV tinklas'!E26*2</f>
        <v>0</v>
      </c>
      <c r="G25" s="75">
        <f>$B25*'TV tinklas'!F26*2</f>
        <v>0</v>
      </c>
      <c r="H25" s="75">
        <f>$B25*'TV tinklas'!G26*2</f>
        <v>0</v>
      </c>
      <c r="I25" s="75">
        <f t="shared" si="2"/>
        <v>0</v>
      </c>
      <c r="J25" s="75">
        <f>$B25*'TV tinklas'!I26*2</f>
        <v>0</v>
      </c>
      <c r="K25" s="75">
        <f>$B25*'TV tinklas'!J26*2</f>
        <v>0</v>
      </c>
      <c r="L25" s="75">
        <f>$B25*'TV tinklas'!K26*2</f>
        <v>0</v>
      </c>
      <c r="M25" s="75">
        <f>$B25*'TV tinklas'!L26*2</f>
        <v>0</v>
      </c>
      <c r="O25" s="23">
        <f t="shared" si="3"/>
        <v>0.19625000000000001</v>
      </c>
      <c r="P25" s="61">
        <f t="shared" si="4"/>
        <v>0</v>
      </c>
      <c r="Q25" s="61">
        <f t="shared" si="5"/>
        <v>0</v>
      </c>
      <c r="R25" s="61">
        <f>$O25*'TV tinklas'!D26*2</f>
        <v>0</v>
      </c>
      <c r="S25" s="61">
        <f>$O25*'TV tinklas'!E26*2</f>
        <v>0</v>
      </c>
      <c r="T25" s="61">
        <f>$O25*'TV tinklas'!F26*2</f>
        <v>0</v>
      </c>
      <c r="U25" s="61">
        <f>$O25*'TV tinklas'!G26*2</f>
        <v>0</v>
      </c>
      <c r="V25" s="61">
        <f t="shared" si="6"/>
        <v>0</v>
      </c>
      <c r="W25" s="61">
        <f>$O25*'TV tinklas'!I26*2</f>
        <v>0</v>
      </c>
      <c r="X25" s="61">
        <f>$O25*'TV tinklas'!J26*2</f>
        <v>0</v>
      </c>
      <c r="Y25" s="61">
        <f>$O25*'TV tinklas'!K26*2</f>
        <v>0</v>
      </c>
      <c r="Z25" s="61">
        <f>$O25*'TV tinklas'!L26*2</f>
        <v>0</v>
      </c>
    </row>
    <row r="26" spans="1:26" x14ac:dyDescent="0.2">
      <c r="A26" s="49">
        <v>600</v>
      </c>
      <c r="B26" s="23">
        <f t="shared" si="7"/>
        <v>1.8839999999999999</v>
      </c>
      <c r="C26" s="75">
        <f t="shared" si="0"/>
        <v>0</v>
      </c>
      <c r="D26" s="75">
        <f t="shared" si="1"/>
        <v>0</v>
      </c>
      <c r="E26" s="75">
        <f>$B26*'TV tinklas'!D27*2</f>
        <v>0</v>
      </c>
      <c r="F26" s="75">
        <f>$B26*'TV tinklas'!E27*2</f>
        <v>0</v>
      </c>
      <c r="G26" s="75">
        <f>$B26*'TV tinklas'!F27*2</f>
        <v>0</v>
      </c>
      <c r="H26" s="75">
        <f>$B26*'TV tinklas'!G27*2</f>
        <v>0</v>
      </c>
      <c r="I26" s="75">
        <f t="shared" si="2"/>
        <v>0</v>
      </c>
      <c r="J26" s="75">
        <f>$B26*'TV tinklas'!I27*2</f>
        <v>0</v>
      </c>
      <c r="K26" s="75">
        <f>$B26*'TV tinklas'!J27*2</f>
        <v>0</v>
      </c>
      <c r="L26" s="75">
        <f>$B26*'TV tinklas'!K27*2</f>
        <v>0</v>
      </c>
      <c r="M26" s="75">
        <f>$B26*'TV tinklas'!L27*2</f>
        <v>0</v>
      </c>
      <c r="O26" s="23">
        <f t="shared" si="3"/>
        <v>0.28260000000000002</v>
      </c>
      <c r="P26" s="61">
        <f t="shared" si="4"/>
        <v>0</v>
      </c>
      <c r="Q26" s="61">
        <f t="shared" si="5"/>
        <v>0</v>
      </c>
      <c r="R26" s="61">
        <f>$O26*'TV tinklas'!D27*2</f>
        <v>0</v>
      </c>
      <c r="S26" s="61">
        <f>$O26*'TV tinklas'!E27*2</f>
        <v>0</v>
      </c>
      <c r="T26" s="61">
        <f>$O26*'TV tinklas'!F27*2</f>
        <v>0</v>
      </c>
      <c r="U26" s="61">
        <f>$O26*'TV tinklas'!G27*2</f>
        <v>0</v>
      </c>
      <c r="V26" s="61">
        <f t="shared" si="6"/>
        <v>0</v>
      </c>
      <c r="W26" s="61">
        <f>$O26*'TV tinklas'!I27*2</f>
        <v>0</v>
      </c>
      <c r="X26" s="61">
        <f>$O26*'TV tinklas'!J27*2</f>
        <v>0</v>
      </c>
      <c r="Y26" s="61">
        <f>$O26*'TV tinklas'!K27*2</f>
        <v>0</v>
      </c>
      <c r="Z26" s="61">
        <f>$O26*'TV tinklas'!L27*2</f>
        <v>0</v>
      </c>
    </row>
    <row r="27" spans="1:26" x14ac:dyDescent="0.2">
      <c r="A27" s="49">
        <v>700</v>
      </c>
      <c r="B27" s="23">
        <f t="shared" si="7"/>
        <v>2.198</v>
      </c>
      <c r="C27" s="75">
        <f t="shared" si="0"/>
        <v>0</v>
      </c>
      <c r="D27" s="75">
        <f t="shared" si="1"/>
        <v>0</v>
      </c>
      <c r="E27" s="75">
        <f>$B27*'TV tinklas'!D28*2</f>
        <v>0</v>
      </c>
      <c r="F27" s="75">
        <f>$B27*'TV tinklas'!E28*2</f>
        <v>0</v>
      </c>
      <c r="G27" s="75">
        <f>$B27*'TV tinklas'!F28*2</f>
        <v>0</v>
      </c>
      <c r="H27" s="75">
        <f>$B27*'TV tinklas'!G28*2</f>
        <v>0</v>
      </c>
      <c r="I27" s="75">
        <f t="shared" si="2"/>
        <v>0</v>
      </c>
      <c r="J27" s="75">
        <f>$B27*'TV tinklas'!I28*2</f>
        <v>0</v>
      </c>
      <c r="K27" s="75">
        <f>$B27*'TV tinklas'!J28*2</f>
        <v>0</v>
      </c>
      <c r="L27" s="75">
        <f>$B27*'TV tinklas'!K28*2</f>
        <v>0</v>
      </c>
      <c r="M27" s="75">
        <f>$B27*'TV tinklas'!L28*2</f>
        <v>0</v>
      </c>
      <c r="O27" s="23">
        <f t="shared" si="3"/>
        <v>0.38464999999999999</v>
      </c>
      <c r="P27" s="61">
        <f t="shared" si="4"/>
        <v>0</v>
      </c>
      <c r="Q27" s="61">
        <f t="shared" si="5"/>
        <v>0</v>
      </c>
      <c r="R27" s="61">
        <f>$O27*'TV tinklas'!D28*2</f>
        <v>0</v>
      </c>
      <c r="S27" s="61">
        <f>$O27*'TV tinklas'!E28*2</f>
        <v>0</v>
      </c>
      <c r="T27" s="61">
        <f>$O27*'TV tinklas'!F28*2</f>
        <v>0</v>
      </c>
      <c r="U27" s="61">
        <f>$O27*'TV tinklas'!G28*2</f>
        <v>0</v>
      </c>
      <c r="V27" s="61">
        <f t="shared" si="6"/>
        <v>0</v>
      </c>
      <c r="W27" s="61">
        <f>$O27*'TV tinklas'!I28*2</f>
        <v>0</v>
      </c>
      <c r="X27" s="61">
        <f>$O27*'TV tinklas'!J28*2</f>
        <v>0</v>
      </c>
      <c r="Y27" s="61">
        <f>$O27*'TV tinklas'!K28*2</f>
        <v>0</v>
      </c>
      <c r="Z27" s="61">
        <f>$O27*'TV tinklas'!L28*2</f>
        <v>0</v>
      </c>
    </row>
    <row r="28" spans="1:26" x14ac:dyDescent="0.2">
      <c r="A28" s="49">
        <v>800</v>
      </c>
      <c r="B28" s="23">
        <f t="shared" si="7"/>
        <v>2.512</v>
      </c>
      <c r="C28" s="75">
        <f t="shared" si="0"/>
        <v>0</v>
      </c>
      <c r="D28" s="75">
        <f t="shared" si="1"/>
        <v>0</v>
      </c>
      <c r="E28" s="75">
        <f>$B28*'TV tinklas'!D29*2</f>
        <v>0</v>
      </c>
      <c r="F28" s="75">
        <f>$B28*'TV tinklas'!E29*2</f>
        <v>0</v>
      </c>
      <c r="G28" s="75">
        <f>$B28*'TV tinklas'!F29*2</f>
        <v>0</v>
      </c>
      <c r="H28" s="75">
        <f>$B28*'TV tinklas'!G29*2</f>
        <v>0</v>
      </c>
      <c r="I28" s="75">
        <f t="shared" si="2"/>
        <v>0</v>
      </c>
      <c r="J28" s="75">
        <f>$B28*'TV tinklas'!I29*2</f>
        <v>0</v>
      </c>
      <c r="K28" s="75">
        <f>$B28*'TV tinklas'!J29*2</f>
        <v>0</v>
      </c>
      <c r="L28" s="75">
        <f>$B28*'TV tinklas'!K29*2</f>
        <v>0</v>
      </c>
      <c r="M28" s="75">
        <f>$B28*'TV tinklas'!L29*2</f>
        <v>0</v>
      </c>
      <c r="O28" s="23">
        <f t="shared" si="3"/>
        <v>0.50239999999999996</v>
      </c>
      <c r="P28" s="61">
        <f t="shared" si="4"/>
        <v>0</v>
      </c>
      <c r="Q28" s="61">
        <f t="shared" si="5"/>
        <v>0</v>
      </c>
      <c r="R28" s="61">
        <f>$O28*'TV tinklas'!D29*2</f>
        <v>0</v>
      </c>
      <c r="S28" s="61">
        <f>$O28*'TV tinklas'!E29*2</f>
        <v>0</v>
      </c>
      <c r="T28" s="61">
        <f>$O28*'TV tinklas'!F29*2</f>
        <v>0</v>
      </c>
      <c r="U28" s="61">
        <f>$O28*'TV tinklas'!G29*2</f>
        <v>0</v>
      </c>
      <c r="V28" s="61">
        <f t="shared" si="6"/>
        <v>0</v>
      </c>
      <c r="W28" s="61">
        <f>$O28*'TV tinklas'!I29*2</f>
        <v>0</v>
      </c>
      <c r="X28" s="61">
        <f>$O28*'TV tinklas'!J29*2</f>
        <v>0</v>
      </c>
      <c r="Y28" s="61">
        <f>$O28*'TV tinklas'!K29*2</f>
        <v>0</v>
      </c>
      <c r="Z28" s="61">
        <f>$O28*'TV tinklas'!L29*2</f>
        <v>0</v>
      </c>
    </row>
    <row r="29" spans="1:26" x14ac:dyDescent="0.2">
      <c r="A29" s="49">
        <v>900</v>
      </c>
      <c r="B29" s="23">
        <f t="shared" si="7"/>
        <v>2.8260000000000001</v>
      </c>
      <c r="C29" s="75">
        <f t="shared" si="0"/>
        <v>0</v>
      </c>
      <c r="D29" s="75">
        <f t="shared" si="1"/>
        <v>0</v>
      </c>
      <c r="E29" s="75">
        <f>$B29*'TV tinklas'!D30*2</f>
        <v>0</v>
      </c>
      <c r="F29" s="75">
        <f>$B29*'TV tinklas'!E30*2</f>
        <v>0</v>
      </c>
      <c r="G29" s="75">
        <f>$B29*'TV tinklas'!F30*2</f>
        <v>0</v>
      </c>
      <c r="H29" s="75">
        <f>$B29*'TV tinklas'!G30*2</f>
        <v>0</v>
      </c>
      <c r="I29" s="75">
        <f t="shared" si="2"/>
        <v>0</v>
      </c>
      <c r="J29" s="75">
        <f>$B29*'TV tinklas'!I30*2</f>
        <v>0</v>
      </c>
      <c r="K29" s="75">
        <f>$B29*'TV tinklas'!J30*2</f>
        <v>0</v>
      </c>
      <c r="L29" s="75">
        <f>$B29*'TV tinklas'!K30*2</f>
        <v>0</v>
      </c>
      <c r="M29" s="75">
        <f>$B29*'TV tinklas'!L30*2</f>
        <v>0</v>
      </c>
      <c r="O29" s="23">
        <f t="shared" si="3"/>
        <v>0.63585000000000003</v>
      </c>
      <c r="P29" s="61">
        <f t="shared" si="4"/>
        <v>0</v>
      </c>
      <c r="Q29" s="61">
        <f t="shared" si="5"/>
        <v>0</v>
      </c>
      <c r="R29" s="61">
        <f>$O29*'TV tinklas'!D30*2</f>
        <v>0</v>
      </c>
      <c r="S29" s="61">
        <f>$O29*'TV tinklas'!E30*2</f>
        <v>0</v>
      </c>
      <c r="T29" s="61">
        <f>$O29*'TV tinklas'!F30*2</f>
        <v>0</v>
      </c>
      <c r="U29" s="61">
        <f>$O29*'TV tinklas'!G30*2</f>
        <v>0</v>
      </c>
      <c r="V29" s="61">
        <f t="shared" si="6"/>
        <v>0</v>
      </c>
      <c r="W29" s="61">
        <f>$O29*'TV tinklas'!I30*2</f>
        <v>0</v>
      </c>
      <c r="X29" s="61">
        <f>$O29*'TV tinklas'!J30*2</f>
        <v>0</v>
      </c>
      <c r="Y29" s="61">
        <f>$O29*'TV tinklas'!K30*2</f>
        <v>0</v>
      </c>
      <c r="Z29" s="61">
        <f>$O29*'TV tinklas'!L30*2</f>
        <v>0</v>
      </c>
    </row>
    <row r="30" spans="1:26" x14ac:dyDescent="0.2">
      <c r="A30" s="49">
        <v>1000</v>
      </c>
      <c r="B30" s="23">
        <f t="shared" si="7"/>
        <v>3.14</v>
      </c>
      <c r="C30" s="75">
        <f t="shared" si="0"/>
        <v>0</v>
      </c>
      <c r="D30" s="75">
        <f t="shared" si="1"/>
        <v>0</v>
      </c>
      <c r="E30" s="75">
        <f>$B30*'TV tinklas'!D31*2</f>
        <v>0</v>
      </c>
      <c r="F30" s="75">
        <f>$B30*'TV tinklas'!E31*2</f>
        <v>0</v>
      </c>
      <c r="G30" s="75">
        <f>$B30*'TV tinklas'!F31*2</f>
        <v>0</v>
      </c>
      <c r="H30" s="75">
        <f>$B30*'TV tinklas'!G31*2</f>
        <v>0</v>
      </c>
      <c r="I30" s="75">
        <f t="shared" si="2"/>
        <v>0</v>
      </c>
      <c r="J30" s="75">
        <f>$B30*'TV tinklas'!I31*2</f>
        <v>0</v>
      </c>
      <c r="K30" s="75">
        <f>$B30*'TV tinklas'!J31*2</f>
        <v>0</v>
      </c>
      <c r="L30" s="75">
        <f>$B30*'TV tinklas'!K31*2</f>
        <v>0</v>
      </c>
      <c r="M30" s="75">
        <f>$B30*'TV tinklas'!L31*2</f>
        <v>0</v>
      </c>
      <c r="O30" s="23">
        <f t="shared" si="3"/>
        <v>0.78500000000000003</v>
      </c>
      <c r="P30" s="61">
        <f t="shared" si="4"/>
        <v>0</v>
      </c>
      <c r="Q30" s="61">
        <f t="shared" si="5"/>
        <v>0</v>
      </c>
      <c r="R30" s="61">
        <f>$O30*'TV tinklas'!D31*2</f>
        <v>0</v>
      </c>
      <c r="S30" s="61">
        <f>$O30*'TV tinklas'!E31*2</f>
        <v>0</v>
      </c>
      <c r="T30" s="61">
        <f>$O30*'TV tinklas'!F31*2</f>
        <v>0</v>
      </c>
      <c r="U30" s="61">
        <f>$O30*'TV tinklas'!G31*2</f>
        <v>0</v>
      </c>
      <c r="V30" s="61">
        <f t="shared" si="6"/>
        <v>0</v>
      </c>
      <c r="W30" s="61">
        <f>$O30*'TV tinklas'!I31*2</f>
        <v>0</v>
      </c>
      <c r="X30" s="61">
        <f>$O30*'TV tinklas'!J31*2</f>
        <v>0</v>
      </c>
      <c r="Y30" s="61">
        <f>$O30*'TV tinklas'!K31*2</f>
        <v>0</v>
      </c>
      <c r="Z30" s="61">
        <f>$O30*'TV tinklas'!L31*2</f>
        <v>0</v>
      </c>
    </row>
    <row r="31" spans="1:26" x14ac:dyDescent="0.2">
      <c r="A31" s="49">
        <v>1100</v>
      </c>
      <c r="B31" s="23">
        <f t="shared" si="7"/>
        <v>3.4540000000000002</v>
      </c>
      <c r="C31" s="75">
        <f>SUM(D31+I31)</f>
        <v>0</v>
      </c>
      <c r="D31" s="75">
        <f>SUM(E31:H31)</f>
        <v>0</v>
      </c>
      <c r="E31" s="75">
        <f>$B31*'TV tinklas'!D32*2</f>
        <v>0</v>
      </c>
      <c r="F31" s="75">
        <f>$B31*'TV tinklas'!E32*2</f>
        <v>0</v>
      </c>
      <c r="G31" s="75">
        <f>$B31*'TV tinklas'!F32*2</f>
        <v>0</v>
      </c>
      <c r="H31" s="75">
        <f>$B31*'TV tinklas'!G32*2</f>
        <v>0</v>
      </c>
      <c r="I31" s="75">
        <f>SUM(J31:M31)</f>
        <v>0</v>
      </c>
      <c r="J31" s="75">
        <f>$B31*'TV tinklas'!I32*2</f>
        <v>0</v>
      </c>
      <c r="K31" s="75">
        <f>$B31*'TV tinklas'!J32*2</f>
        <v>0</v>
      </c>
      <c r="L31" s="75">
        <f>$B31*'TV tinklas'!K32*2</f>
        <v>0</v>
      </c>
      <c r="M31" s="75">
        <f>$B31*'TV tinklas'!L32*2</f>
        <v>0</v>
      </c>
      <c r="O31" s="23">
        <f t="shared" si="3"/>
        <v>0.94984999999999997</v>
      </c>
      <c r="P31" s="61">
        <f>SUM(Q31+V31)</f>
        <v>0</v>
      </c>
      <c r="Q31" s="61">
        <f>SUM(R31:U31)</f>
        <v>0</v>
      </c>
      <c r="R31" s="61">
        <f>$O31*'TV tinklas'!D32*2</f>
        <v>0</v>
      </c>
      <c r="S31" s="61">
        <f>$O31*'TV tinklas'!E32*2</f>
        <v>0</v>
      </c>
      <c r="T31" s="61">
        <f>$O31*'TV tinklas'!F32*2</f>
        <v>0</v>
      </c>
      <c r="U31" s="61">
        <f>$O31*'TV tinklas'!G32*2</f>
        <v>0</v>
      </c>
      <c r="V31" s="61">
        <f>SUM(W31:Z31)</f>
        <v>0</v>
      </c>
      <c r="W31" s="61">
        <f>$O31*'TV tinklas'!I32*2</f>
        <v>0</v>
      </c>
      <c r="X31" s="61">
        <f>$O31*'TV tinklas'!J32*2</f>
        <v>0</v>
      </c>
      <c r="Y31" s="61">
        <f>$O31*'TV tinklas'!K32*2</f>
        <v>0</v>
      </c>
      <c r="Z31" s="61">
        <f>$O31*'TV tinklas'!L32*2</f>
        <v>0</v>
      </c>
    </row>
    <row r="32" spans="1:26" x14ac:dyDescent="0.2">
      <c r="A32" s="49">
        <v>1200</v>
      </c>
      <c r="B32" s="23">
        <f t="shared" si="7"/>
        <v>3.7679999999999998</v>
      </c>
      <c r="C32" s="75">
        <f>SUM(D32+I32)</f>
        <v>0</v>
      </c>
      <c r="D32" s="75">
        <f>SUM(E32:H32)</f>
        <v>0</v>
      </c>
      <c r="E32" s="75">
        <f>$B32*'TV tinklas'!D33*2</f>
        <v>0</v>
      </c>
      <c r="F32" s="75">
        <f>$B32*'TV tinklas'!E33*2</f>
        <v>0</v>
      </c>
      <c r="G32" s="75">
        <f>$B32*'TV tinklas'!F33*2</f>
        <v>0</v>
      </c>
      <c r="H32" s="75">
        <f>$B32*'TV tinklas'!G33*2</f>
        <v>0</v>
      </c>
      <c r="I32" s="75">
        <f>SUM(J32:M32)</f>
        <v>0</v>
      </c>
      <c r="J32" s="75">
        <f>$B32*'TV tinklas'!I33*2</f>
        <v>0</v>
      </c>
      <c r="K32" s="75">
        <f>$B32*'TV tinklas'!J33*2</f>
        <v>0</v>
      </c>
      <c r="L32" s="75">
        <f>$B32*'TV tinklas'!K33*2</f>
        <v>0</v>
      </c>
      <c r="M32" s="75">
        <f>$B32*'TV tinklas'!L33*2</f>
        <v>0</v>
      </c>
      <c r="O32" s="23">
        <f t="shared" si="3"/>
        <v>1.1304000000000001</v>
      </c>
      <c r="P32" s="61">
        <f>SUM(Q32+V32)</f>
        <v>0</v>
      </c>
      <c r="Q32" s="61">
        <f>SUM(R32:U32)</f>
        <v>0</v>
      </c>
      <c r="R32" s="61">
        <f>$O32*'TV tinklas'!D33*2</f>
        <v>0</v>
      </c>
      <c r="S32" s="61">
        <f>$O32*'TV tinklas'!E33*2</f>
        <v>0</v>
      </c>
      <c r="T32" s="61">
        <f>$O32*'TV tinklas'!F33*2</f>
        <v>0</v>
      </c>
      <c r="U32" s="61">
        <f>$O32*'TV tinklas'!G33*2</f>
        <v>0</v>
      </c>
      <c r="V32" s="61">
        <f>SUM(W32:Z32)</f>
        <v>0</v>
      </c>
      <c r="W32" s="61">
        <f>$O32*'TV tinklas'!I33*2</f>
        <v>0</v>
      </c>
      <c r="X32" s="61">
        <f>$O32*'TV tinklas'!J33*2</f>
        <v>0</v>
      </c>
      <c r="Y32" s="61">
        <f>$O32*'TV tinklas'!K33*2</f>
        <v>0</v>
      </c>
      <c r="Z32" s="61">
        <f>$O32*'TV tinklas'!L33*2</f>
        <v>0</v>
      </c>
    </row>
    <row r="33" spans="1:26" x14ac:dyDescent="0.2">
      <c r="A33" s="56" t="s">
        <v>89</v>
      </c>
      <c r="B33" s="60"/>
      <c r="C33" s="75">
        <f>SUM(C8:C32)</f>
        <v>62.8</v>
      </c>
      <c r="D33" s="75">
        <f t="shared" ref="D33:M33" si="8">SUM(D8:D32)</f>
        <v>0</v>
      </c>
      <c r="E33" s="75">
        <f t="shared" si="8"/>
        <v>0</v>
      </c>
      <c r="F33" s="75">
        <f t="shared" si="8"/>
        <v>0</v>
      </c>
      <c r="G33" s="75">
        <f t="shared" si="8"/>
        <v>0</v>
      </c>
      <c r="H33" s="75">
        <f t="shared" si="8"/>
        <v>0</v>
      </c>
      <c r="I33" s="75">
        <f t="shared" si="8"/>
        <v>62.8</v>
      </c>
      <c r="J33" s="75">
        <f t="shared" si="8"/>
        <v>0</v>
      </c>
      <c r="K33" s="75">
        <f t="shared" si="8"/>
        <v>0</v>
      </c>
      <c r="L33" s="75">
        <f t="shared" si="8"/>
        <v>62.8</v>
      </c>
      <c r="M33" s="75">
        <f t="shared" si="8"/>
        <v>0</v>
      </c>
      <c r="O33" s="60"/>
      <c r="P33" s="61">
        <f>SUM(P8:P32)</f>
        <v>1.5699999999999998</v>
      </c>
      <c r="Q33" s="61">
        <f t="shared" ref="Q33:Z33" si="9">SUM(Q8:Q32)</f>
        <v>0</v>
      </c>
      <c r="R33" s="61">
        <f t="shared" si="9"/>
        <v>0</v>
      </c>
      <c r="S33" s="61">
        <f t="shared" si="9"/>
        <v>0</v>
      </c>
      <c r="T33" s="61">
        <f t="shared" si="9"/>
        <v>0</v>
      </c>
      <c r="U33" s="61">
        <f t="shared" si="9"/>
        <v>0</v>
      </c>
      <c r="V33" s="61">
        <f t="shared" si="9"/>
        <v>1.5699999999999998</v>
      </c>
      <c r="W33" s="61">
        <f t="shared" si="9"/>
        <v>0</v>
      </c>
      <c r="X33" s="61">
        <f t="shared" si="9"/>
        <v>0</v>
      </c>
      <c r="Y33" s="61">
        <f t="shared" si="9"/>
        <v>1.5699999999999998</v>
      </c>
      <c r="Z33" s="61">
        <f t="shared" si="9"/>
        <v>0</v>
      </c>
    </row>
    <row r="34" spans="1:26" x14ac:dyDescent="0.2">
      <c r="A34" s="24" t="s">
        <v>114</v>
      </c>
      <c r="C34" s="42"/>
      <c r="P34" s="42"/>
    </row>
    <row r="36" spans="1:26" ht="12.75" x14ac:dyDescent="0.2">
      <c r="A36" s="68" t="s">
        <v>111</v>
      </c>
      <c r="B36" s="68"/>
      <c r="O36" s="68" t="s">
        <v>111</v>
      </c>
    </row>
    <row r="37" spans="1:26" x14ac:dyDescent="0.2">
      <c r="A37" s="43"/>
      <c r="B37" s="43" t="s">
        <v>115</v>
      </c>
      <c r="C37" s="44" t="s">
        <v>115</v>
      </c>
      <c r="D37" s="554" t="s">
        <v>112</v>
      </c>
      <c r="E37" s="552"/>
      <c r="F37" s="552"/>
      <c r="G37" s="552"/>
      <c r="H37" s="552"/>
      <c r="I37" s="551" t="s">
        <v>113</v>
      </c>
      <c r="J37" s="552"/>
      <c r="K37" s="552"/>
      <c r="L37" s="552"/>
      <c r="M37" s="553"/>
      <c r="O37" s="43"/>
      <c r="P37" s="44"/>
      <c r="Q37" s="554" t="s">
        <v>112</v>
      </c>
      <c r="R37" s="552"/>
      <c r="S37" s="552"/>
      <c r="T37" s="552"/>
      <c r="U37" s="552"/>
      <c r="V37" s="551" t="s">
        <v>113</v>
      </c>
      <c r="W37" s="552"/>
      <c r="X37" s="552"/>
      <c r="Y37" s="552"/>
      <c r="Z37" s="553"/>
    </row>
    <row r="38" spans="1:26" x14ac:dyDescent="0.2">
      <c r="A38" s="45" t="s">
        <v>82</v>
      </c>
      <c r="B38" s="45" t="s">
        <v>118</v>
      </c>
      <c r="C38" s="46" t="s">
        <v>117</v>
      </c>
      <c r="D38" s="58" t="s">
        <v>83</v>
      </c>
      <c r="E38" s="46" t="s">
        <v>132</v>
      </c>
      <c r="F38" s="46" t="s">
        <v>133</v>
      </c>
      <c r="G38" s="46" t="s">
        <v>134</v>
      </c>
      <c r="H38" s="47" t="s">
        <v>135</v>
      </c>
      <c r="I38" s="46" t="s">
        <v>83</v>
      </c>
      <c r="J38" s="46" t="s">
        <v>132</v>
      </c>
      <c r="K38" s="46" t="s">
        <v>133</v>
      </c>
      <c r="L38" s="46" t="s">
        <v>134</v>
      </c>
      <c r="M38" s="66" t="s">
        <v>135</v>
      </c>
      <c r="O38" s="63" t="s">
        <v>90</v>
      </c>
      <c r="P38" s="46" t="s">
        <v>83</v>
      </c>
      <c r="Q38" s="58" t="s">
        <v>83</v>
      </c>
      <c r="R38" s="46" t="s">
        <v>132</v>
      </c>
      <c r="S38" s="46" t="s">
        <v>133</v>
      </c>
      <c r="T38" s="46" t="s">
        <v>134</v>
      </c>
      <c r="U38" s="47" t="s">
        <v>135</v>
      </c>
      <c r="V38" s="46" t="s">
        <v>83</v>
      </c>
      <c r="W38" s="46" t="s">
        <v>132</v>
      </c>
      <c r="X38" s="46" t="s">
        <v>133</v>
      </c>
      <c r="Y38" s="46" t="s">
        <v>134</v>
      </c>
      <c r="Z38" s="66" t="s">
        <v>135</v>
      </c>
    </row>
    <row r="39" spans="1:26" x14ac:dyDescent="0.2">
      <c r="A39" s="45" t="s">
        <v>84</v>
      </c>
      <c r="B39" s="63" t="s">
        <v>91</v>
      </c>
      <c r="C39" s="46" t="s">
        <v>118</v>
      </c>
      <c r="D39" s="46" t="s">
        <v>118</v>
      </c>
      <c r="E39" s="46" t="s">
        <v>85</v>
      </c>
      <c r="F39" s="46" t="s">
        <v>86</v>
      </c>
      <c r="G39" s="46" t="s">
        <v>87</v>
      </c>
      <c r="H39" s="47" t="s">
        <v>136</v>
      </c>
      <c r="I39" s="46" t="s">
        <v>118</v>
      </c>
      <c r="J39" s="46" t="s">
        <v>85</v>
      </c>
      <c r="K39" s="46" t="s">
        <v>86</v>
      </c>
      <c r="L39" s="46" t="s">
        <v>87</v>
      </c>
      <c r="M39" s="63" t="s">
        <v>136</v>
      </c>
      <c r="O39" s="63" t="s">
        <v>91</v>
      </c>
      <c r="P39" s="46" t="s">
        <v>92</v>
      </c>
      <c r="Q39" s="45" t="s">
        <v>92</v>
      </c>
      <c r="R39" s="46" t="s">
        <v>85</v>
      </c>
      <c r="S39" s="46" t="s">
        <v>86</v>
      </c>
      <c r="T39" s="46" t="s">
        <v>87</v>
      </c>
      <c r="U39" s="47" t="s">
        <v>136</v>
      </c>
      <c r="V39" s="45" t="s">
        <v>92</v>
      </c>
      <c r="W39" s="46" t="s">
        <v>85</v>
      </c>
      <c r="X39" s="46" t="s">
        <v>86</v>
      </c>
      <c r="Y39" s="46" t="s">
        <v>87</v>
      </c>
      <c r="Z39" s="63" t="s">
        <v>136</v>
      </c>
    </row>
    <row r="40" spans="1:26" x14ac:dyDescent="0.2">
      <c r="A40" s="48" t="s">
        <v>0</v>
      </c>
      <c r="B40" s="48" t="s">
        <v>119</v>
      </c>
      <c r="C40" s="46" t="s">
        <v>116</v>
      </c>
      <c r="D40" s="46" t="s">
        <v>116</v>
      </c>
      <c r="E40" s="46" t="s">
        <v>116</v>
      </c>
      <c r="F40" s="46" t="s">
        <v>116</v>
      </c>
      <c r="G40" s="46" t="s">
        <v>116</v>
      </c>
      <c r="H40" s="46" t="s">
        <v>116</v>
      </c>
      <c r="I40" s="46" t="s">
        <v>116</v>
      </c>
      <c r="J40" s="46" t="s">
        <v>116</v>
      </c>
      <c r="K40" s="46" t="s">
        <v>116</v>
      </c>
      <c r="L40" s="46" t="s">
        <v>116</v>
      </c>
      <c r="M40" s="72" t="s">
        <v>116</v>
      </c>
      <c r="O40" s="48" t="s">
        <v>7</v>
      </c>
      <c r="P40" s="46" t="s">
        <v>93</v>
      </c>
      <c r="Q40" s="45" t="s">
        <v>93</v>
      </c>
      <c r="R40" s="45" t="s">
        <v>93</v>
      </c>
      <c r="S40" s="45" t="s">
        <v>93</v>
      </c>
      <c r="T40" s="45" t="s">
        <v>93</v>
      </c>
      <c r="U40" s="45" t="s">
        <v>93</v>
      </c>
      <c r="V40" s="45" t="s">
        <v>93</v>
      </c>
      <c r="W40" s="45" t="s">
        <v>93</v>
      </c>
      <c r="X40" s="45" t="s">
        <v>93</v>
      </c>
      <c r="Y40" s="45" t="s">
        <v>93</v>
      </c>
      <c r="Z40" s="72" t="s">
        <v>93</v>
      </c>
    </row>
    <row r="41" spans="1:26" x14ac:dyDescent="0.2">
      <c r="A41" s="49">
        <v>25</v>
      </c>
      <c r="B41" s="23">
        <f>A41*3.14/1000</f>
        <v>7.85E-2</v>
      </c>
      <c r="C41" s="75">
        <f t="shared" ref="C41:C63" si="10">SUM(D41+I41)</f>
        <v>0</v>
      </c>
      <c r="D41" s="75">
        <f t="shared" ref="D41:D63" si="11">SUM(E41:H41)</f>
        <v>0</v>
      </c>
      <c r="E41" s="75">
        <f>$B41*'TV tinklas'!D42*2</f>
        <v>0</v>
      </c>
      <c r="F41" s="75">
        <f>$B41*'TV tinklas'!E42*2</f>
        <v>0</v>
      </c>
      <c r="G41" s="75">
        <f>$B41*'TV tinklas'!F42*2</f>
        <v>0</v>
      </c>
      <c r="H41" s="75">
        <f>$B41*'TV tinklas'!G42*2</f>
        <v>0</v>
      </c>
      <c r="I41" s="75">
        <f t="shared" ref="I41:I63" si="12">SUM(J41:M41)</f>
        <v>0</v>
      </c>
      <c r="J41" s="75">
        <f>$B41*'TV tinklas'!I42*2</f>
        <v>0</v>
      </c>
      <c r="K41" s="75">
        <f>$B41*'TV tinklas'!J42*2</f>
        <v>0</v>
      </c>
      <c r="L41" s="75">
        <f>$B41*'TV tinklas'!K42*2</f>
        <v>0</v>
      </c>
      <c r="M41" s="75">
        <f>$B41*'TV tinklas'!L42*2</f>
        <v>0</v>
      </c>
      <c r="O41" s="23">
        <f t="shared" ref="O41:O65" si="13">SUM(A41/2)*(A41/2)*3.14/1000000</f>
        <v>4.9062499999999996E-4</v>
      </c>
      <c r="P41" s="61">
        <f t="shared" ref="P41:P63" si="14">SUM(Q41+V41)</f>
        <v>0</v>
      </c>
      <c r="Q41" s="61">
        <f t="shared" ref="Q41:Q63" si="15">SUM(R41:U41)</f>
        <v>0</v>
      </c>
      <c r="R41" s="61">
        <f>$O41*'TV tinklas'!D42*2</f>
        <v>0</v>
      </c>
      <c r="S41" s="61">
        <f>$O41*'TV tinklas'!E42*2</f>
        <v>0</v>
      </c>
      <c r="T41" s="61">
        <f>$O41*'TV tinklas'!F42*2</f>
        <v>0</v>
      </c>
      <c r="U41" s="61">
        <f>$O41*'TV tinklas'!G42*2</f>
        <v>0</v>
      </c>
      <c r="V41" s="61">
        <f t="shared" ref="V41:V63" si="16">SUM(W41:Z41)</f>
        <v>0</v>
      </c>
      <c r="W41" s="61">
        <f>$O41*'TV tinklas'!I42*2</f>
        <v>0</v>
      </c>
      <c r="X41" s="61">
        <f>$O41*'TV tinklas'!J42*2</f>
        <v>0</v>
      </c>
      <c r="Y41" s="61">
        <f>$O41*'TV tinklas'!K42*2</f>
        <v>0</v>
      </c>
      <c r="Z41" s="61">
        <f>$O41*'TV tinklas'!L42*2</f>
        <v>0</v>
      </c>
    </row>
    <row r="42" spans="1:26" x14ac:dyDescent="0.2">
      <c r="A42" s="49">
        <v>32</v>
      </c>
      <c r="B42" s="23">
        <f t="shared" ref="B42:B65" si="17">A42*3.14/1000</f>
        <v>0.10048</v>
      </c>
      <c r="C42" s="75">
        <f t="shared" si="10"/>
        <v>0</v>
      </c>
      <c r="D42" s="75">
        <f t="shared" si="11"/>
        <v>0</v>
      </c>
      <c r="E42" s="75">
        <f>$B42*'TV tinklas'!D43*2</f>
        <v>0</v>
      </c>
      <c r="F42" s="75">
        <f>$B42*'TV tinklas'!E43*2</f>
        <v>0</v>
      </c>
      <c r="G42" s="75">
        <f>$B42*'TV tinklas'!F43*2</f>
        <v>0</v>
      </c>
      <c r="H42" s="75">
        <f>$B42*'TV tinklas'!G43*2</f>
        <v>0</v>
      </c>
      <c r="I42" s="75">
        <f t="shared" si="12"/>
        <v>0</v>
      </c>
      <c r="J42" s="75">
        <f>$B42*'TV tinklas'!I43*2</f>
        <v>0</v>
      </c>
      <c r="K42" s="75">
        <f>$B42*'TV tinklas'!J43*2</f>
        <v>0</v>
      </c>
      <c r="L42" s="75">
        <f>$B42*'TV tinklas'!K43*2</f>
        <v>0</v>
      </c>
      <c r="M42" s="75">
        <f>$B42*'TV tinklas'!L43*2</f>
        <v>0</v>
      </c>
      <c r="O42" s="23">
        <f t="shared" si="13"/>
        <v>8.0384E-4</v>
      </c>
      <c r="P42" s="61">
        <f t="shared" si="14"/>
        <v>0</v>
      </c>
      <c r="Q42" s="61">
        <f t="shared" si="15"/>
        <v>0</v>
      </c>
      <c r="R42" s="61">
        <f>$O42*'TV tinklas'!D43*2</f>
        <v>0</v>
      </c>
      <c r="S42" s="61">
        <f>$O42*'TV tinklas'!E43*2</f>
        <v>0</v>
      </c>
      <c r="T42" s="61">
        <f>$O42*'TV tinklas'!F43*2</f>
        <v>0</v>
      </c>
      <c r="U42" s="61">
        <f>$O42*'TV tinklas'!G43*2</f>
        <v>0</v>
      </c>
      <c r="V42" s="61">
        <f t="shared" si="16"/>
        <v>0</v>
      </c>
      <c r="W42" s="61">
        <f>$O42*'TV tinklas'!I43*2</f>
        <v>0</v>
      </c>
      <c r="X42" s="61">
        <f>$O42*'TV tinklas'!J43*2</f>
        <v>0</v>
      </c>
      <c r="Y42" s="61">
        <f>$O42*'TV tinklas'!K43*2</f>
        <v>0</v>
      </c>
      <c r="Z42" s="61">
        <f>$O42*'TV tinklas'!L43*2</f>
        <v>0</v>
      </c>
    </row>
    <row r="43" spans="1:26" x14ac:dyDescent="0.2">
      <c r="A43" s="49">
        <v>40</v>
      </c>
      <c r="B43" s="23">
        <f t="shared" si="17"/>
        <v>0.12560000000000002</v>
      </c>
      <c r="C43" s="75">
        <f t="shared" si="10"/>
        <v>0</v>
      </c>
      <c r="D43" s="75">
        <f t="shared" si="11"/>
        <v>0</v>
      </c>
      <c r="E43" s="75">
        <f>$B43*'TV tinklas'!D44*2</f>
        <v>0</v>
      </c>
      <c r="F43" s="75">
        <f>$B43*'TV tinklas'!E44*2</f>
        <v>0</v>
      </c>
      <c r="G43" s="75">
        <f>$B43*'TV tinklas'!F44*2</f>
        <v>0</v>
      </c>
      <c r="H43" s="75">
        <f>$B43*'TV tinklas'!G44*2</f>
        <v>0</v>
      </c>
      <c r="I43" s="75">
        <f t="shared" si="12"/>
        <v>0</v>
      </c>
      <c r="J43" s="75">
        <f>$B43*'TV tinklas'!I44*2</f>
        <v>0</v>
      </c>
      <c r="K43" s="75">
        <f>$B43*'TV tinklas'!J44*2</f>
        <v>0</v>
      </c>
      <c r="L43" s="75">
        <f>$B43*'TV tinklas'!K44*2</f>
        <v>0</v>
      </c>
      <c r="M43" s="75">
        <f>$B43*'TV tinklas'!L44*2</f>
        <v>0</v>
      </c>
      <c r="O43" s="23">
        <f t="shared" si="13"/>
        <v>1.256E-3</v>
      </c>
      <c r="P43" s="61">
        <f t="shared" si="14"/>
        <v>0</v>
      </c>
      <c r="Q43" s="61">
        <f t="shared" si="15"/>
        <v>0</v>
      </c>
      <c r="R43" s="61">
        <f>$O43*'TV tinklas'!D44*2</f>
        <v>0</v>
      </c>
      <c r="S43" s="61">
        <f>$O43*'TV tinklas'!E44*2</f>
        <v>0</v>
      </c>
      <c r="T43" s="61">
        <f>$O43*'TV tinklas'!F44*2</f>
        <v>0</v>
      </c>
      <c r="U43" s="61">
        <f>$O43*'TV tinklas'!G44*2</f>
        <v>0</v>
      </c>
      <c r="V43" s="61">
        <f t="shared" si="16"/>
        <v>0</v>
      </c>
      <c r="W43" s="61">
        <f>$O43*'TV tinklas'!I44*2</f>
        <v>0</v>
      </c>
      <c r="X43" s="61">
        <f>$O43*'TV tinklas'!J44*2</f>
        <v>0</v>
      </c>
      <c r="Y43" s="61">
        <f>$O43*'TV tinklas'!K44*2</f>
        <v>0</v>
      </c>
      <c r="Z43" s="61">
        <f>$O43*'TV tinklas'!L44*2</f>
        <v>0</v>
      </c>
    </row>
    <row r="44" spans="1:26" x14ac:dyDescent="0.2">
      <c r="A44" s="49">
        <v>50</v>
      </c>
      <c r="B44" s="23">
        <f t="shared" si="17"/>
        <v>0.157</v>
      </c>
      <c r="C44" s="75">
        <f t="shared" si="10"/>
        <v>0</v>
      </c>
      <c r="D44" s="75">
        <f t="shared" si="11"/>
        <v>0</v>
      </c>
      <c r="E44" s="75">
        <f>$B44*'TV tinklas'!D45*2</f>
        <v>0</v>
      </c>
      <c r="F44" s="75">
        <f>$B44*'TV tinklas'!E45*2</f>
        <v>0</v>
      </c>
      <c r="G44" s="75">
        <f>$B44*'TV tinklas'!F45*2</f>
        <v>0</v>
      </c>
      <c r="H44" s="75">
        <f>$B44*'TV tinklas'!G45*2</f>
        <v>0</v>
      </c>
      <c r="I44" s="75">
        <f t="shared" si="12"/>
        <v>0</v>
      </c>
      <c r="J44" s="75">
        <f>$B44*'TV tinklas'!I45*2</f>
        <v>0</v>
      </c>
      <c r="K44" s="75">
        <f>$B44*'TV tinklas'!J45*2</f>
        <v>0</v>
      </c>
      <c r="L44" s="75">
        <f>$B44*'TV tinklas'!K45*2</f>
        <v>0</v>
      </c>
      <c r="M44" s="75">
        <f>$B44*'TV tinklas'!L45*2</f>
        <v>0</v>
      </c>
      <c r="O44" s="23">
        <f t="shared" si="13"/>
        <v>1.9624999999999998E-3</v>
      </c>
      <c r="P44" s="61">
        <f t="shared" si="14"/>
        <v>0</v>
      </c>
      <c r="Q44" s="61">
        <f t="shared" si="15"/>
        <v>0</v>
      </c>
      <c r="R44" s="61">
        <f>$O44*'TV tinklas'!D45*2</f>
        <v>0</v>
      </c>
      <c r="S44" s="61">
        <f>$O44*'TV tinklas'!E45*2</f>
        <v>0</v>
      </c>
      <c r="T44" s="61">
        <f>$O44*'TV tinklas'!F45*2</f>
        <v>0</v>
      </c>
      <c r="U44" s="61">
        <f>$O44*'TV tinklas'!G45*2</f>
        <v>0</v>
      </c>
      <c r="V44" s="61">
        <f t="shared" si="16"/>
        <v>0</v>
      </c>
      <c r="W44" s="61">
        <f>$O44*'TV tinklas'!I45*2</f>
        <v>0</v>
      </c>
      <c r="X44" s="61">
        <f>$O44*'TV tinklas'!J45*2</f>
        <v>0</v>
      </c>
      <c r="Y44" s="61">
        <f>$O44*'TV tinklas'!K45*2</f>
        <v>0</v>
      </c>
      <c r="Z44" s="61">
        <f>$O44*'TV tinklas'!L45*2</f>
        <v>0</v>
      </c>
    </row>
    <row r="45" spans="1:26" x14ac:dyDescent="0.2">
      <c r="A45" s="49">
        <v>65</v>
      </c>
      <c r="B45" s="23">
        <f t="shared" si="17"/>
        <v>0.2041</v>
      </c>
      <c r="C45" s="75">
        <f t="shared" si="10"/>
        <v>0</v>
      </c>
      <c r="D45" s="75">
        <f t="shared" si="11"/>
        <v>0</v>
      </c>
      <c r="E45" s="75">
        <f>$B45*'TV tinklas'!D46*2</f>
        <v>0</v>
      </c>
      <c r="F45" s="75">
        <f>$B45*'TV tinklas'!E46*2</f>
        <v>0</v>
      </c>
      <c r="G45" s="75">
        <f>$B45*'TV tinklas'!F46*2</f>
        <v>0</v>
      </c>
      <c r="H45" s="75">
        <f>$B45*'TV tinklas'!G46*2</f>
        <v>0</v>
      </c>
      <c r="I45" s="75">
        <f t="shared" si="12"/>
        <v>0</v>
      </c>
      <c r="J45" s="75">
        <f>$B45*'TV tinklas'!I46*2</f>
        <v>0</v>
      </c>
      <c r="K45" s="75">
        <f>$B45*'TV tinklas'!J46*2</f>
        <v>0</v>
      </c>
      <c r="L45" s="75">
        <f>$B45*'TV tinklas'!K46*2</f>
        <v>0</v>
      </c>
      <c r="M45" s="75">
        <f>$B45*'TV tinklas'!L46*2</f>
        <v>0</v>
      </c>
      <c r="O45" s="23">
        <f t="shared" si="13"/>
        <v>3.3166250000000001E-3</v>
      </c>
      <c r="P45" s="61">
        <f t="shared" si="14"/>
        <v>0</v>
      </c>
      <c r="Q45" s="61">
        <f t="shared" si="15"/>
        <v>0</v>
      </c>
      <c r="R45" s="61">
        <f>$O45*'TV tinklas'!D46*2</f>
        <v>0</v>
      </c>
      <c r="S45" s="61">
        <f>$O45*'TV tinklas'!E46*2</f>
        <v>0</v>
      </c>
      <c r="T45" s="61">
        <f>$O45*'TV tinklas'!F46*2</f>
        <v>0</v>
      </c>
      <c r="U45" s="61">
        <f>$O45*'TV tinklas'!G46*2</f>
        <v>0</v>
      </c>
      <c r="V45" s="61">
        <f t="shared" si="16"/>
        <v>0</v>
      </c>
      <c r="W45" s="61">
        <f>$O45*'TV tinklas'!I46*2</f>
        <v>0</v>
      </c>
      <c r="X45" s="61">
        <f>$O45*'TV tinklas'!J46*2</f>
        <v>0</v>
      </c>
      <c r="Y45" s="61">
        <f>$O45*'TV tinklas'!K46*2</f>
        <v>0</v>
      </c>
      <c r="Z45" s="61">
        <f>$O45*'TV tinklas'!L46*2</f>
        <v>0</v>
      </c>
    </row>
    <row r="46" spans="1:26" x14ac:dyDescent="0.2">
      <c r="A46" s="49">
        <v>70</v>
      </c>
      <c r="B46" s="23">
        <f t="shared" si="17"/>
        <v>0.21980000000000002</v>
      </c>
      <c r="C46" s="75">
        <f t="shared" si="10"/>
        <v>0</v>
      </c>
      <c r="D46" s="75">
        <f t="shared" si="11"/>
        <v>0</v>
      </c>
      <c r="E46" s="75">
        <f>$B46*'TV tinklas'!D47*2</f>
        <v>0</v>
      </c>
      <c r="F46" s="75">
        <f>$B46*'TV tinklas'!E47*2</f>
        <v>0</v>
      </c>
      <c r="G46" s="75">
        <f>$B46*'TV tinklas'!F47*2</f>
        <v>0</v>
      </c>
      <c r="H46" s="75">
        <f>$B46*'TV tinklas'!G47*2</f>
        <v>0</v>
      </c>
      <c r="I46" s="75">
        <f t="shared" si="12"/>
        <v>0</v>
      </c>
      <c r="J46" s="75">
        <f>$B46*'TV tinklas'!I47*2</f>
        <v>0</v>
      </c>
      <c r="K46" s="75">
        <f>$B46*'TV tinklas'!J47*2</f>
        <v>0</v>
      </c>
      <c r="L46" s="75">
        <f>$B46*'TV tinklas'!K47*2</f>
        <v>0</v>
      </c>
      <c r="M46" s="75">
        <f>$B46*'TV tinklas'!L47*2</f>
        <v>0</v>
      </c>
      <c r="O46" s="23">
        <f t="shared" si="13"/>
        <v>3.8465000000000001E-3</v>
      </c>
      <c r="P46" s="61">
        <f t="shared" si="14"/>
        <v>0</v>
      </c>
      <c r="Q46" s="61">
        <f t="shared" si="15"/>
        <v>0</v>
      </c>
      <c r="R46" s="61">
        <f>$O46*'TV tinklas'!D47*2</f>
        <v>0</v>
      </c>
      <c r="S46" s="61">
        <f>$O46*'TV tinklas'!E47*2</f>
        <v>0</v>
      </c>
      <c r="T46" s="61">
        <f>$O46*'TV tinklas'!F47*2</f>
        <v>0</v>
      </c>
      <c r="U46" s="61">
        <f>$O46*'TV tinklas'!G47*2</f>
        <v>0</v>
      </c>
      <c r="V46" s="61">
        <f t="shared" si="16"/>
        <v>0</v>
      </c>
      <c r="W46" s="61">
        <f>$O46*'TV tinklas'!I47*2</f>
        <v>0</v>
      </c>
      <c r="X46" s="61">
        <f>$O46*'TV tinklas'!J47*2</f>
        <v>0</v>
      </c>
      <c r="Y46" s="61">
        <f>$O46*'TV tinklas'!K47*2</f>
        <v>0</v>
      </c>
      <c r="Z46" s="61">
        <f>$O46*'TV tinklas'!L47*2</f>
        <v>0</v>
      </c>
    </row>
    <row r="47" spans="1:26" x14ac:dyDescent="0.2">
      <c r="A47" s="49">
        <v>80</v>
      </c>
      <c r="B47" s="23">
        <f t="shared" si="17"/>
        <v>0.25120000000000003</v>
      </c>
      <c r="C47" s="75">
        <f t="shared" si="10"/>
        <v>0</v>
      </c>
      <c r="D47" s="75">
        <f t="shared" si="11"/>
        <v>0</v>
      </c>
      <c r="E47" s="75">
        <f>$B47*'TV tinklas'!D48*2</f>
        <v>0</v>
      </c>
      <c r="F47" s="75">
        <f>$B47*'TV tinklas'!E48*2</f>
        <v>0</v>
      </c>
      <c r="G47" s="75">
        <f>$B47*'TV tinklas'!F48*2</f>
        <v>0</v>
      </c>
      <c r="H47" s="75">
        <f>$B47*'TV tinklas'!G48*2</f>
        <v>0</v>
      </c>
      <c r="I47" s="75">
        <f t="shared" si="12"/>
        <v>0</v>
      </c>
      <c r="J47" s="75">
        <f>$B47*'TV tinklas'!I48*2</f>
        <v>0</v>
      </c>
      <c r="K47" s="75">
        <f>$B47*'TV tinklas'!J48*2</f>
        <v>0</v>
      </c>
      <c r="L47" s="75">
        <f>$B47*'TV tinklas'!K48*2</f>
        <v>0</v>
      </c>
      <c r="M47" s="75">
        <f>$B47*'TV tinklas'!L48*2</f>
        <v>0</v>
      </c>
      <c r="O47" s="23">
        <f t="shared" si="13"/>
        <v>5.0239999999999998E-3</v>
      </c>
      <c r="P47" s="61">
        <f t="shared" si="14"/>
        <v>0</v>
      </c>
      <c r="Q47" s="61">
        <f t="shared" si="15"/>
        <v>0</v>
      </c>
      <c r="R47" s="61">
        <f>$O47*'TV tinklas'!D48*2</f>
        <v>0</v>
      </c>
      <c r="S47" s="61">
        <f>$O47*'TV tinklas'!E48*2</f>
        <v>0</v>
      </c>
      <c r="T47" s="61">
        <f>$O47*'TV tinklas'!F48*2</f>
        <v>0</v>
      </c>
      <c r="U47" s="61">
        <f>$O47*'TV tinklas'!G48*2</f>
        <v>0</v>
      </c>
      <c r="V47" s="61">
        <f t="shared" si="16"/>
        <v>0</v>
      </c>
      <c r="W47" s="61">
        <f>$O47*'TV tinklas'!I48*2</f>
        <v>0</v>
      </c>
      <c r="X47" s="61">
        <f>$O47*'TV tinklas'!J48*2</f>
        <v>0</v>
      </c>
      <c r="Y47" s="61">
        <f>$O47*'TV tinklas'!K48*2</f>
        <v>0</v>
      </c>
      <c r="Z47" s="61">
        <f>$O47*'TV tinklas'!L48*2</f>
        <v>0</v>
      </c>
    </row>
    <row r="48" spans="1:26" x14ac:dyDescent="0.2">
      <c r="A48" s="49">
        <v>100</v>
      </c>
      <c r="B48" s="23">
        <f t="shared" si="17"/>
        <v>0.314</v>
      </c>
      <c r="C48" s="75">
        <f t="shared" si="10"/>
        <v>62.8</v>
      </c>
      <c r="D48" s="75">
        <f t="shared" si="11"/>
        <v>0</v>
      </c>
      <c r="E48" s="75">
        <f>$B48*'TV tinklas'!D49*2</f>
        <v>0</v>
      </c>
      <c r="F48" s="75">
        <f>$B48*'TV tinklas'!E49*2</f>
        <v>0</v>
      </c>
      <c r="G48" s="75">
        <f>$B48*'TV tinklas'!F49*2</f>
        <v>0</v>
      </c>
      <c r="H48" s="75">
        <f>$B48*'TV tinklas'!G49*2</f>
        <v>0</v>
      </c>
      <c r="I48" s="75">
        <f t="shared" si="12"/>
        <v>62.8</v>
      </c>
      <c r="J48" s="75">
        <f>$B48*'TV tinklas'!I49*2</f>
        <v>0</v>
      </c>
      <c r="K48" s="75">
        <f>$B48*'TV tinklas'!J49*2</f>
        <v>0</v>
      </c>
      <c r="L48" s="75">
        <f>$B48*'TV tinklas'!K49*2</f>
        <v>62.8</v>
      </c>
      <c r="M48" s="75">
        <f>$B48*'TV tinklas'!L49*2</f>
        <v>0</v>
      </c>
      <c r="O48" s="23">
        <f t="shared" si="13"/>
        <v>7.8499999999999993E-3</v>
      </c>
      <c r="P48" s="61">
        <f t="shared" si="14"/>
        <v>1.5699999999999998</v>
      </c>
      <c r="Q48" s="61">
        <f t="shared" si="15"/>
        <v>0</v>
      </c>
      <c r="R48" s="61">
        <f>$O48*'TV tinklas'!D49*2</f>
        <v>0</v>
      </c>
      <c r="S48" s="61">
        <f>$O48*'TV tinklas'!E49*2</f>
        <v>0</v>
      </c>
      <c r="T48" s="61">
        <f>$O48*'TV tinklas'!F49*2</f>
        <v>0</v>
      </c>
      <c r="U48" s="61">
        <f>$O48*'TV tinklas'!G49*2</f>
        <v>0</v>
      </c>
      <c r="V48" s="61">
        <f t="shared" si="16"/>
        <v>1.5699999999999998</v>
      </c>
      <c r="W48" s="61">
        <f>$O48*'TV tinklas'!I49*2</f>
        <v>0</v>
      </c>
      <c r="X48" s="61">
        <f>$O48*'TV tinklas'!J49*2</f>
        <v>0</v>
      </c>
      <c r="Y48" s="61">
        <f>$O48*'TV tinklas'!K49*2</f>
        <v>1.5699999999999998</v>
      </c>
      <c r="Z48" s="61">
        <f>$O48*'TV tinklas'!L49*2</f>
        <v>0</v>
      </c>
    </row>
    <row r="49" spans="1:26" x14ac:dyDescent="0.2">
      <c r="A49" s="49">
        <v>125</v>
      </c>
      <c r="B49" s="23">
        <f t="shared" si="17"/>
        <v>0.39250000000000002</v>
      </c>
      <c r="C49" s="75">
        <f t="shared" si="10"/>
        <v>0</v>
      </c>
      <c r="D49" s="75">
        <f t="shared" si="11"/>
        <v>0</v>
      </c>
      <c r="E49" s="75">
        <f>$B49*'TV tinklas'!D50*2</f>
        <v>0</v>
      </c>
      <c r="F49" s="75">
        <f>$B49*'TV tinklas'!E50*2</f>
        <v>0</v>
      </c>
      <c r="G49" s="75">
        <f>$B49*'TV tinklas'!F50*2</f>
        <v>0</v>
      </c>
      <c r="H49" s="75">
        <f>$B49*'TV tinklas'!G50*2</f>
        <v>0</v>
      </c>
      <c r="I49" s="75">
        <f t="shared" si="12"/>
        <v>0</v>
      </c>
      <c r="J49" s="75">
        <f>$B49*'TV tinklas'!I50*2</f>
        <v>0</v>
      </c>
      <c r="K49" s="75">
        <f>$B49*'TV tinklas'!J50*2</f>
        <v>0</v>
      </c>
      <c r="L49" s="75">
        <f>$B49*'TV tinklas'!K50*2</f>
        <v>0</v>
      </c>
      <c r="M49" s="75">
        <f>$B49*'TV tinklas'!L50*2</f>
        <v>0</v>
      </c>
      <c r="O49" s="23">
        <f t="shared" si="13"/>
        <v>1.2265625E-2</v>
      </c>
      <c r="P49" s="61">
        <f t="shared" si="14"/>
        <v>0</v>
      </c>
      <c r="Q49" s="61">
        <f t="shared" si="15"/>
        <v>0</v>
      </c>
      <c r="R49" s="61">
        <f>$O49*'TV tinklas'!D50*2</f>
        <v>0</v>
      </c>
      <c r="S49" s="61">
        <f>$O49*'TV tinklas'!E50*2</f>
        <v>0</v>
      </c>
      <c r="T49" s="61">
        <f>$O49*'TV tinklas'!F50*2</f>
        <v>0</v>
      </c>
      <c r="U49" s="61">
        <f>$O49*'TV tinklas'!G50*2</f>
        <v>0</v>
      </c>
      <c r="V49" s="61">
        <f t="shared" si="16"/>
        <v>0</v>
      </c>
      <c r="W49" s="61">
        <f>$O49*'TV tinklas'!I50*2</f>
        <v>0</v>
      </c>
      <c r="X49" s="61">
        <f>$O49*'TV tinklas'!J50*2</f>
        <v>0</v>
      </c>
      <c r="Y49" s="61">
        <f>$O49*'TV tinklas'!K50*2</f>
        <v>0</v>
      </c>
      <c r="Z49" s="61">
        <f>$O49*'TV tinklas'!L50*2</f>
        <v>0</v>
      </c>
    </row>
    <row r="50" spans="1:26" x14ac:dyDescent="0.2">
      <c r="A50" s="49">
        <v>150</v>
      </c>
      <c r="B50" s="23">
        <f t="shared" si="17"/>
        <v>0.47099999999999997</v>
      </c>
      <c r="C50" s="75">
        <f t="shared" si="10"/>
        <v>0</v>
      </c>
      <c r="D50" s="75">
        <f t="shared" si="11"/>
        <v>0</v>
      </c>
      <c r="E50" s="75">
        <f>$B50*'TV tinklas'!D51*2</f>
        <v>0</v>
      </c>
      <c r="F50" s="75">
        <f>$B50*'TV tinklas'!E51*2</f>
        <v>0</v>
      </c>
      <c r="G50" s="75">
        <f>$B50*'TV tinklas'!F51*2</f>
        <v>0</v>
      </c>
      <c r="H50" s="75">
        <f>$B50*'TV tinklas'!G51*2</f>
        <v>0</v>
      </c>
      <c r="I50" s="75">
        <f t="shared" si="12"/>
        <v>0</v>
      </c>
      <c r="J50" s="75">
        <f>$B50*'TV tinklas'!I51*2</f>
        <v>0</v>
      </c>
      <c r="K50" s="75">
        <f>$B50*'TV tinklas'!J51*2</f>
        <v>0</v>
      </c>
      <c r="L50" s="75">
        <f>$B50*'TV tinklas'!K51*2</f>
        <v>0</v>
      </c>
      <c r="M50" s="75">
        <f>$B50*'TV tinklas'!L51*2</f>
        <v>0</v>
      </c>
      <c r="O50" s="23">
        <f t="shared" si="13"/>
        <v>1.7662500000000001E-2</v>
      </c>
      <c r="P50" s="61">
        <f t="shared" si="14"/>
        <v>0</v>
      </c>
      <c r="Q50" s="61">
        <f t="shared" si="15"/>
        <v>0</v>
      </c>
      <c r="R50" s="61">
        <f>$O50*'TV tinklas'!D51*2</f>
        <v>0</v>
      </c>
      <c r="S50" s="61">
        <f>$O50*'TV tinklas'!E51*2</f>
        <v>0</v>
      </c>
      <c r="T50" s="61">
        <f>$O50*'TV tinklas'!F51*2</f>
        <v>0</v>
      </c>
      <c r="U50" s="61">
        <f>$O50*'TV tinklas'!G51*2</f>
        <v>0</v>
      </c>
      <c r="V50" s="61">
        <f t="shared" si="16"/>
        <v>0</v>
      </c>
      <c r="W50" s="61">
        <f>$O50*'TV tinklas'!I51*2</f>
        <v>0</v>
      </c>
      <c r="X50" s="61">
        <f>$O50*'TV tinklas'!J51*2</f>
        <v>0</v>
      </c>
      <c r="Y50" s="61">
        <f>$O50*'TV tinklas'!K51*2</f>
        <v>0</v>
      </c>
      <c r="Z50" s="61">
        <f>$O50*'TV tinklas'!L51*2</f>
        <v>0</v>
      </c>
    </row>
    <row r="51" spans="1:26" x14ac:dyDescent="0.2">
      <c r="A51" s="49">
        <v>175</v>
      </c>
      <c r="B51" s="23">
        <f t="shared" si="17"/>
        <v>0.54949999999999999</v>
      </c>
      <c r="C51" s="75">
        <f>SUM(D51+I51)</f>
        <v>0</v>
      </c>
      <c r="D51" s="75">
        <f>SUM(E51:H51)</f>
        <v>0</v>
      </c>
      <c r="E51" s="75">
        <f>$B51*'TV tinklas'!D52*2</f>
        <v>0</v>
      </c>
      <c r="F51" s="75">
        <f>$B51*'TV tinklas'!E52*2</f>
        <v>0</v>
      </c>
      <c r="G51" s="75">
        <f>$B51*'TV tinklas'!F52*2</f>
        <v>0</v>
      </c>
      <c r="H51" s="75">
        <f>$B51*'TV tinklas'!G52*2</f>
        <v>0</v>
      </c>
      <c r="I51" s="75">
        <f>SUM(J51:M51)</f>
        <v>0</v>
      </c>
      <c r="J51" s="75">
        <f>$B51*'TV tinklas'!I52*2</f>
        <v>0</v>
      </c>
      <c r="K51" s="75">
        <f>$B51*'TV tinklas'!J52*2</f>
        <v>0</v>
      </c>
      <c r="L51" s="75">
        <f>$B51*'TV tinklas'!K52*2</f>
        <v>0</v>
      </c>
      <c r="M51" s="75">
        <f>$B51*'TV tinklas'!L52*2</f>
        <v>0</v>
      </c>
      <c r="O51" s="23">
        <f t="shared" si="13"/>
        <v>2.4040624999999999E-2</v>
      </c>
      <c r="P51" s="61">
        <f>SUM(Q51+V51)</f>
        <v>0</v>
      </c>
      <c r="Q51" s="61">
        <f>SUM(R51:U51)</f>
        <v>0</v>
      </c>
      <c r="R51" s="61">
        <f>$O51*'TV tinklas'!D52*2</f>
        <v>0</v>
      </c>
      <c r="S51" s="61">
        <f>$O51*'TV tinklas'!E52*2</f>
        <v>0</v>
      </c>
      <c r="T51" s="61">
        <f>$O51*'TV tinklas'!F52*2</f>
        <v>0</v>
      </c>
      <c r="U51" s="61">
        <f>$O51*'TV tinklas'!G52*2</f>
        <v>0</v>
      </c>
      <c r="V51" s="61">
        <f>SUM(W51:Z51)</f>
        <v>0</v>
      </c>
      <c r="W51" s="61">
        <f>$O51*'TV tinklas'!I52*2</f>
        <v>0</v>
      </c>
      <c r="X51" s="61">
        <f>$O51*'TV tinklas'!J52*2</f>
        <v>0</v>
      </c>
      <c r="Y51" s="61">
        <f>$O51*'TV tinklas'!K52*2</f>
        <v>0</v>
      </c>
      <c r="Z51" s="61">
        <f>$O51*'TV tinklas'!L52*2</f>
        <v>0</v>
      </c>
    </row>
    <row r="52" spans="1:26" x14ac:dyDescent="0.2">
      <c r="A52" s="49">
        <v>200</v>
      </c>
      <c r="B52" s="23">
        <f t="shared" si="17"/>
        <v>0.628</v>
      </c>
      <c r="C52" s="75">
        <f t="shared" si="10"/>
        <v>0</v>
      </c>
      <c r="D52" s="75">
        <f t="shared" si="11"/>
        <v>0</v>
      </c>
      <c r="E52" s="75">
        <f>$B52*'TV tinklas'!D53*2</f>
        <v>0</v>
      </c>
      <c r="F52" s="75">
        <f>$B52*'TV tinklas'!E53*2</f>
        <v>0</v>
      </c>
      <c r="G52" s="75">
        <f>$B52*'TV tinklas'!F53*2</f>
        <v>0</v>
      </c>
      <c r="H52" s="75">
        <f>$B52*'TV tinklas'!G53*2</f>
        <v>0</v>
      </c>
      <c r="I52" s="75">
        <f t="shared" si="12"/>
        <v>0</v>
      </c>
      <c r="J52" s="75">
        <f>$B52*'TV tinklas'!I53*2</f>
        <v>0</v>
      </c>
      <c r="K52" s="75">
        <f>$B52*'TV tinklas'!J53*2</f>
        <v>0</v>
      </c>
      <c r="L52" s="75">
        <f>$B52*'TV tinklas'!K53*2</f>
        <v>0</v>
      </c>
      <c r="M52" s="75">
        <f>$B52*'TV tinklas'!L53*2</f>
        <v>0</v>
      </c>
      <c r="O52" s="23">
        <f t="shared" si="13"/>
        <v>3.1399999999999997E-2</v>
      </c>
      <c r="P52" s="61">
        <f t="shared" si="14"/>
        <v>0</v>
      </c>
      <c r="Q52" s="61">
        <f t="shared" si="15"/>
        <v>0</v>
      </c>
      <c r="R52" s="61">
        <f>$O52*'TV tinklas'!D53*2</f>
        <v>0</v>
      </c>
      <c r="S52" s="61">
        <f>$O52*'TV tinklas'!E53*2</f>
        <v>0</v>
      </c>
      <c r="T52" s="61">
        <f>$O52*'TV tinklas'!F53*2</f>
        <v>0</v>
      </c>
      <c r="U52" s="61">
        <f>$O52*'TV tinklas'!G53*2</f>
        <v>0</v>
      </c>
      <c r="V52" s="61">
        <f t="shared" si="16"/>
        <v>0</v>
      </c>
      <c r="W52" s="61">
        <f>$O52*'TV tinklas'!I53*2</f>
        <v>0</v>
      </c>
      <c r="X52" s="61">
        <f>$O52*'TV tinklas'!J53*2</f>
        <v>0</v>
      </c>
      <c r="Y52" s="61">
        <f>$O52*'TV tinklas'!K53*2</f>
        <v>0</v>
      </c>
      <c r="Z52" s="61">
        <f>$O52*'TV tinklas'!L53*2</f>
        <v>0</v>
      </c>
    </row>
    <row r="53" spans="1:26" x14ac:dyDescent="0.2">
      <c r="A53" s="49">
        <v>250</v>
      </c>
      <c r="B53" s="23">
        <f t="shared" si="17"/>
        <v>0.78500000000000003</v>
      </c>
      <c r="C53" s="75">
        <f t="shared" si="10"/>
        <v>0</v>
      </c>
      <c r="D53" s="75">
        <f t="shared" si="11"/>
        <v>0</v>
      </c>
      <c r="E53" s="75">
        <f>$B53*'TV tinklas'!D54*2</f>
        <v>0</v>
      </c>
      <c r="F53" s="75">
        <f>$B53*'TV tinklas'!E54*2</f>
        <v>0</v>
      </c>
      <c r="G53" s="75">
        <f>$B53*'TV tinklas'!F54*2</f>
        <v>0</v>
      </c>
      <c r="H53" s="75">
        <f>$B53*'TV tinklas'!G54*2</f>
        <v>0</v>
      </c>
      <c r="I53" s="75">
        <f t="shared" si="12"/>
        <v>0</v>
      </c>
      <c r="J53" s="75">
        <f>$B53*'TV tinklas'!I54*2</f>
        <v>0</v>
      </c>
      <c r="K53" s="75">
        <f>$B53*'TV tinklas'!J54*2</f>
        <v>0</v>
      </c>
      <c r="L53" s="75">
        <f>$B53*'TV tinklas'!K54*2</f>
        <v>0</v>
      </c>
      <c r="M53" s="75">
        <f>$B53*'TV tinklas'!L54*2</f>
        <v>0</v>
      </c>
      <c r="O53" s="23">
        <f t="shared" si="13"/>
        <v>4.9062500000000002E-2</v>
      </c>
      <c r="P53" s="61">
        <f t="shared" si="14"/>
        <v>0</v>
      </c>
      <c r="Q53" s="61">
        <f t="shared" si="15"/>
        <v>0</v>
      </c>
      <c r="R53" s="61">
        <f>$O53*'TV tinklas'!D54*2</f>
        <v>0</v>
      </c>
      <c r="S53" s="61">
        <f>$O53*'TV tinklas'!E54*2</f>
        <v>0</v>
      </c>
      <c r="T53" s="61">
        <f>$O53*'TV tinklas'!F54*2</f>
        <v>0</v>
      </c>
      <c r="U53" s="61">
        <f>$O53*'TV tinklas'!G54*2</f>
        <v>0</v>
      </c>
      <c r="V53" s="61">
        <f t="shared" si="16"/>
        <v>0</v>
      </c>
      <c r="W53" s="61">
        <f>$O53*'TV tinklas'!I54*2</f>
        <v>0</v>
      </c>
      <c r="X53" s="61">
        <f>$O53*'TV tinklas'!J54*2</f>
        <v>0</v>
      </c>
      <c r="Y53" s="61">
        <f>$O53*'TV tinklas'!K54*2</f>
        <v>0</v>
      </c>
      <c r="Z53" s="61">
        <f>$O53*'TV tinklas'!L54*2</f>
        <v>0</v>
      </c>
    </row>
    <row r="54" spans="1:26" x14ac:dyDescent="0.2">
      <c r="A54" s="49">
        <v>300</v>
      </c>
      <c r="B54" s="23">
        <f t="shared" si="17"/>
        <v>0.94199999999999995</v>
      </c>
      <c r="C54" s="75">
        <f t="shared" si="10"/>
        <v>0</v>
      </c>
      <c r="D54" s="75">
        <f t="shared" si="11"/>
        <v>0</v>
      </c>
      <c r="E54" s="75">
        <f>$B54*'TV tinklas'!D55*2</f>
        <v>0</v>
      </c>
      <c r="F54" s="75">
        <f>$B54*'TV tinklas'!E55*2</f>
        <v>0</v>
      </c>
      <c r="G54" s="75">
        <f>$B54*'TV tinklas'!F55*2</f>
        <v>0</v>
      </c>
      <c r="H54" s="75">
        <f>$B54*'TV tinklas'!G55*2</f>
        <v>0</v>
      </c>
      <c r="I54" s="75">
        <f t="shared" si="12"/>
        <v>0</v>
      </c>
      <c r="J54" s="75">
        <f>$B54*'TV tinklas'!I55*2</f>
        <v>0</v>
      </c>
      <c r="K54" s="75">
        <f>$B54*'TV tinklas'!J55*2</f>
        <v>0</v>
      </c>
      <c r="L54" s="75">
        <f>$B54*'TV tinklas'!K55*2</f>
        <v>0</v>
      </c>
      <c r="M54" s="75">
        <f>$B54*'TV tinklas'!L55*2</f>
        <v>0</v>
      </c>
      <c r="O54" s="23">
        <f t="shared" si="13"/>
        <v>7.0650000000000004E-2</v>
      </c>
      <c r="P54" s="61">
        <f t="shared" si="14"/>
        <v>0</v>
      </c>
      <c r="Q54" s="61">
        <f t="shared" si="15"/>
        <v>0</v>
      </c>
      <c r="R54" s="61">
        <f>$O54*'TV tinklas'!D55*2</f>
        <v>0</v>
      </c>
      <c r="S54" s="61">
        <f>$O54*'TV tinklas'!E55*2</f>
        <v>0</v>
      </c>
      <c r="T54" s="61">
        <f>$O54*'TV tinklas'!F55*2</f>
        <v>0</v>
      </c>
      <c r="U54" s="61">
        <f>$O54*'TV tinklas'!G55*2</f>
        <v>0</v>
      </c>
      <c r="V54" s="61">
        <f t="shared" si="16"/>
        <v>0</v>
      </c>
      <c r="W54" s="61">
        <f>$O54*'TV tinklas'!I55*2</f>
        <v>0</v>
      </c>
      <c r="X54" s="61">
        <f>$O54*'TV tinklas'!J55*2</f>
        <v>0</v>
      </c>
      <c r="Y54" s="61">
        <f>$O54*'TV tinklas'!K55*2</f>
        <v>0</v>
      </c>
      <c r="Z54" s="61">
        <f>$O54*'TV tinklas'!L55*2</f>
        <v>0</v>
      </c>
    </row>
    <row r="55" spans="1:26" x14ac:dyDescent="0.2">
      <c r="A55" s="49">
        <v>350</v>
      </c>
      <c r="B55" s="23">
        <f t="shared" si="17"/>
        <v>1.099</v>
      </c>
      <c r="C55" s="75">
        <f t="shared" si="10"/>
        <v>0</v>
      </c>
      <c r="D55" s="75">
        <f t="shared" si="11"/>
        <v>0</v>
      </c>
      <c r="E55" s="75">
        <f>$B55*'TV tinklas'!D56*2</f>
        <v>0</v>
      </c>
      <c r="F55" s="75">
        <f>$B55*'TV tinklas'!E56*2</f>
        <v>0</v>
      </c>
      <c r="G55" s="75">
        <f>$B55*'TV tinklas'!F56*2</f>
        <v>0</v>
      </c>
      <c r="H55" s="75">
        <f>$B55*'TV tinklas'!G56*2</f>
        <v>0</v>
      </c>
      <c r="I55" s="75">
        <f t="shared" si="12"/>
        <v>0</v>
      </c>
      <c r="J55" s="75">
        <f>$B55*'TV tinklas'!I56*2</f>
        <v>0</v>
      </c>
      <c r="K55" s="75">
        <f>$B55*'TV tinklas'!J56*2</f>
        <v>0</v>
      </c>
      <c r="L55" s="75">
        <f>$B55*'TV tinklas'!K56*2</f>
        <v>0</v>
      </c>
      <c r="M55" s="75">
        <f>$B55*'TV tinklas'!L56*2</f>
        <v>0</v>
      </c>
      <c r="O55" s="23">
        <f t="shared" si="13"/>
        <v>9.6162499999999998E-2</v>
      </c>
      <c r="P55" s="61">
        <f t="shared" si="14"/>
        <v>0</v>
      </c>
      <c r="Q55" s="61">
        <f t="shared" si="15"/>
        <v>0</v>
      </c>
      <c r="R55" s="61">
        <f>$O55*'TV tinklas'!D56*2</f>
        <v>0</v>
      </c>
      <c r="S55" s="61">
        <f>$O55*'TV tinklas'!E56*2</f>
        <v>0</v>
      </c>
      <c r="T55" s="61">
        <f>$O55*'TV tinklas'!F56*2</f>
        <v>0</v>
      </c>
      <c r="U55" s="61">
        <f>$O55*'TV tinklas'!G56*2</f>
        <v>0</v>
      </c>
      <c r="V55" s="61">
        <f t="shared" si="16"/>
        <v>0</v>
      </c>
      <c r="W55" s="61">
        <f>$O55*'TV tinklas'!I56*2</f>
        <v>0</v>
      </c>
      <c r="X55" s="61">
        <f>$O55*'TV tinklas'!J56*2</f>
        <v>0</v>
      </c>
      <c r="Y55" s="61">
        <f>$O55*'TV tinklas'!K56*2</f>
        <v>0</v>
      </c>
      <c r="Z55" s="61">
        <f>$O55*'TV tinklas'!L56*2</f>
        <v>0</v>
      </c>
    </row>
    <row r="56" spans="1:26" x14ac:dyDescent="0.2">
      <c r="A56" s="49">
        <v>400</v>
      </c>
      <c r="B56" s="23">
        <f t="shared" si="17"/>
        <v>1.256</v>
      </c>
      <c r="C56" s="75">
        <f t="shared" si="10"/>
        <v>0</v>
      </c>
      <c r="D56" s="75">
        <f t="shared" si="11"/>
        <v>0</v>
      </c>
      <c r="E56" s="75">
        <f>$B56*'TV tinklas'!D57*2</f>
        <v>0</v>
      </c>
      <c r="F56" s="75">
        <f>$B56*'TV tinklas'!E57*2</f>
        <v>0</v>
      </c>
      <c r="G56" s="75">
        <f>$B56*'TV tinklas'!F57*2</f>
        <v>0</v>
      </c>
      <c r="H56" s="75">
        <f>$B56*'TV tinklas'!G57*2</f>
        <v>0</v>
      </c>
      <c r="I56" s="75">
        <f t="shared" si="12"/>
        <v>0</v>
      </c>
      <c r="J56" s="75">
        <f>$B56*'TV tinklas'!I57*2</f>
        <v>0</v>
      </c>
      <c r="K56" s="75">
        <f>$B56*'TV tinklas'!J57*2</f>
        <v>0</v>
      </c>
      <c r="L56" s="75">
        <f>$B56*'TV tinklas'!K57*2</f>
        <v>0</v>
      </c>
      <c r="M56" s="75">
        <f>$B56*'TV tinklas'!L57*2</f>
        <v>0</v>
      </c>
      <c r="O56" s="23">
        <f t="shared" si="13"/>
        <v>0.12559999999999999</v>
      </c>
      <c r="P56" s="61">
        <f t="shared" si="14"/>
        <v>0</v>
      </c>
      <c r="Q56" s="61">
        <f t="shared" si="15"/>
        <v>0</v>
      </c>
      <c r="R56" s="61">
        <f>$O56*'TV tinklas'!D57*2</f>
        <v>0</v>
      </c>
      <c r="S56" s="61">
        <f>$O56*'TV tinklas'!E57*2</f>
        <v>0</v>
      </c>
      <c r="T56" s="61">
        <f>$O56*'TV tinklas'!F57*2</f>
        <v>0</v>
      </c>
      <c r="U56" s="61">
        <f>$O56*'TV tinklas'!G57*2</f>
        <v>0</v>
      </c>
      <c r="V56" s="61">
        <f t="shared" si="16"/>
        <v>0</v>
      </c>
      <c r="W56" s="61">
        <f>$O56*'TV tinklas'!I57*2</f>
        <v>0</v>
      </c>
      <c r="X56" s="61">
        <f>$O56*'TV tinklas'!J57*2</f>
        <v>0</v>
      </c>
      <c r="Y56" s="61">
        <f>$O56*'TV tinklas'!K57*2</f>
        <v>0</v>
      </c>
      <c r="Z56" s="61">
        <f>$O56*'TV tinklas'!L57*2</f>
        <v>0</v>
      </c>
    </row>
    <row r="57" spans="1:26" x14ac:dyDescent="0.2">
      <c r="A57" s="49">
        <v>450</v>
      </c>
      <c r="B57" s="23">
        <f t="shared" si="17"/>
        <v>1.413</v>
      </c>
      <c r="C57" s="75">
        <f t="shared" si="10"/>
        <v>0</v>
      </c>
      <c r="D57" s="75">
        <f t="shared" si="11"/>
        <v>0</v>
      </c>
      <c r="E57" s="75">
        <f>$B57*'TV tinklas'!D58*2</f>
        <v>0</v>
      </c>
      <c r="F57" s="75">
        <f>$B57*'TV tinklas'!E58*2</f>
        <v>0</v>
      </c>
      <c r="G57" s="75">
        <f>$B57*'TV tinklas'!F58*2</f>
        <v>0</v>
      </c>
      <c r="H57" s="75">
        <f>$B57*'TV tinklas'!G58*2</f>
        <v>0</v>
      </c>
      <c r="I57" s="75">
        <f t="shared" si="12"/>
        <v>0</v>
      </c>
      <c r="J57" s="75">
        <f>$B57*'TV tinklas'!I58*2</f>
        <v>0</v>
      </c>
      <c r="K57" s="75">
        <f>$B57*'TV tinklas'!J58*2</f>
        <v>0</v>
      </c>
      <c r="L57" s="75">
        <f>$B57*'TV tinklas'!K58*2</f>
        <v>0</v>
      </c>
      <c r="M57" s="75">
        <f>$B57*'TV tinklas'!L58*2</f>
        <v>0</v>
      </c>
      <c r="O57" s="23">
        <f t="shared" si="13"/>
        <v>0.15896250000000001</v>
      </c>
      <c r="P57" s="61">
        <f t="shared" si="14"/>
        <v>0</v>
      </c>
      <c r="Q57" s="61">
        <f t="shared" si="15"/>
        <v>0</v>
      </c>
      <c r="R57" s="61">
        <f>$O57*'TV tinklas'!D58*2</f>
        <v>0</v>
      </c>
      <c r="S57" s="61">
        <f>$O57*'TV tinklas'!E58*2</f>
        <v>0</v>
      </c>
      <c r="T57" s="61">
        <f>$O57*'TV tinklas'!F58*2</f>
        <v>0</v>
      </c>
      <c r="U57" s="61">
        <f>$O57*'TV tinklas'!G58*2</f>
        <v>0</v>
      </c>
      <c r="V57" s="61">
        <f t="shared" si="16"/>
        <v>0</v>
      </c>
      <c r="W57" s="61">
        <f>$O57*'TV tinklas'!I58*2</f>
        <v>0</v>
      </c>
      <c r="X57" s="61">
        <f>$O57*'TV tinklas'!J58*2</f>
        <v>0</v>
      </c>
      <c r="Y57" s="61">
        <f>$O57*'TV tinklas'!K58*2</f>
        <v>0</v>
      </c>
      <c r="Z57" s="61">
        <f>$O57*'TV tinklas'!L58*2</f>
        <v>0</v>
      </c>
    </row>
    <row r="58" spans="1:26" x14ac:dyDescent="0.2">
      <c r="A58" s="49">
        <v>500</v>
      </c>
      <c r="B58" s="23">
        <f t="shared" si="17"/>
        <v>1.57</v>
      </c>
      <c r="C58" s="75">
        <f t="shared" si="10"/>
        <v>0</v>
      </c>
      <c r="D58" s="75">
        <f t="shared" si="11"/>
        <v>0</v>
      </c>
      <c r="E58" s="75">
        <f>$B58*'TV tinklas'!D59*2</f>
        <v>0</v>
      </c>
      <c r="F58" s="75">
        <f>$B58*'TV tinklas'!E59*2</f>
        <v>0</v>
      </c>
      <c r="G58" s="75">
        <f>$B58*'TV tinklas'!F59*2</f>
        <v>0</v>
      </c>
      <c r="H58" s="75">
        <f>$B58*'TV tinklas'!G59*2</f>
        <v>0</v>
      </c>
      <c r="I58" s="75">
        <f t="shared" si="12"/>
        <v>0</v>
      </c>
      <c r="J58" s="75">
        <f>$B58*'TV tinklas'!I59*2</f>
        <v>0</v>
      </c>
      <c r="K58" s="75">
        <f>$B58*'TV tinklas'!J59*2</f>
        <v>0</v>
      </c>
      <c r="L58" s="75">
        <f>$B58*'TV tinklas'!K59*2</f>
        <v>0</v>
      </c>
      <c r="M58" s="75">
        <f>$B58*'TV tinklas'!L59*2</f>
        <v>0</v>
      </c>
      <c r="O58" s="23">
        <f t="shared" si="13"/>
        <v>0.19625000000000001</v>
      </c>
      <c r="P58" s="61">
        <f t="shared" si="14"/>
        <v>0</v>
      </c>
      <c r="Q58" s="61">
        <f t="shared" si="15"/>
        <v>0</v>
      </c>
      <c r="R58" s="61">
        <f>$O58*'TV tinklas'!D59*2</f>
        <v>0</v>
      </c>
      <c r="S58" s="61">
        <f>$O58*'TV tinklas'!E59*2</f>
        <v>0</v>
      </c>
      <c r="T58" s="61">
        <f>$O58*'TV tinklas'!F59*2</f>
        <v>0</v>
      </c>
      <c r="U58" s="61">
        <f>$O58*'TV tinklas'!G59*2</f>
        <v>0</v>
      </c>
      <c r="V58" s="61">
        <f t="shared" si="16"/>
        <v>0</v>
      </c>
      <c r="W58" s="61">
        <f>$O58*'TV tinklas'!I59*2</f>
        <v>0</v>
      </c>
      <c r="X58" s="61">
        <f>$O58*'TV tinklas'!J59*2</f>
        <v>0</v>
      </c>
      <c r="Y58" s="61">
        <f>$O58*'TV tinklas'!K59*2</f>
        <v>0</v>
      </c>
      <c r="Z58" s="61">
        <f>$O58*'TV tinklas'!L59*2</f>
        <v>0</v>
      </c>
    </row>
    <row r="59" spans="1:26" x14ac:dyDescent="0.2">
      <c r="A59" s="49">
        <v>600</v>
      </c>
      <c r="B59" s="23">
        <f t="shared" si="17"/>
        <v>1.8839999999999999</v>
      </c>
      <c r="C59" s="75">
        <f t="shared" si="10"/>
        <v>0</v>
      </c>
      <c r="D59" s="75">
        <f t="shared" si="11"/>
        <v>0</v>
      </c>
      <c r="E59" s="75">
        <f>$B59*'TV tinklas'!D60*2</f>
        <v>0</v>
      </c>
      <c r="F59" s="75">
        <f>$B59*'TV tinklas'!E60*2</f>
        <v>0</v>
      </c>
      <c r="G59" s="75">
        <f>$B59*'TV tinklas'!F60*2</f>
        <v>0</v>
      </c>
      <c r="H59" s="75">
        <f>$B59*'TV tinklas'!G60*2</f>
        <v>0</v>
      </c>
      <c r="I59" s="75">
        <f t="shared" si="12"/>
        <v>0</v>
      </c>
      <c r="J59" s="75">
        <f>$B59*'TV tinklas'!I60*2</f>
        <v>0</v>
      </c>
      <c r="K59" s="75">
        <f>$B59*'TV tinklas'!J60*2</f>
        <v>0</v>
      </c>
      <c r="L59" s="75">
        <f>$B59*'TV tinklas'!K60*2</f>
        <v>0</v>
      </c>
      <c r="M59" s="75">
        <f>$B59*'TV tinklas'!L60*2</f>
        <v>0</v>
      </c>
      <c r="O59" s="23">
        <f t="shared" si="13"/>
        <v>0.28260000000000002</v>
      </c>
      <c r="P59" s="61">
        <f t="shared" si="14"/>
        <v>0</v>
      </c>
      <c r="Q59" s="61">
        <f t="shared" si="15"/>
        <v>0</v>
      </c>
      <c r="R59" s="61">
        <f>$O59*'TV tinklas'!D60*2</f>
        <v>0</v>
      </c>
      <c r="S59" s="61">
        <f>$O59*'TV tinklas'!E60*2</f>
        <v>0</v>
      </c>
      <c r="T59" s="61">
        <f>$O59*'TV tinklas'!F60*2</f>
        <v>0</v>
      </c>
      <c r="U59" s="61">
        <f>$O59*'TV tinklas'!G60*2</f>
        <v>0</v>
      </c>
      <c r="V59" s="61">
        <f t="shared" si="16"/>
        <v>0</v>
      </c>
      <c r="W59" s="61">
        <f>$O59*'TV tinklas'!I60*2</f>
        <v>0</v>
      </c>
      <c r="X59" s="61">
        <f>$O59*'TV tinklas'!J60*2</f>
        <v>0</v>
      </c>
      <c r="Y59" s="61">
        <f>$O59*'TV tinklas'!K60*2</f>
        <v>0</v>
      </c>
      <c r="Z59" s="61">
        <f>$O59*'TV tinklas'!L60*2</f>
        <v>0</v>
      </c>
    </row>
    <row r="60" spans="1:26" x14ac:dyDescent="0.2">
      <c r="A60" s="49">
        <v>700</v>
      </c>
      <c r="B60" s="23">
        <f t="shared" si="17"/>
        <v>2.198</v>
      </c>
      <c r="C60" s="75">
        <f t="shared" si="10"/>
        <v>0</v>
      </c>
      <c r="D60" s="75">
        <f t="shared" si="11"/>
        <v>0</v>
      </c>
      <c r="E60" s="75">
        <f>$B60*'TV tinklas'!D61*2</f>
        <v>0</v>
      </c>
      <c r="F60" s="75">
        <f>$B60*'TV tinklas'!E61*2</f>
        <v>0</v>
      </c>
      <c r="G60" s="75">
        <f>$B60*'TV tinklas'!F61*2</f>
        <v>0</v>
      </c>
      <c r="H60" s="75">
        <f>$B60*'TV tinklas'!G61*2</f>
        <v>0</v>
      </c>
      <c r="I60" s="75">
        <f t="shared" si="12"/>
        <v>0</v>
      </c>
      <c r="J60" s="75">
        <f>$B60*'TV tinklas'!I61*2</f>
        <v>0</v>
      </c>
      <c r="K60" s="75">
        <f>$B60*'TV tinklas'!J61*2</f>
        <v>0</v>
      </c>
      <c r="L60" s="75">
        <f>$B60*'TV tinklas'!K61*2</f>
        <v>0</v>
      </c>
      <c r="M60" s="75">
        <f>$B60*'TV tinklas'!L61*2</f>
        <v>0</v>
      </c>
      <c r="O60" s="23">
        <f t="shared" si="13"/>
        <v>0.38464999999999999</v>
      </c>
      <c r="P60" s="61">
        <f t="shared" si="14"/>
        <v>0</v>
      </c>
      <c r="Q60" s="61">
        <f t="shared" si="15"/>
        <v>0</v>
      </c>
      <c r="R60" s="61">
        <f>$O60*'TV tinklas'!D61*2</f>
        <v>0</v>
      </c>
      <c r="S60" s="61">
        <f>$O60*'TV tinklas'!E61*2</f>
        <v>0</v>
      </c>
      <c r="T60" s="61">
        <f>$O60*'TV tinklas'!F61*2</f>
        <v>0</v>
      </c>
      <c r="U60" s="61">
        <f>$O60*'TV tinklas'!G61*2</f>
        <v>0</v>
      </c>
      <c r="V60" s="61">
        <f t="shared" si="16"/>
        <v>0</v>
      </c>
      <c r="W60" s="61">
        <f>$O60*'TV tinklas'!I61*2</f>
        <v>0</v>
      </c>
      <c r="X60" s="61">
        <f>$O60*'TV tinklas'!J61*2</f>
        <v>0</v>
      </c>
      <c r="Y60" s="61">
        <f>$O60*'TV tinklas'!K61*2</f>
        <v>0</v>
      </c>
      <c r="Z60" s="61">
        <f>$O60*'TV tinklas'!L61*2</f>
        <v>0</v>
      </c>
    </row>
    <row r="61" spans="1:26" x14ac:dyDescent="0.2">
      <c r="A61" s="49">
        <v>800</v>
      </c>
      <c r="B61" s="23">
        <f t="shared" si="17"/>
        <v>2.512</v>
      </c>
      <c r="C61" s="75">
        <f t="shared" si="10"/>
        <v>0</v>
      </c>
      <c r="D61" s="75">
        <f t="shared" si="11"/>
        <v>0</v>
      </c>
      <c r="E61" s="75">
        <f>$B61*'TV tinklas'!D62*2</f>
        <v>0</v>
      </c>
      <c r="F61" s="75">
        <f>$B61*'TV tinklas'!E62*2</f>
        <v>0</v>
      </c>
      <c r="G61" s="75">
        <f>$B61*'TV tinklas'!F62*2</f>
        <v>0</v>
      </c>
      <c r="H61" s="75">
        <f>$B61*'TV tinklas'!G62*2</f>
        <v>0</v>
      </c>
      <c r="I61" s="75">
        <f t="shared" si="12"/>
        <v>0</v>
      </c>
      <c r="J61" s="75">
        <f>$B61*'TV tinklas'!I62*2</f>
        <v>0</v>
      </c>
      <c r="K61" s="75">
        <f>$B61*'TV tinklas'!J62*2</f>
        <v>0</v>
      </c>
      <c r="L61" s="75">
        <f>$B61*'TV tinklas'!K62*2</f>
        <v>0</v>
      </c>
      <c r="M61" s="75">
        <f>$B61*'TV tinklas'!L62*2</f>
        <v>0</v>
      </c>
      <c r="O61" s="23">
        <f t="shared" si="13"/>
        <v>0.50239999999999996</v>
      </c>
      <c r="P61" s="61">
        <f t="shared" si="14"/>
        <v>0</v>
      </c>
      <c r="Q61" s="61">
        <f t="shared" si="15"/>
        <v>0</v>
      </c>
      <c r="R61" s="61">
        <f>$O61*'TV tinklas'!D62*2</f>
        <v>0</v>
      </c>
      <c r="S61" s="61">
        <f>$O61*'TV tinklas'!E62*2</f>
        <v>0</v>
      </c>
      <c r="T61" s="61">
        <f>$O61*'TV tinklas'!F62*2</f>
        <v>0</v>
      </c>
      <c r="U61" s="61">
        <f>$O61*'TV tinklas'!G62*2</f>
        <v>0</v>
      </c>
      <c r="V61" s="61">
        <f t="shared" si="16"/>
        <v>0</v>
      </c>
      <c r="W61" s="61">
        <f>$O61*'TV tinklas'!I62*2</f>
        <v>0</v>
      </c>
      <c r="X61" s="61">
        <f>$O61*'TV tinklas'!J62*2</f>
        <v>0</v>
      </c>
      <c r="Y61" s="61">
        <f>$O61*'TV tinklas'!K62*2</f>
        <v>0</v>
      </c>
      <c r="Z61" s="61">
        <f>$O61*'TV tinklas'!L62*2</f>
        <v>0</v>
      </c>
    </row>
    <row r="62" spans="1:26" x14ac:dyDescent="0.2">
      <c r="A62" s="49">
        <v>900</v>
      </c>
      <c r="B62" s="23">
        <f t="shared" si="17"/>
        <v>2.8260000000000001</v>
      </c>
      <c r="C62" s="75">
        <f t="shared" si="10"/>
        <v>0</v>
      </c>
      <c r="D62" s="75">
        <f t="shared" si="11"/>
        <v>0</v>
      </c>
      <c r="E62" s="75">
        <f>$B62*'TV tinklas'!D63*2</f>
        <v>0</v>
      </c>
      <c r="F62" s="75">
        <f>$B62*'TV tinklas'!E63*2</f>
        <v>0</v>
      </c>
      <c r="G62" s="75">
        <f>$B62*'TV tinklas'!F63*2</f>
        <v>0</v>
      </c>
      <c r="H62" s="75">
        <f>$B62*'TV tinklas'!G63*2</f>
        <v>0</v>
      </c>
      <c r="I62" s="75">
        <f t="shared" si="12"/>
        <v>0</v>
      </c>
      <c r="J62" s="75">
        <f>$B62*'TV tinklas'!I63*2</f>
        <v>0</v>
      </c>
      <c r="K62" s="75">
        <f>$B62*'TV tinklas'!J63*2</f>
        <v>0</v>
      </c>
      <c r="L62" s="75">
        <f>$B62*'TV tinklas'!K63*2</f>
        <v>0</v>
      </c>
      <c r="M62" s="75">
        <f>$B62*'TV tinklas'!L63*2</f>
        <v>0</v>
      </c>
      <c r="O62" s="23">
        <f t="shared" si="13"/>
        <v>0.63585000000000003</v>
      </c>
      <c r="P62" s="61">
        <f t="shared" si="14"/>
        <v>0</v>
      </c>
      <c r="Q62" s="61">
        <f t="shared" si="15"/>
        <v>0</v>
      </c>
      <c r="R62" s="61">
        <f>$O62*'TV tinklas'!D63*2</f>
        <v>0</v>
      </c>
      <c r="S62" s="61">
        <f>$O62*'TV tinklas'!E63*2</f>
        <v>0</v>
      </c>
      <c r="T62" s="61">
        <f>$O62*'TV tinklas'!F63*2</f>
        <v>0</v>
      </c>
      <c r="U62" s="61">
        <f>$O62*'TV tinklas'!G63*2</f>
        <v>0</v>
      </c>
      <c r="V62" s="61">
        <f t="shared" si="16"/>
        <v>0</v>
      </c>
      <c r="W62" s="61">
        <f>$O62*'TV tinklas'!I63*2</f>
        <v>0</v>
      </c>
      <c r="X62" s="61">
        <f>$O62*'TV tinklas'!J63*2</f>
        <v>0</v>
      </c>
      <c r="Y62" s="61">
        <f>$O62*'TV tinklas'!K63*2</f>
        <v>0</v>
      </c>
      <c r="Z62" s="61">
        <f>$O62*'TV tinklas'!L63*2</f>
        <v>0</v>
      </c>
    </row>
    <row r="63" spans="1:26" x14ac:dyDescent="0.2">
      <c r="A63" s="49">
        <v>1000</v>
      </c>
      <c r="B63" s="23">
        <f t="shared" si="17"/>
        <v>3.14</v>
      </c>
      <c r="C63" s="75">
        <f t="shared" si="10"/>
        <v>0</v>
      </c>
      <c r="D63" s="75">
        <f t="shared" si="11"/>
        <v>0</v>
      </c>
      <c r="E63" s="75">
        <f>$B63*'TV tinklas'!D64*2</f>
        <v>0</v>
      </c>
      <c r="F63" s="75">
        <f>$B63*'TV tinklas'!E64*2</f>
        <v>0</v>
      </c>
      <c r="G63" s="75">
        <f>$B63*'TV tinklas'!F64*2</f>
        <v>0</v>
      </c>
      <c r="H63" s="75">
        <f>$B63*'TV tinklas'!G64*2</f>
        <v>0</v>
      </c>
      <c r="I63" s="75">
        <f t="shared" si="12"/>
        <v>0</v>
      </c>
      <c r="J63" s="75">
        <f>$B63*'TV tinklas'!I64*2</f>
        <v>0</v>
      </c>
      <c r="K63" s="75">
        <f>$B63*'TV tinklas'!J64*2</f>
        <v>0</v>
      </c>
      <c r="L63" s="75">
        <f>$B63*'TV tinklas'!K64*2</f>
        <v>0</v>
      </c>
      <c r="M63" s="75">
        <f>$B63*'TV tinklas'!L64*2</f>
        <v>0</v>
      </c>
      <c r="O63" s="23">
        <f t="shared" si="13"/>
        <v>0.78500000000000003</v>
      </c>
      <c r="P63" s="61">
        <f t="shared" si="14"/>
        <v>0</v>
      </c>
      <c r="Q63" s="61">
        <f t="shared" si="15"/>
        <v>0</v>
      </c>
      <c r="R63" s="61">
        <f>$O63*'TV tinklas'!D64*2</f>
        <v>0</v>
      </c>
      <c r="S63" s="61">
        <f>$O63*'TV tinklas'!E64*2</f>
        <v>0</v>
      </c>
      <c r="T63" s="61">
        <f>$O63*'TV tinklas'!F64*2</f>
        <v>0</v>
      </c>
      <c r="U63" s="61">
        <f>$O63*'TV tinklas'!G64*2</f>
        <v>0</v>
      </c>
      <c r="V63" s="61">
        <f t="shared" si="16"/>
        <v>0</v>
      </c>
      <c r="W63" s="61">
        <f>$O63*'TV tinklas'!I64*2</f>
        <v>0</v>
      </c>
      <c r="X63" s="61">
        <f>$O63*'TV tinklas'!J64*2</f>
        <v>0</v>
      </c>
      <c r="Y63" s="61">
        <f>$O63*'TV tinklas'!K64*2</f>
        <v>0</v>
      </c>
      <c r="Z63" s="61">
        <f>$O63*'TV tinklas'!L64*2</f>
        <v>0</v>
      </c>
    </row>
    <row r="64" spans="1:26" x14ac:dyDescent="0.2">
      <c r="A64" s="49">
        <v>1100</v>
      </c>
      <c r="B64" s="23">
        <f t="shared" si="17"/>
        <v>3.4540000000000002</v>
      </c>
      <c r="C64" s="75">
        <f>SUM(D64+I64)</f>
        <v>0</v>
      </c>
      <c r="D64" s="75">
        <f>SUM(E64:H64)</f>
        <v>0</v>
      </c>
      <c r="E64" s="75">
        <f>$B64*'TV tinklas'!D65*2</f>
        <v>0</v>
      </c>
      <c r="F64" s="75">
        <f>$B64*'TV tinklas'!E65*2</f>
        <v>0</v>
      </c>
      <c r="G64" s="75">
        <f>$B64*'TV tinklas'!F65*2</f>
        <v>0</v>
      </c>
      <c r="H64" s="75">
        <f>$B64*'TV tinklas'!G65*2</f>
        <v>0</v>
      </c>
      <c r="I64" s="75">
        <f>SUM(J64:M64)</f>
        <v>0</v>
      </c>
      <c r="J64" s="75">
        <f>$B64*'TV tinklas'!I65*2</f>
        <v>0</v>
      </c>
      <c r="K64" s="75">
        <f>$B64*'TV tinklas'!J65*2</f>
        <v>0</v>
      </c>
      <c r="L64" s="75">
        <f>$B64*'TV tinklas'!K65*2</f>
        <v>0</v>
      </c>
      <c r="M64" s="75">
        <f>$B64*'TV tinklas'!L65*2</f>
        <v>0</v>
      </c>
      <c r="O64" s="23">
        <f t="shared" si="13"/>
        <v>0.94984999999999997</v>
      </c>
      <c r="P64" s="61">
        <f>SUM(Q64+V64)</f>
        <v>0</v>
      </c>
      <c r="Q64" s="61">
        <f>SUM(R64:U64)</f>
        <v>0</v>
      </c>
      <c r="R64" s="61">
        <f>$O64*'TV tinklas'!D65*2</f>
        <v>0</v>
      </c>
      <c r="S64" s="61">
        <f>$O64*'TV tinklas'!E65*2</f>
        <v>0</v>
      </c>
      <c r="T64" s="61">
        <f>$O64*'TV tinklas'!F65*2</f>
        <v>0</v>
      </c>
      <c r="U64" s="61">
        <f>$O64*'TV tinklas'!G65*2</f>
        <v>0</v>
      </c>
      <c r="V64" s="61">
        <f>SUM(W64:Z64)</f>
        <v>0</v>
      </c>
      <c r="W64" s="61">
        <f>$O64*'TV tinklas'!I65*2</f>
        <v>0</v>
      </c>
      <c r="X64" s="61">
        <f>$O64*'TV tinklas'!J65*2</f>
        <v>0</v>
      </c>
      <c r="Y64" s="61">
        <f>$O64*'TV tinklas'!K65*2</f>
        <v>0</v>
      </c>
      <c r="Z64" s="61">
        <f>$O64*'TV tinklas'!L65*2</f>
        <v>0</v>
      </c>
    </row>
    <row r="65" spans="1:26" x14ac:dyDescent="0.2">
      <c r="A65" s="49">
        <v>1200</v>
      </c>
      <c r="B65" s="23">
        <f t="shared" si="17"/>
        <v>3.7679999999999998</v>
      </c>
      <c r="C65" s="75">
        <f>SUM(D65+I65)</f>
        <v>0</v>
      </c>
      <c r="D65" s="75">
        <f>SUM(E65:H65)</f>
        <v>0</v>
      </c>
      <c r="E65" s="75">
        <f>$B65*'TV tinklas'!D66*2</f>
        <v>0</v>
      </c>
      <c r="F65" s="75">
        <f>$B65*'TV tinklas'!E66*2</f>
        <v>0</v>
      </c>
      <c r="G65" s="75">
        <f>$B65*'TV tinklas'!F66*2</f>
        <v>0</v>
      </c>
      <c r="H65" s="75">
        <f>$B65*'TV tinklas'!G66*2</f>
        <v>0</v>
      </c>
      <c r="I65" s="75">
        <f>SUM(J65:M65)</f>
        <v>0</v>
      </c>
      <c r="J65" s="75">
        <f>$B65*'TV tinklas'!I66*2</f>
        <v>0</v>
      </c>
      <c r="K65" s="75">
        <f>$B65*'TV tinklas'!J66*2</f>
        <v>0</v>
      </c>
      <c r="L65" s="75">
        <f>$B65*'TV tinklas'!K66*2</f>
        <v>0</v>
      </c>
      <c r="M65" s="75">
        <f>$B65*'TV tinklas'!L66*2</f>
        <v>0</v>
      </c>
      <c r="O65" s="23">
        <f t="shared" si="13"/>
        <v>1.1304000000000001</v>
      </c>
      <c r="P65" s="61">
        <f>SUM(Q65+V65)</f>
        <v>0</v>
      </c>
      <c r="Q65" s="61">
        <f>SUM(R65:U65)</f>
        <v>0</v>
      </c>
      <c r="R65" s="61">
        <f>$O65*'TV tinklas'!D66*2</f>
        <v>0</v>
      </c>
      <c r="S65" s="61">
        <f>$O65*'TV tinklas'!E66*2</f>
        <v>0</v>
      </c>
      <c r="T65" s="61">
        <f>$O65*'TV tinklas'!F66*2</f>
        <v>0</v>
      </c>
      <c r="U65" s="61">
        <f>$O65*'TV tinklas'!G66*2</f>
        <v>0</v>
      </c>
      <c r="V65" s="61">
        <f>SUM(W65:Z65)</f>
        <v>0</v>
      </c>
      <c r="W65" s="61">
        <f>$O65*'TV tinklas'!I66*2</f>
        <v>0</v>
      </c>
      <c r="X65" s="61">
        <f>$O65*'TV tinklas'!J66*2</f>
        <v>0</v>
      </c>
      <c r="Y65" s="61">
        <f>$O65*'TV tinklas'!K66*2</f>
        <v>0</v>
      </c>
      <c r="Z65" s="61">
        <f>$O65*'TV tinklas'!L66*2</f>
        <v>0</v>
      </c>
    </row>
    <row r="66" spans="1:26" x14ac:dyDescent="0.2">
      <c r="A66" s="56" t="s">
        <v>89</v>
      </c>
      <c r="B66" s="60"/>
      <c r="C66" s="75">
        <f>SUM(C41:C65)</f>
        <v>62.8</v>
      </c>
      <c r="D66" s="75">
        <f t="shared" ref="D66:M66" si="18">SUM(D41:D65)</f>
        <v>0</v>
      </c>
      <c r="E66" s="75">
        <f t="shared" si="18"/>
        <v>0</v>
      </c>
      <c r="F66" s="75">
        <f t="shared" si="18"/>
        <v>0</v>
      </c>
      <c r="G66" s="75">
        <f t="shared" si="18"/>
        <v>0</v>
      </c>
      <c r="H66" s="75">
        <f t="shared" si="18"/>
        <v>0</v>
      </c>
      <c r="I66" s="75">
        <f t="shared" si="18"/>
        <v>62.8</v>
      </c>
      <c r="J66" s="75">
        <f t="shared" si="18"/>
        <v>0</v>
      </c>
      <c r="K66" s="75">
        <f t="shared" si="18"/>
        <v>0</v>
      </c>
      <c r="L66" s="75">
        <f t="shared" si="18"/>
        <v>62.8</v>
      </c>
      <c r="M66" s="75">
        <f t="shared" si="18"/>
        <v>0</v>
      </c>
      <c r="O66" s="60"/>
      <c r="P66" s="61">
        <f>SUM(P41:P65)</f>
        <v>1.5699999999999998</v>
      </c>
      <c r="Q66" s="61">
        <f t="shared" ref="Q66:Z66" si="19">SUM(Q41:Q65)</f>
        <v>0</v>
      </c>
      <c r="R66" s="61">
        <f t="shared" si="19"/>
        <v>0</v>
      </c>
      <c r="S66" s="61">
        <f t="shared" si="19"/>
        <v>0</v>
      </c>
      <c r="T66" s="61">
        <f t="shared" si="19"/>
        <v>0</v>
      </c>
      <c r="U66" s="61">
        <f t="shared" si="19"/>
        <v>0</v>
      </c>
      <c r="V66" s="61">
        <f t="shared" si="19"/>
        <v>1.5699999999999998</v>
      </c>
      <c r="W66" s="61">
        <f t="shared" si="19"/>
        <v>0</v>
      </c>
      <c r="X66" s="61">
        <f t="shared" si="19"/>
        <v>0</v>
      </c>
      <c r="Y66" s="61">
        <f t="shared" si="19"/>
        <v>1.5699999999999998</v>
      </c>
      <c r="Z66" s="61">
        <f t="shared" si="19"/>
        <v>0</v>
      </c>
    </row>
    <row r="67" spans="1:26" x14ac:dyDescent="0.2">
      <c r="A67" s="24" t="s">
        <v>114</v>
      </c>
      <c r="C67" s="42"/>
      <c r="P67" s="42"/>
    </row>
  </sheetData>
  <sheetProtection password="CF7A" sheet="1"/>
  <mergeCells count="8">
    <mergeCell ref="V4:Z4"/>
    <mergeCell ref="V37:Z37"/>
    <mergeCell ref="Q4:U4"/>
    <mergeCell ref="D37:H37"/>
    <mergeCell ref="Q37:U37"/>
    <mergeCell ref="D4:H4"/>
    <mergeCell ref="I4:M4"/>
    <mergeCell ref="I37:M37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9"/>
  <sheetViews>
    <sheetView workbookViewId="0">
      <selection activeCell="G37" sqref="G37"/>
    </sheetView>
  </sheetViews>
  <sheetFormatPr defaultColWidth="9.33203125" defaultRowHeight="12" x14ac:dyDescent="0.2"/>
  <cols>
    <col min="1" max="14" width="8.83203125" style="50" customWidth="1"/>
    <col min="15" max="15" width="7.83203125" style="50" customWidth="1"/>
    <col min="16" max="27" width="8.83203125" style="50" customWidth="1"/>
    <col min="28" max="16384" width="9.33203125" style="50"/>
  </cols>
  <sheetData>
    <row r="1" spans="1:27" x14ac:dyDescent="0.2">
      <c r="A1" s="24" t="e">
        <f>'TV tinklas'!#REF!</f>
        <v>#REF!</v>
      </c>
    </row>
    <row r="3" spans="1:27" ht="12.75" x14ac:dyDescent="0.2">
      <c r="C3" s="68" t="s">
        <v>110</v>
      </c>
      <c r="P3" s="68" t="s">
        <v>110</v>
      </c>
    </row>
    <row r="4" spans="1:27" x14ac:dyDescent="0.2">
      <c r="A4" s="51" t="s">
        <v>120</v>
      </c>
      <c r="B4" s="51" t="s">
        <v>121</v>
      </c>
      <c r="C4" s="43" t="s">
        <v>115</v>
      </c>
      <c r="D4" s="44" t="s">
        <v>115</v>
      </c>
      <c r="E4" s="554" t="s">
        <v>112</v>
      </c>
      <c r="F4" s="552"/>
      <c r="G4" s="552"/>
      <c r="H4" s="552"/>
      <c r="I4" s="552"/>
      <c r="J4" s="551" t="s">
        <v>113</v>
      </c>
      <c r="K4" s="552"/>
      <c r="L4" s="552"/>
      <c r="M4" s="552"/>
      <c r="N4" s="553"/>
      <c r="O4" s="73"/>
      <c r="P4" s="43"/>
      <c r="Q4" s="43"/>
      <c r="R4" s="555" t="s">
        <v>112</v>
      </c>
      <c r="S4" s="556"/>
      <c r="T4" s="556"/>
      <c r="U4" s="556"/>
      <c r="V4" s="556"/>
      <c r="W4" s="555" t="s">
        <v>113</v>
      </c>
      <c r="X4" s="556"/>
      <c r="Y4" s="556"/>
      <c r="Z4" s="556"/>
      <c r="AA4" s="557"/>
    </row>
    <row r="5" spans="1:27" x14ac:dyDescent="0.2">
      <c r="A5" s="52" t="s">
        <v>82</v>
      </c>
      <c r="B5" s="52" t="s">
        <v>82</v>
      </c>
      <c r="C5" s="45" t="s">
        <v>118</v>
      </c>
      <c r="D5" s="46" t="s">
        <v>117</v>
      </c>
      <c r="E5" s="58" t="s">
        <v>83</v>
      </c>
      <c r="F5" s="46" t="s">
        <v>132</v>
      </c>
      <c r="G5" s="46" t="s">
        <v>133</v>
      </c>
      <c r="H5" s="46" t="s">
        <v>134</v>
      </c>
      <c r="I5" s="47" t="s">
        <v>135</v>
      </c>
      <c r="J5" s="58" t="s">
        <v>83</v>
      </c>
      <c r="K5" s="46" t="s">
        <v>132</v>
      </c>
      <c r="L5" s="46" t="s">
        <v>133</v>
      </c>
      <c r="M5" s="46" t="s">
        <v>134</v>
      </c>
      <c r="N5" s="66" t="s">
        <v>135</v>
      </c>
      <c r="O5" s="73"/>
      <c r="P5" s="59" t="s">
        <v>90</v>
      </c>
      <c r="Q5" s="45" t="s">
        <v>83</v>
      </c>
      <c r="R5" s="58" t="s">
        <v>83</v>
      </c>
      <c r="S5" s="46" t="s">
        <v>132</v>
      </c>
      <c r="T5" s="46" t="s">
        <v>133</v>
      </c>
      <c r="U5" s="46" t="s">
        <v>134</v>
      </c>
      <c r="V5" s="47" t="s">
        <v>135</v>
      </c>
      <c r="W5" s="45" t="s">
        <v>83</v>
      </c>
      <c r="X5" s="46" t="s">
        <v>132</v>
      </c>
      <c r="Y5" s="46" t="s">
        <v>133</v>
      </c>
      <c r="Z5" s="46" t="s">
        <v>134</v>
      </c>
      <c r="AA5" s="66" t="s">
        <v>135</v>
      </c>
    </row>
    <row r="6" spans="1:27" x14ac:dyDescent="0.2">
      <c r="A6" s="52" t="s">
        <v>84</v>
      </c>
      <c r="B6" s="52" t="s">
        <v>84</v>
      </c>
      <c r="C6" s="63" t="s">
        <v>91</v>
      </c>
      <c r="D6" s="46" t="s">
        <v>118</v>
      </c>
      <c r="E6" s="46" t="s">
        <v>118</v>
      </c>
      <c r="F6" s="46" t="s">
        <v>85</v>
      </c>
      <c r="G6" s="46" t="s">
        <v>86</v>
      </c>
      <c r="H6" s="46" t="s">
        <v>87</v>
      </c>
      <c r="I6" s="47" t="s">
        <v>136</v>
      </c>
      <c r="J6" s="46" t="s">
        <v>118</v>
      </c>
      <c r="K6" s="46" t="s">
        <v>85</v>
      </c>
      <c r="L6" s="46" t="s">
        <v>86</v>
      </c>
      <c r="M6" s="46" t="s">
        <v>87</v>
      </c>
      <c r="N6" s="63" t="s">
        <v>136</v>
      </c>
      <c r="O6" s="73"/>
      <c r="P6" s="59" t="s">
        <v>91</v>
      </c>
      <c r="Q6" s="45" t="s">
        <v>92</v>
      </c>
      <c r="R6" s="45" t="s">
        <v>92</v>
      </c>
      <c r="S6" s="46" t="s">
        <v>85</v>
      </c>
      <c r="T6" s="46" t="s">
        <v>86</v>
      </c>
      <c r="U6" s="46" t="s">
        <v>87</v>
      </c>
      <c r="V6" s="47" t="s">
        <v>136</v>
      </c>
      <c r="W6" s="45" t="s">
        <v>92</v>
      </c>
      <c r="X6" s="46" t="s">
        <v>85</v>
      </c>
      <c r="Y6" s="46" t="s">
        <v>86</v>
      </c>
      <c r="Z6" s="46" t="s">
        <v>87</v>
      </c>
      <c r="AA6" s="63" t="s">
        <v>136</v>
      </c>
    </row>
    <row r="7" spans="1:27" x14ac:dyDescent="0.2">
      <c r="A7" s="53" t="s">
        <v>0</v>
      </c>
      <c r="B7" s="53" t="s">
        <v>0</v>
      </c>
      <c r="C7" s="48" t="s">
        <v>119</v>
      </c>
      <c r="D7" s="46" t="s">
        <v>116</v>
      </c>
      <c r="E7" s="46" t="s">
        <v>116</v>
      </c>
      <c r="F7" s="46" t="s">
        <v>116</v>
      </c>
      <c r="G7" s="46" t="s">
        <v>116</v>
      </c>
      <c r="H7" s="46" t="s">
        <v>116</v>
      </c>
      <c r="I7" s="46" t="s">
        <v>116</v>
      </c>
      <c r="J7" s="46" t="s">
        <v>116</v>
      </c>
      <c r="K7" s="46" t="s">
        <v>116</v>
      </c>
      <c r="L7" s="46" t="s">
        <v>116</v>
      </c>
      <c r="M7" s="46" t="s">
        <v>116</v>
      </c>
      <c r="N7" s="72" t="s">
        <v>116</v>
      </c>
      <c r="O7" s="73"/>
      <c r="P7" s="65" t="s">
        <v>7</v>
      </c>
      <c r="Q7" s="72" t="s">
        <v>93</v>
      </c>
      <c r="R7" s="45" t="s">
        <v>93</v>
      </c>
      <c r="S7" s="45" t="s">
        <v>93</v>
      </c>
      <c r="T7" s="45" t="s">
        <v>93</v>
      </c>
      <c r="U7" s="45" t="s">
        <v>93</v>
      </c>
      <c r="V7" s="45" t="s">
        <v>93</v>
      </c>
      <c r="W7" s="45" t="s">
        <v>93</v>
      </c>
      <c r="X7" s="45" t="s">
        <v>93</v>
      </c>
      <c r="Y7" s="45" t="s">
        <v>93</v>
      </c>
      <c r="Z7" s="45" t="s">
        <v>93</v>
      </c>
      <c r="AA7" s="72" t="s">
        <v>93</v>
      </c>
    </row>
    <row r="8" spans="1:27" x14ac:dyDescent="0.2">
      <c r="A8" s="53">
        <v>20</v>
      </c>
      <c r="B8" s="53">
        <v>15</v>
      </c>
      <c r="C8" s="23">
        <f>SUM(A8:B8)*3.14/1000</f>
        <v>0.10990000000000001</v>
      </c>
      <c r="D8" s="75">
        <f t="shared" ref="D8:D22" si="0">SUM(E8+J8)</f>
        <v>0</v>
      </c>
      <c r="E8" s="75">
        <f t="shared" ref="E8:E22" si="1">SUM(F8:I8)</f>
        <v>0</v>
      </c>
      <c r="F8" s="74">
        <f>$C8*'KV tinklas'!D9</f>
        <v>0</v>
      </c>
      <c r="G8" s="74">
        <f>$C8*'KV tinklas'!E9</f>
        <v>0</v>
      </c>
      <c r="H8" s="74">
        <f>$C8*'KV tinklas'!F9</f>
        <v>0</v>
      </c>
      <c r="I8" s="74">
        <f>$C8*'KV tinklas'!G9</f>
        <v>0</v>
      </c>
      <c r="J8" s="75">
        <f t="shared" ref="J8:J22" si="2">SUM(K8:N8)</f>
        <v>0</v>
      </c>
      <c r="K8" s="74">
        <f>$C8*'KV tinklas'!I9</f>
        <v>0</v>
      </c>
      <c r="L8" s="74">
        <f>$C8*'KV tinklas'!J9</f>
        <v>0</v>
      </c>
      <c r="M8" s="74">
        <f>$C8*'KV tinklas'!K9</f>
        <v>0</v>
      </c>
      <c r="N8" s="74">
        <f>$C8*'KV tinklas'!L9</f>
        <v>0</v>
      </c>
      <c r="O8" s="70"/>
      <c r="P8" s="23">
        <f>SUM(A8/2)*(B8/2)*3.14/1000000</f>
        <v>2.3550000000000001E-4</v>
      </c>
      <c r="Q8" s="61">
        <f t="shared" ref="Q8:Q22" si="3">SUM(R8+W8)</f>
        <v>0</v>
      </c>
      <c r="R8" s="61">
        <f t="shared" ref="R8:R22" si="4">SUM(S8:V8)</f>
        <v>0</v>
      </c>
      <c r="S8" s="41">
        <f>$P8*'KV tinklas'!D9*2</f>
        <v>0</v>
      </c>
      <c r="T8" s="41">
        <f>$P8*'KV tinklas'!E9*2</f>
        <v>0</v>
      </c>
      <c r="U8" s="41">
        <f>$P8*'KV tinklas'!F9*2</f>
        <v>0</v>
      </c>
      <c r="V8" s="41">
        <f>$P8*'KV tinklas'!G9*2</f>
        <v>0</v>
      </c>
      <c r="W8" s="61">
        <f t="shared" ref="W8:W22" si="5">SUM(X8:AA8)</f>
        <v>0</v>
      </c>
      <c r="X8" s="41">
        <f>$P8*'KV tinklas'!I9*2</f>
        <v>0</v>
      </c>
      <c r="Y8" s="41">
        <f>$P8*'KV tinklas'!J9*2</f>
        <v>0</v>
      </c>
      <c r="Z8" s="41">
        <f>$P8*'KV tinklas'!K9*2</f>
        <v>0</v>
      </c>
      <c r="AA8" s="41">
        <f>$P8*'KV tinklas'!L9*2</f>
        <v>0</v>
      </c>
    </row>
    <row r="9" spans="1:27" x14ac:dyDescent="0.2">
      <c r="A9" s="54">
        <v>25</v>
      </c>
      <c r="B9" s="54">
        <v>20</v>
      </c>
      <c r="C9" s="23">
        <f t="shared" ref="C9:C22" si="6">SUM(A9:B9)*3.14/1000</f>
        <v>0.14130000000000001</v>
      </c>
      <c r="D9" s="75">
        <f t="shared" si="0"/>
        <v>0</v>
      </c>
      <c r="E9" s="75">
        <f t="shared" si="1"/>
        <v>0</v>
      </c>
      <c r="F9" s="74">
        <f>$C9*'KV tinklas'!D10</f>
        <v>0</v>
      </c>
      <c r="G9" s="74">
        <f>$C9*'KV tinklas'!E10</f>
        <v>0</v>
      </c>
      <c r="H9" s="74">
        <f>$C9*'KV tinklas'!F10</f>
        <v>0</v>
      </c>
      <c r="I9" s="74">
        <f>$C9*'KV tinklas'!G10</f>
        <v>0</v>
      </c>
      <c r="J9" s="75">
        <f t="shared" si="2"/>
        <v>0</v>
      </c>
      <c r="K9" s="74">
        <f>$C9*'KV tinklas'!I10</f>
        <v>0</v>
      </c>
      <c r="L9" s="74">
        <f>$C9*'KV tinklas'!J10</f>
        <v>0</v>
      </c>
      <c r="M9" s="74">
        <f>$C9*'KV tinklas'!K10</f>
        <v>0</v>
      </c>
      <c r="N9" s="74">
        <f>$C9*'KV tinklas'!L10</f>
        <v>0</v>
      </c>
      <c r="O9" s="70"/>
      <c r="P9" s="23">
        <f t="shared" ref="P9:P22" si="7">SUM(A9/2)*(B9/2)*3.14/1000000</f>
        <v>3.925E-4</v>
      </c>
      <c r="Q9" s="61">
        <f t="shared" si="3"/>
        <v>0</v>
      </c>
      <c r="R9" s="61">
        <f t="shared" si="4"/>
        <v>0</v>
      </c>
      <c r="S9" s="41">
        <f>$P9*'KV tinklas'!D10*2</f>
        <v>0</v>
      </c>
      <c r="T9" s="41">
        <f>$P9*'KV tinklas'!E10*2</f>
        <v>0</v>
      </c>
      <c r="U9" s="41">
        <f>$P9*'KV tinklas'!F10*2</f>
        <v>0</v>
      </c>
      <c r="V9" s="41">
        <f>$P9*'KV tinklas'!G10*2</f>
        <v>0</v>
      </c>
      <c r="W9" s="61">
        <f t="shared" si="5"/>
        <v>0</v>
      </c>
      <c r="X9" s="41">
        <f>$P9*'KV tinklas'!I10*2</f>
        <v>0</v>
      </c>
      <c r="Y9" s="41">
        <f>$P9*'KV tinklas'!J10*2</f>
        <v>0</v>
      </c>
      <c r="Z9" s="41">
        <f>$P9*'KV tinklas'!K10*2</f>
        <v>0</v>
      </c>
      <c r="AA9" s="41">
        <f>$P9*'KV tinklas'!L10*2</f>
        <v>0</v>
      </c>
    </row>
    <row r="10" spans="1:27" x14ac:dyDescent="0.2">
      <c r="A10" s="54">
        <v>32</v>
      </c>
      <c r="B10" s="54">
        <v>25</v>
      </c>
      <c r="C10" s="23">
        <f t="shared" si="6"/>
        <v>0.17898000000000003</v>
      </c>
      <c r="D10" s="75">
        <f t="shared" si="0"/>
        <v>0</v>
      </c>
      <c r="E10" s="75">
        <f t="shared" si="1"/>
        <v>0</v>
      </c>
      <c r="F10" s="74">
        <f>$C10*'KV tinklas'!D11</f>
        <v>0</v>
      </c>
      <c r="G10" s="74">
        <f>$C10*'KV tinklas'!E11</f>
        <v>0</v>
      </c>
      <c r="H10" s="74">
        <f>$C10*'KV tinklas'!F11</f>
        <v>0</v>
      </c>
      <c r="I10" s="74">
        <f>$C10*'KV tinklas'!G11</f>
        <v>0</v>
      </c>
      <c r="J10" s="75">
        <f t="shared" si="2"/>
        <v>0</v>
      </c>
      <c r="K10" s="74">
        <f>$C10*'KV tinklas'!I11</f>
        <v>0</v>
      </c>
      <c r="L10" s="74">
        <f>$C10*'KV tinklas'!J11</f>
        <v>0</v>
      </c>
      <c r="M10" s="74">
        <f>$C10*'KV tinklas'!K11</f>
        <v>0</v>
      </c>
      <c r="N10" s="74">
        <f>$C10*'KV tinklas'!L11</f>
        <v>0</v>
      </c>
      <c r="O10" s="70"/>
      <c r="P10" s="23">
        <f t="shared" si="7"/>
        <v>6.2799999999999998E-4</v>
      </c>
      <c r="Q10" s="61">
        <f t="shared" si="3"/>
        <v>0</v>
      </c>
      <c r="R10" s="61">
        <f t="shared" si="4"/>
        <v>0</v>
      </c>
      <c r="S10" s="41">
        <f>$P10*'KV tinklas'!D11*2</f>
        <v>0</v>
      </c>
      <c r="T10" s="41">
        <f>$P10*'KV tinklas'!E11*2</f>
        <v>0</v>
      </c>
      <c r="U10" s="41">
        <f>$P10*'KV tinklas'!F11*2</f>
        <v>0</v>
      </c>
      <c r="V10" s="41">
        <f>$P10*'KV tinklas'!G11*2</f>
        <v>0</v>
      </c>
      <c r="W10" s="61">
        <f t="shared" si="5"/>
        <v>0</v>
      </c>
      <c r="X10" s="41">
        <f>$P10*'KV tinklas'!I11*2</f>
        <v>0</v>
      </c>
      <c r="Y10" s="41">
        <f>$P10*'KV tinklas'!J11*2</f>
        <v>0</v>
      </c>
      <c r="Z10" s="41">
        <f>$P10*'KV tinklas'!K11*2</f>
        <v>0</v>
      </c>
      <c r="AA10" s="41">
        <f>$P10*'KV tinklas'!L11*2</f>
        <v>0</v>
      </c>
    </row>
    <row r="11" spans="1:27" x14ac:dyDescent="0.2">
      <c r="A11" s="54">
        <v>40</v>
      </c>
      <c r="B11" s="54">
        <v>25</v>
      </c>
      <c r="C11" s="23">
        <f t="shared" si="6"/>
        <v>0.2041</v>
      </c>
      <c r="D11" s="75">
        <f t="shared" si="0"/>
        <v>0</v>
      </c>
      <c r="E11" s="75">
        <f t="shared" si="1"/>
        <v>0</v>
      </c>
      <c r="F11" s="74">
        <f>$C11*'KV tinklas'!D12</f>
        <v>0</v>
      </c>
      <c r="G11" s="74">
        <f>$C11*'KV tinklas'!E12</f>
        <v>0</v>
      </c>
      <c r="H11" s="74">
        <f>$C11*'KV tinklas'!F12</f>
        <v>0</v>
      </c>
      <c r="I11" s="74">
        <f>$C11*'KV tinklas'!G12</f>
        <v>0</v>
      </c>
      <c r="J11" s="75">
        <f t="shared" si="2"/>
        <v>0</v>
      </c>
      <c r="K11" s="74">
        <f>$C11*'KV tinklas'!I12</f>
        <v>0</v>
      </c>
      <c r="L11" s="74">
        <f>$C11*'KV tinklas'!J12</f>
        <v>0</v>
      </c>
      <c r="M11" s="74">
        <f>$C11*'KV tinklas'!K12</f>
        <v>0</v>
      </c>
      <c r="N11" s="74">
        <f>$C11*'KV tinklas'!L12</f>
        <v>0</v>
      </c>
      <c r="O11" s="70"/>
      <c r="P11" s="23">
        <f t="shared" si="7"/>
        <v>7.85E-4</v>
      </c>
      <c r="Q11" s="61">
        <f t="shared" si="3"/>
        <v>0</v>
      </c>
      <c r="R11" s="61">
        <f t="shared" si="4"/>
        <v>0</v>
      </c>
      <c r="S11" s="41">
        <f>$P11*'KV tinklas'!D12*2</f>
        <v>0</v>
      </c>
      <c r="T11" s="41">
        <f>$P11*'KV tinklas'!E12*2</f>
        <v>0</v>
      </c>
      <c r="U11" s="41">
        <f>$P11*'KV tinklas'!F12*2</f>
        <v>0</v>
      </c>
      <c r="V11" s="41">
        <f>$P11*'KV tinklas'!G12*2</f>
        <v>0</v>
      </c>
      <c r="W11" s="61">
        <f t="shared" si="5"/>
        <v>0</v>
      </c>
      <c r="X11" s="41">
        <f>$P11*'KV tinklas'!I12*2</f>
        <v>0</v>
      </c>
      <c r="Y11" s="41">
        <f>$P11*'KV tinklas'!J12*2</f>
        <v>0</v>
      </c>
      <c r="Z11" s="41">
        <f>$P11*'KV tinklas'!K12*2</f>
        <v>0</v>
      </c>
      <c r="AA11" s="41">
        <f>$P11*'KV tinklas'!L12*2</f>
        <v>0</v>
      </c>
    </row>
    <row r="12" spans="1:27" x14ac:dyDescent="0.2">
      <c r="A12" s="54">
        <v>40</v>
      </c>
      <c r="B12" s="54">
        <v>32</v>
      </c>
      <c r="C12" s="23">
        <f t="shared" si="6"/>
        <v>0.22608</v>
      </c>
      <c r="D12" s="75">
        <f t="shared" si="0"/>
        <v>0</v>
      </c>
      <c r="E12" s="75">
        <f t="shared" si="1"/>
        <v>0</v>
      </c>
      <c r="F12" s="74">
        <f>$C12*'KV tinklas'!D13</f>
        <v>0</v>
      </c>
      <c r="G12" s="74">
        <f>$C12*'KV tinklas'!E13</f>
        <v>0</v>
      </c>
      <c r="H12" s="74">
        <f>$C12*'KV tinklas'!F13</f>
        <v>0</v>
      </c>
      <c r="I12" s="74">
        <f>$C12*'KV tinklas'!G13</f>
        <v>0</v>
      </c>
      <c r="J12" s="75">
        <f t="shared" si="2"/>
        <v>0</v>
      </c>
      <c r="K12" s="74">
        <f>$C12*'KV tinklas'!I13</f>
        <v>0</v>
      </c>
      <c r="L12" s="74">
        <f>$C12*'KV tinklas'!J13</f>
        <v>0</v>
      </c>
      <c r="M12" s="74">
        <f>$C12*'KV tinklas'!K13</f>
        <v>0</v>
      </c>
      <c r="N12" s="74">
        <f>$C12*'KV tinklas'!L13</f>
        <v>0</v>
      </c>
      <c r="O12" s="70"/>
      <c r="P12" s="23">
        <f t="shared" si="7"/>
        <v>1.0048000000000001E-3</v>
      </c>
      <c r="Q12" s="61">
        <f t="shared" si="3"/>
        <v>0</v>
      </c>
      <c r="R12" s="61">
        <f t="shared" si="4"/>
        <v>0</v>
      </c>
      <c r="S12" s="41">
        <f>$P12*'KV tinklas'!D13*2</f>
        <v>0</v>
      </c>
      <c r="T12" s="41">
        <f>$P12*'KV tinklas'!E13*2</f>
        <v>0</v>
      </c>
      <c r="U12" s="41">
        <f>$P12*'KV tinklas'!F13*2</f>
        <v>0</v>
      </c>
      <c r="V12" s="41">
        <f>$P12*'KV tinklas'!G13*2</f>
        <v>0</v>
      </c>
      <c r="W12" s="61">
        <f t="shared" si="5"/>
        <v>0</v>
      </c>
      <c r="X12" s="41">
        <f>$P12*'KV tinklas'!I13*2</f>
        <v>0</v>
      </c>
      <c r="Y12" s="41">
        <f>$P12*'KV tinklas'!J13*2</f>
        <v>0</v>
      </c>
      <c r="Z12" s="41">
        <f>$P12*'KV tinklas'!K13*2</f>
        <v>0</v>
      </c>
      <c r="AA12" s="41">
        <f>$P12*'KV tinklas'!L13*2</f>
        <v>0</v>
      </c>
    </row>
    <row r="13" spans="1:27" x14ac:dyDescent="0.2">
      <c r="A13" s="54">
        <v>50</v>
      </c>
      <c r="B13" s="54">
        <v>32</v>
      </c>
      <c r="C13" s="23">
        <f t="shared" si="6"/>
        <v>0.25748000000000004</v>
      </c>
      <c r="D13" s="75">
        <f t="shared" si="0"/>
        <v>0</v>
      </c>
      <c r="E13" s="75">
        <f t="shared" si="1"/>
        <v>0</v>
      </c>
      <c r="F13" s="74">
        <f>$C13*'KV tinklas'!D14</f>
        <v>0</v>
      </c>
      <c r="G13" s="74">
        <f>$C13*'KV tinklas'!E14</f>
        <v>0</v>
      </c>
      <c r="H13" s="74">
        <f>$C13*'KV tinklas'!F14</f>
        <v>0</v>
      </c>
      <c r="I13" s="74">
        <f>$C13*'KV tinklas'!G14</f>
        <v>0</v>
      </c>
      <c r="J13" s="75">
        <f t="shared" si="2"/>
        <v>0</v>
      </c>
      <c r="K13" s="74">
        <f>$C13*'KV tinklas'!I14</f>
        <v>0</v>
      </c>
      <c r="L13" s="74">
        <f>$C13*'KV tinklas'!J14</f>
        <v>0</v>
      </c>
      <c r="M13" s="74">
        <f>$C13*'KV tinklas'!K14</f>
        <v>0</v>
      </c>
      <c r="N13" s="74">
        <f>$C13*'KV tinklas'!L14</f>
        <v>0</v>
      </c>
      <c r="O13" s="70"/>
      <c r="P13" s="23">
        <f t="shared" si="7"/>
        <v>1.256E-3</v>
      </c>
      <c r="Q13" s="61">
        <f t="shared" si="3"/>
        <v>0</v>
      </c>
      <c r="R13" s="61">
        <f t="shared" si="4"/>
        <v>0</v>
      </c>
      <c r="S13" s="41">
        <f>$P13*'KV tinklas'!D14*2</f>
        <v>0</v>
      </c>
      <c r="T13" s="41">
        <f>$P13*'KV tinklas'!E14*2</f>
        <v>0</v>
      </c>
      <c r="U13" s="41">
        <f>$P13*'KV tinklas'!F14*2</f>
        <v>0</v>
      </c>
      <c r="V13" s="41">
        <f>$P13*'KV tinklas'!G14*2</f>
        <v>0</v>
      </c>
      <c r="W13" s="61">
        <f t="shared" si="5"/>
        <v>0</v>
      </c>
      <c r="X13" s="41">
        <f>$P13*'KV tinklas'!I14*2</f>
        <v>0</v>
      </c>
      <c r="Y13" s="41">
        <f>$P13*'KV tinklas'!J14*2</f>
        <v>0</v>
      </c>
      <c r="Z13" s="41">
        <f>$P13*'KV tinklas'!K14*2</f>
        <v>0</v>
      </c>
      <c r="AA13" s="41">
        <f>$P13*'KV tinklas'!L14*2</f>
        <v>0</v>
      </c>
    </row>
    <row r="14" spans="1:27" x14ac:dyDescent="0.2">
      <c r="A14" s="54">
        <v>65</v>
      </c>
      <c r="B14" s="54">
        <v>40</v>
      </c>
      <c r="C14" s="23">
        <f t="shared" si="6"/>
        <v>0.32969999999999999</v>
      </c>
      <c r="D14" s="75">
        <f t="shared" si="0"/>
        <v>0</v>
      </c>
      <c r="E14" s="75">
        <f t="shared" si="1"/>
        <v>0</v>
      </c>
      <c r="F14" s="74">
        <f>$C14*'KV tinklas'!D15</f>
        <v>0</v>
      </c>
      <c r="G14" s="74">
        <f>$C14*'KV tinklas'!E15</f>
        <v>0</v>
      </c>
      <c r="H14" s="74">
        <f>$C14*'KV tinklas'!F15</f>
        <v>0</v>
      </c>
      <c r="I14" s="74">
        <f>$C14*'KV tinklas'!G15</f>
        <v>0</v>
      </c>
      <c r="J14" s="75">
        <f t="shared" si="2"/>
        <v>0</v>
      </c>
      <c r="K14" s="74">
        <f>$C14*'KV tinklas'!I15</f>
        <v>0</v>
      </c>
      <c r="L14" s="74">
        <f>$C14*'KV tinklas'!J15</f>
        <v>0</v>
      </c>
      <c r="M14" s="74">
        <f>$C14*'KV tinklas'!K15</f>
        <v>0</v>
      </c>
      <c r="N14" s="74">
        <f>$C14*'KV tinklas'!L15</f>
        <v>0</v>
      </c>
      <c r="O14" s="70"/>
      <c r="P14" s="23">
        <f t="shared" si="7"/>
        <v>2.0409999999999998E-3</v>
      </c>
      <c r="Q14" s="61">
        <f t="shared" si="3"/>
        <v>0</v>
      </c>
      <c r="R14" s="61">
        <f t="shared" si="4"/>
        <v>0</v>
      </c>
      <c r="S14" s="41">
        <f>$P14*'KV tinklas'!D15*2</f>
        <v>0</v>
      </c>
      <c r="T14" s="41">
        <f>$P14*'KV tinklas'!E15*2</f>
        <v>0</v>
      </c>
      <c r="U14" s="41">
        <f>$P14*'KV tinklas'!F15*2</f>
        <v>0</v>
      </c>
      <c r="V14" s="41">
        <f>$P14*'KV tinklas'!G15*2</f>
        <v>0</v>
      </c>
      <c r="W14" s="61">
        <f t="shared" si="5"/>
        <v>0</v>
      </c>
      <c r="X14" s="41">
        <f>$P14*'KV tinklas'!I15*2</f>
        <v>0</v>
      </c>
      <c r="Y14" s="41">
        <f>$P14*'KV tinklas'!J15*2</f>
        <v>0</v>
      </c>
      <c r="Z14" s="41">
        <f>$P14*'KV tinklas'!K15*2</f>
        <v>0</v>
      </c>
      <c r="AA14" s="41">
        <f>$P14*'KV tinklas'!L15*2</f>
        <v>0</v>
      </c>
    </row>
    <row r="15" spans="1:27" x14ac:dyDescent="0.2">
      <c r="A15" s="54">
        <v>65</v>
      </c>
      <c r="B15" s="54">
        <v>50</v>
      </c>
      <c r="C15" s="23">
        <f t="shared" si="6"/>
        <v>0.36110000000000003</v>
      </c>
      <c r="D15" s="75">
        <f t="shared" si="0"/>
        <v>0</v>
      </c>
      <c r="E15" s="75">
        <f t="shared" si="1"/>
        <v>0</v>
      </c>
      <c r="F15" s="74">
        <f>$C15*'KV tinklas'!D16</f>
        <v>0</v>
      </c>
      <c r="G15" s="74">
        <f>$C15*'KV tinklas'!E16</f>
        <v>0</v>
      </c>
      <c r="H15" s="74">
        <f>$C15*'KV tinklas'!F16</f>
        <v>0</v>
      </c>
      <c r="I15" s="74">
        <f>$C15*'KV tinklas'!G16</f>
        <v>0</v>
      </c>
      <c r="J15" s="75">
        <f t="shared" si="2"/>
        <v>0</v>
      </c>
      <c r="K15" s="74">
        <f>$C15*'KV tinklas'!I16</f>
        <v>0</v>
      </c>
      <c r="L15" s="74">
        <f>$C15*'KV tinklas'!J16</f>
        <v>0</v>
      </c>
      <c r="M15" s="74">
        <f>$C15*'KV tinklas'!K16</f>
        <v>0</v>
      </c>
      <c r="N15" s="74">
        <f>$C15*'KV tinklas'!L16</f>
        <v>0</v>
      </c>
      <c r="O15" s="70"/>
      <c r="P15" s="23">
        <f t="shared" si="7"/>
        <v>2.5512500000000001E-3</v>
      </c>
      <c r="Q15" s="61">
        <f t="shared" si="3"/>
        <v>0</v>
      </c>
      <c r="R15" s="61">
        <f t="shared" si="4"/>
        <v>0</v>
      </c>
      <c r="S15" s="41">
        <f>$P15*'KV tinklas'!D16*2</f>
        <v>0</v>
      </c>
      <c r="T15" s="41">
        <f>$P15*'KV tinklas'!E16*2</f>
        <v>0</v>
      </c>
      <c r="U15" s="41">
        <f>$P15*'KV tinklas'!F16*2</f>
        <v>0</v>
      </c>
      <c r="V15" s="41">
        <f>$P15*'KV tinklas'!G16*2</f>
        <v>0</v>
      </c>
      <c r="W15" s="61">
        <f t="shared" si="5"/>
        <v>0</v>
      </c>
      <c r="X15" s="41">
        <f>$P15*'KV tinklas'!I16*2</f>
        <v>0</v>
      </c>
      <c r="Y15" s="41">
        <f>$P15*'KV tinklas'!J16*2</f>
        <v>0</v>
      </c>
      <c r="Z15" s="41">
        <f>$P15*'KV tinklas'!K16*2</f>
        <v>0</v>
      </c>
      <c r="AA15" s="41">
        <f>$P15*'KV tinklas'!L16*2</f>
        <v>0</v>
      </c>
    </row>
    <row r="16" spans="1:27" x14ac:dyDescent="0.2">
      <c r="A16" s="54">
        <v>80</v>
      </c>
      <c r="B16" s="54">
        <v>50</v>
      </c>
      <c r="C16" s="23">
        <f t="shared" si="6"/>
        <v>0.40820000000000001</v>
      </c>
      <c r="D16" s="75">
        <f t="shared" si="0"/>
        <v>0</v>
      </c>
      <c r="E16" s="75">
        <f t="shared" si="1"/>
        <v>0</v>
      </c>
      <c r="F16" s="74">
        <f>$C16*'KV tinklas'!D17</f>
        <v>0</v>
      </c>
      <c r="G16" s="74">
        <f>$C16*'KV tinklas'!E17</f>
        <v>0</v>
      </c>
      <c r="H16" s="74">
        <f>$C16*'KV tinklas'!F17</f>
        <v>0</v>
      </c>
      <c r="I16" s="74">
        <f>$C16*'KV tinklas'!G17</f>
        <v>0</v>
      </c>
      <c r="J16" s="75">
        <f t="shared" si="2"/>
        <v>0</v>
      </c>
      <c r="K16" s="74">
        <f>$C16*'KV tinklas'!I17</f>
        <v>0</v>
      </c>
      <c r="L16" s="74">
        <f>$C16*'KV tinklas'!J17</f>
        <v>0</v>
      </c>
      <c r="M16" s="74">
        <f>$C16*'KV tinklas'!K17</f>
        <v>0</v>
      </c>
      <c r="N16" s="74">
        <f>$C16*'KV tinklas'!L17</f>
        <v>0</v>
      </c>
      <c r="O16" s="70"/>
      <c r="P16" s="23">
        <f t="shared" si="7"/>
        <v>3.14E-3</v>
      </c>
      <c r="Q16" s="61">
        <f t="shared" si="3"/>
        <v>0</v>
      </c>
      <c r="R16" s="61">
        <f t="shared" si="4"/>
        <v>0</v>
      </c>
      <c r="S16" s="41">
        <f>$P16*'KV tinklas'!D17*2</f>
        <v>0</v>
      </c>
      <c r="T16" s="41">
        <f>$P16*'KV tinklas'!E17*2</f>
        <v>0</v>
      </c>
      <c r="U16" s="41">
        <f>$P16*'KV tinklas'!F17*2</f>
        <v>0</v>
      </c>
      <c r="V16" s="41">
        <f>$P16*'KV tinklas'!G17*2</f>
        <v>0</v>
      </c>
      <c r="W16" s="61">
        <f t="shared" si="5"/>
        <v>0</v>
      </c>
      <c r="X16" s="41">
        <f>$P16*'KV tinklas'!I17*2</f>
        <v>0</v>
      </c>
      <c r="Y16" s="41">
        <f>$P16*'KV tinklas'!J17*2</f>
        <v>0</v>
      </c>
      <c r="Z16" s="41">
        <f>$P16*'KV tinklas'!K17*2</f>
        <v>0</v>
      </c>
      <c r="AA16" s="41">
        <f>$P16*'KV tinklas'!L17*2</f>
        <v>0</v>
      </c>
    </row>
    <row r="17" spans="1:27" x14ac:dyDescent="0.2">
      <c r="A17" s="54">
        <v>100</v>
      </c>
      <c r="B17" s="54">
        <v>65</v>
      </c>
      <c r="C17" s="23">
        <f t="shared" si="6"/>
        <v>0.5181</v>
      </c>
      <c r="D17" s="75">
        <f t="shared" si="0"/>
        <v>0</v>
      </c>
      <c r="E17" s="75">
        <f t="shared" si="1"/>
        <v>0</v>
      </c>
      <c r="F17" s="74">
        <f>$C17*'KV tinklas'!D18</f>
        <v>0</v>
      </c>
      <c r="G17" s="74">
        <f>$C17*'KV tinklas'!E18</f>
        <v>0</v>
      </c>
      <c r="H17" s="74">
        <f>$C17*'KV tinklas'!F18</f>
        <v>0</v>
      </c>
      <c r="I17" s="74">
        <f>$C17*'KV tinklas'!G18</f>
        <v>0</v>
      </c>
      <c r="J17" s="75">
        <f t="shared" si="2"/>
        <v>0</v>
      </c>
      <c r="K17" s="74">
        <f>$C17*'KV tinklas'!I18</f>
        <v>0</v>
      </c>
      <c r="L17" s="74">
        <f>$C17*'KV tinklas'!J18</f>
        <v>0</v>
      </c>
      <c r="M17" s="74">
        <f>$C17*'KV tinklas'!K18</f>
        <v>0</v>
      </c>
      <c r="N17" s="74">
        <f>$C17*'KV tinklas'!L18</f>
        <v>0</v>
      </c>
      <c r="O17" s="70"/>
      <c r="P17" s="23">
        <f t="shared" si="7"/>
        <v>5.1025000000000003E-3</v>
      </c>
      <c r="Q17" s="61">
        <f t="shared" si="3"/>
        <v>0</v>
      </c>
      <c r="R17" s="61">
        <f t="shared" si="4"/>
        <v>0</v>
      </c>
      <c r="S17" s="41">
        <f>$P17*'KV tinklas'!D18*2</f>
        <v>0</v>
      </c>
      <c r="T17" s="41">
        <f>$P17*'KV tinklas'!E18*2</f>
        <v>0</v>
      </c>
      <c r="U17" s="41">
        <f>$P17*'KV tinklas'!F18*2</f>
        <v>0</v>
      </c>
      <c r="V17" s="41">
        <f>$P17*'KV tinklas'!G18*2</f>
        <v>0</v>
      </c>
      <c r="W17" s="61">
        <f t="shared" si="5"/>
        <v>0</v>
      </c>
      <c r="X17" s="41">
        <f>$P17*'KV tinklas'!I18*2</f>
        <v>0</v>
      </c>
      <c r="Y17" s="41">
        <f>$P17*'KV tinklas'!J18*2</f>
        <v>0</v>
      </c>
      <c r="Z17" s="41">
        <f>$P17*'KV tinklas'!K18*2</f>
        <v>0</v>
      </c>
      <c r="AA17" s="41">
        <f>$P17*'KV tinklas'!L18*2</f>
        <v>0</v>
      </c>
    </row>
    <row r="18" spans="1:27" x14ac:dyDescent="0.2">
      <c r="A18" s="54">
        <v>100</v>
      </c>
      <c r="B18" s="54">
        <v>80</v>
      </c>
      <c r="C18" s="23">
        <f t="shared" si="6"/>
        <v>0.56520000000000004</v>
      </c>
      <c r="D18" s="75">
        <f t="shared" si="0"/>
        <v>0</v>
      </c>
      <c r="E18" s="75">
        <f t="shared" si="1"/>
        <v>0</v>
      </c>
      <c r="F18" s="74">
        <f>$C18*'KV tinklas'!D19</f>
        <v>0</v>
      </c>
      <c r="G18" s="74">
        <f>$C18*'KV tinklas'!E19</f>
        <v>0</v>
      </c>
      <c r="H18" s="74">
        <f>$C18*'KV tinklas'!F19</f>
        <v>0</v>
      </c>
      <c r="I18" s="74">
        <f>$C18*'KV tinklas'!G19</f>
        <v>0</v>
      </c>
      <c r="J18" s="75">
        <f t="shared" si="2"/>
        <v>0</v>
      </c>
      <c r="K18" s="74">
        <f>$C18*'KV tinklas'!I19</f>
        <v>0</v>
      </c>
      <c r="L18" s="74">
        <f>$C18*'KV tinklas'!J19</f>
        <v>0</v>
      </c>
      <c r="M18" s="74">
        <f>$C18*'KV tinklas'!K19</f>
        <v>0</v>
      </c>
      <c r="N18" s="74">
        <f>$C18*'KV tinklas'!L19</f>
        <v>0</v>
      </c>
      <c r="O18" s="70"/>
      <c r="P18" s="23">
        <f t="shared" si="7"/>
        <v>6.28E-3</v>
      </c>
      <c r="Q18" s="61">
        <f t="shared" si="3"/>
        <v>0</v>
      </c>
      <c r="R18" s="61">
        <f t="shared" si="4"/>
        <v>0</v>
      </c>
      <c r="S18" s="41">
        <f>$P18*'KV tinklas'!D19*2</f>
        <v>0</v>
      </c>
      <c r="T18" s="41">
        <f>$P18*'KV tinklas'!E19*2</f>
        <v>0</v>
      </c>
      <c r="U18" s="41">
        <f>$P18*'KV tinklas'!F19*2</f>
        <v>0</v>
      </c>
      <c r="V18" s="41">
        <f>$P18*'KV tinklas'!G19*2</f>
        <v>0</v>
      </c>
      <c r="W18" s="61">
        <f t="shared" si="5"/>
        <v>0</v>
      </c>
      <c r="X18" s="41">
        <f>$P18*'KV tinklas'!I19*2</f>
        <v>0</v>
      </c>
      <c r="Y18" s="41">
        <f>$P18*'KV tinklas'!J19*2</f>
        <v>0</v>
      </c>
      <c r="Z18" s="41">
        <f>$P18*'KV tinklas'!K19*2</f>
        <v>0</v>
      </c>
      <c r="AA18" s="41">
        <f>$P18*'KV tinklas'!L19*2</f>
        <v>0</v>
      </c>
    </row>
    <row r="19" spans="1:27" x14ac:dyDescent="0.2">
      <c r="A19" s="54">
        <v>125</v>
      </c>
      <c r="B19" s="54">
        <v>80</v>
      </c>
      <c r="C19" s="23">
        <f t="shared" si="6"/>
        <v>0.64370000000000005</v>
      </c>
      <c r="D19" s="75">
        <f t="shared" si="0"/>
        <v>0</v>
      </c>
      <c r="E19" s="75">
        <f t="shared" si="1"/>
        <v>0</v>
      </c>
      <c r="F19" s="74">
        <f>$C19*'KV tinklas'!D20</f>
        <v>0</v>
      </c>
      <c r="G19" s="74">
        <f>$C19*'KV tinklas'!E20</f>
        <v>0</v>
      </c>
      <c r="H19" s="74">
        <f>$C19*'KV tinklas'!F20</f>
        <v>0</v>
      </c>
      <c r="I19" s="74">
        <f>$C19*'KV tinklas'!G20</f>
        <v>0</v>
      </c>
      <c r="J19" s="75">
        <f t="shared" si="2"/>
        <v>0</v>
      </c>
      <c r="K19" s="74">
        <f>$C19*'KV tinklas'!I20</f>
        <v>0</v>
      </c>
      <c r="L19" s="74">
        <f>$C19*'KV tinklas'!J20</f>
        <v>0</v>
      </c>
      <c r="M19" s="74">
        <f>$C19*'KV tinklas'!K20</f>
        <v>0</v>
      </c>
      <c r="N19" s="74">
        <f>$C19*'KV tinklas'!L20</f>
        <v>0</v>
      </c>
      <c r="O19" s="70"/>
      <c r="P19" s="23">
        <f t="shared" si="7"/>
        <v>7.8499999999999993E-3</v>
      </c>
      <c r="Q19" s="61">
        <f t="shared" si="3"/>
        <v>0</v>
      </c>
      <c r="R19" s="61">
        <f t="shared" si="4"/>
        <v>0</v>
      </c>
      <c r="S19" s="41">
        <f>$P19*'KV tinklas'!D20*2</f>
        <v>0</v>
      </c>
      <c r="T19" s="41">
        <f>$P19*'KV tinklas'!E20*2</f>
        <v>0</v>
      </c>
      <c r="U19" s="41">
        <f>$P19*'KV tinklas'!F20*2</f>
        <v>0</v>
      </c>
      <c r="V19" s="41">
        <f>$P19*'KV tinklas'!G20*2</f>
        <v>0</v>
      </c>
      <c r="W19" s="61">
        <f t="shared" si="5"/>
        <v>0</v>
      </c>
      <c r="X19" s="41">
        <f>$P19*'KV tinklas'!I20*2</f>
        <v>0</v>
      </c>
      <c r="Y19" s="41">
        <f>$P19*'KV tinklas'!J20*2</f>
        <v>0</v>
      </c>
      <c r="Z19" s="41">
        <f>$P19*'KV tinklas'!K20*2</f>
        <v>0</v>
      </c>
      <c r="AA19" s="41">
        <f>$P19*'KV tinklas'!L20*2</f>
        <v>0</v>
      </c>
    </row>
    <row r="20" spans="1:27" x14ac:dyDescent="0.2">
      <c r="A20" s="54">
        <v>150</v>
      </c>
      <c r="B20" s="54">
        <v>100</v>
      </c>
      <c r="C20" s="23">
        <f t="shared" si="6"/>
        <v>0.78500000000000003</v>
      </c>
      <c r="D20" s="75">
        <f t="shared" si="0"/>
        <v>0</v>
      </c>
      <c r="E20" s="75">
        <f t="shared" si="1"/>
        <v>0</v>
      </c>
      <c r="F20" s="74">
        <f>$C20*'KV tinklas'!D21</f>
        <v>0</v>
      </c>
      <c r="G20" s="74">
        <f>$C20*'KV tinklas'!E21</f>
        <v>0</v>
      </c>
      <c r="H20" s="74">
        <f>$C20*'KV tinklas'!F21</f>
        <v>0</v>
      </c>
      <c r="I20" s="74">
        <f>$C20*'KV tinklas'!G21</f>
        <v>0</v>
      </c>
      <c r="J20" s="75">
        <f t="shared" si="2"/>
        <v>0</v>
      </c>
      <c r="K20" s="74">
        <f>$C20*'KV tinklas'!I21</f>
        <v>0</v>
      </c>
      <c r="L20" s="74">
        <f>$C20*'KV tinklas'!J21</f>
        <v>0</v>
      </c>
      <c r="M20" s="74">
        <f>$C20*'KV tinklas'!K21</f>
        <v>0</v>
      </c>
      <c r="N20" s="74">
        <f>$C20*'KV tinklas'!L21</f>
        <v>0</v>
      </c>
      <c r="O20" s="70"/>
      <c r="P20" s="23">
        <f t="shared" si="7"/>
        <v>1.1775000000000001E-2</v>
      </c>
      <c r="Q20" s="61">
        <f t="shared" si="3"/>
        <v>0</v>
      </c>
      <c r="R20" s="61">
        <f t="shared" si="4"/>
        <v>0</v>
      </c>
      <c r="S20" s="41">
        <f>$P20*'KV tinklas'!D21*2</f>
        <v>0</v>
      </c>
      <c r="T20" s="41">
        <f>$P20*'KV tinklas'!E21*2</f>
        <v>0</v>
      </c>
      <c r="U20" s="41">
        <f>$P20*'KV tinklas'!F21*2</f>
        <v>0</v>
      </c>
      <c r="V20" s="41">
        <f>$P20*'KV tinklas'!G21*2</f>
        <v>0</v>
      </c>
      <c r="W20" s="61">
        <f t="shared" si="5"/>
        <v>0</v>
      </c>
      <c r="X20" s="41">
        <f>$P20*'KV tinklas'!I21*2</f>
        <v>0</v>
      </c>
      <c r="Y20" s="41">
        <f>$P20*'KV tinklas'!J21*2</f>
        <v>0</v>
      </c>
      <c r="Z20" s="41">
        <f>$P20*'KV tinklas'!K21*2</f>
        <v>0</v>
      </c>
      <c r="AA20" s="41">
        <f>$P20*'KV tinklas'!L21*2</f>
        <v>0</v>
      </c>
    </row>
    <row r="21" spans="1:27" x14ac:dyDescent="0.2">
      <c r="A21" s="54">
        <v>200</v>
      </c>
      <c r="B21" s="54">
        <v>100</v>
      </c>
      <c r="C21" s="23">
        <f t="shared" si="6"/>
        <v>0.94199999999999995</v>
      </c>
      <c r="D21" s="75">
        <f t="shared" si="0"/>
        <v>0</v>
      </c>
      <c r="E21" s="75">
        <f t="shared" si="1"/>
        <v>0</v>
      </c>
      <c r="F21" s="74">
        <f>$C21*'KV tinklas'!D22</f>
        <v>0</v>
      </c>
      <c r="G21" s="74">
        <f>$C21*'KV tinklas'!E22</f>
        <v>0</v>
      </c>
      <c r="H21" s="74">
        <f>$C21*'KV tinklas'!F22</f>
        <v>0</v>
      </c>
      <c r="I21" s="74">
        <f>$C21*'KV tinklas'!G22</f>
        <v>0</v>
      </c>
      <c r="J21" s="75">
        <f t="shared" si="2"/>
        <v>0</v>
      </c>
      <c r="K21" s="74">
        <f>$C21*'KV tinklas'!I22</f>
        <v>0</v>
      </c>
      <c r="L21" s="74">
        <f>$C21*'KV tinklas'!J22</f>
        <v>0</v>
      </c>
      <c r="M21" s="74">
        <f>$C21*'KV tinklas'!K22</f>
        <v>0</v>
      </c>
      <c r="N21" s="74">
        <f>$C21*'KV tinklas'!L22</f>
        <v>0</v>
      </c>
      <c r="O21" s="70"/>
      <c r="P21" s="23">
        <f t="shared" si="7"/>
        <v>1.5699999999999999E-2</v>
      </c>
      <c r="Q21" s="61">
        <f t="shared" si="3"/>
        <v>0</v>
      </c>
      <c r="R21" s="61">
        <f t="shared" si="4"/>
        <v>0</v>
      </c>
      <c r="S21" s="41">
        <f>$P21*'KV tinklas'!D22*2</f>
        <v>0</v>
      </c>
      <c r="T21" s="41">
        <f>$P21*'KV tinklas'!E22*2</f>
        <v>0</v>
      </c>
      <c r="U21" s="41">
        <f>$P21*'KV tinklas'!F22*2</f>
        <v>0</v>
      </c>
      <c r="V21" s="41">
        <f>$P21*'KV tinklas'!G22*2</f>
        <v>0</v>
      </c>
      <c r="W21" s="61">
        <f t="shared" si="5"/>
        <v>0</v>
      </c>
      <c r="X21" s="41">
        <f>$P21*'KV tinklas'!I22*2</f>
        <v>0</v>
      </c>
      <c r="Y21" s="41">
        <f>$P21*'KV tinklas'!J22*2</f>
        <v>0</v>
      </c>
      <c r="Z21" s="41">
        <f>$P21*'KV tinklas'!K22*2</f>
        <v>0</v>
      </c>
      <c r="AA21" s="41">
        <f>$P21*'KV tinklas'!L22*2</f>
        <v>0</v>
      </c>
    </row>
    <row r="22" spans="1:27" x14ac:dyDescent="0.2">
      <c r="A22" s="54">
        <v>250</v>
      </c>
      <c r="B22" s="54">
        <v>100</v>
      </c>
      <c r="C22" s="23">
        <f t="shared" si="6"/>
        <v>1.099</v>
      </c>
      <c r="D22" s="75">
        <f t="shared" si="0"/>
        <v>0</v>
      </c>
      <c r="E22" s="75">
        <f t="shared" si="1"/>
        <v>0</v>
      </c>
      <c r="F22" s="74">
        <f>$C22*'KV tinklas'!D23</f>
        <v>0</v>
      </c>
      <c r="G22" s="74">
        <f>$C22*'KV tinklas'!E23</f>
        <v>0</v>
      </c>
      <c r="H22" s="74">
        <f>$C22*'KV tinklas'!F23</f>
        <v>0</v>
      </c>
      <c r="I22" s="74">
        <f>$C22*'KV tinklas'!G23</f>
        <v>0</v>
      </c>
      <c r="J22" s="75">
        <f t="shared" si="2"/>
        <v>0</v>
      </c>
      <c r="K22" s="74">
        <f>$C22*'KV tinklas'!I23</f>
        <v>0</v>
      </c>
      <c r="L22" s="74">
        <f>$C22*'KV tinklas'!J23</f>
        <v>0</v>
      </c>
      <c r="M22" s="74">
        <f>$C22*'KV tinklas'!K23</f>
        <v>0</v>
      </c>
      <c r="N22" s="74">
        <f>$C22*'KV tinklas'!L23</f>
        <v>0</v>
      </c>
      <c r="O22" s="70"/>
      <c r="P22" s="23">
        <f t="shared" si="7"/>
        <v>1.9625E-2</v>
      </c>
      <c r="Q22" s="61">
        <f t="shared" si="3"/>
        <v>0</v>
      </c>
      <c r="R22" s="61">
        <f t="shared" si="4"/>
        <v>0</v>
      </c>
      <c r="S22" s="41">
        <f>$P22*'KV tinklas'!D23*2</f>
        <v>0</v>
      </c>
      <c r="T22" s="41">
        <f>$P22*'KV tinklas'!E23*2</f>
        <v>0</v>
      </c>
      <c r="U22" s="41">
        <f>$P22*'KV tinklas'!F23*2</f>
        <v>0</v>
      </c>
      <c r="V22" s="41">
        <f>$P22*'KV tinklas'!G23*2</f>
        <v>0</v>
      </c>
      <c r="W22" s="61">
        <f t="shared" si="5"/>
        <v>0</v>
      </c>
      <c r="X22" s="41">
        <f>$P22*'KV tinklas'!I23*2</f>
        <v>0</v>
      </c>
      <c r="Y22" s="41">
        <f>$P22*'KV tinklas'!J23*2</f>
        <v>0</v>
      </c>
      <c r="Z22" s="41">
        <f>$P22*'KV tinklas'!K23*2</f>
        <v>0</v>
      </c>
      <c r="AA22" s="41">
        <f>$P22*'KV tinklas'!L23*2</f>
        <v>0</v>
      </c>
    </row>
    <row r="23" spans="1:27" x14ac:dyDescent="0.2">
      <c r="A23" s="57" t="s">
        <v>89</v>
      </c>
      <c r="B23" s="57" t="s">
        <v>89</v>
      </c>
      <c r="C23" s="57" t="s">
        <v>89</v>
      </c>
      <c r="D23" s="74">
        <f t="shared" ref="D23:N23" si="8">SUM(D8:D22)</f>
        <v>0</v>
      </c>
      <c r="E23" s="74">
        <f t="shared" si="8"/>
        <v>0</v>
      </c>
      <c r="F23" s="74">
        <f t="shared" si="8"/>
        <v>0</v>
      </c>
      <c r="G23" s="74">
        <f t="shared" si="8"/>
        <v>0</v>
      </c>
      <c r="H23" s="74">
        <f t="shared" si="8"/>
        <v>0</v>
      </c>
      <c r="I23" s="74">
        <f t="shared" si="8"/>
        <v>0</v>
      </c>
      <c r="J23" s="74">
        <f t="shared" si="8"/>
        <v>0</v>
      </c>
      <c r="K23" s="74">
        <f t="shared" si="8"/>
        <v>0</v>
      </c>
      <c r="L23" s="74">
        <f t="shared" si="8"/>
        <v>0</v>
      </c>
      <c r="M23" s="74">
        <f t="shared" si="8"/>
        <v>0</v>
      </c>
      <c r="N23" s="74">
        <f t="shared" si="8"/>
        <v>0</v>
      </c>
      <c r="O23" s="71"/>
      <c r="P23" s="57" t="s">
        <v>89</v>
      </c>
      <c r="Q23" s="41">
        <f t="shared" ref="Q23:AA23" si="9">SUM(Q8:Q22)</f>
        <v>0</v>
      </c>
      <c r="R23" s="41">
        <f t="shared" si="9"/>
        <v>0</v>
      </c>
      <c r="S23" s="41">
        <f t="shared" si="9"/>
        <v>0</v>
      </c>
      <c r="T23" s="41">
        <f t="shared" si="9"/>
        <v>0</v>
      </c>
      <c r="U23" s="41">
        <f t="shared" si="9"/>
        <v>0</v>
      </c>
      <c r="V23" s="41">
        <f t="shared" si="9"/>
        <v>0</v>
      </c>
      <c r="W23" s="41">
        <f t="shared" si="9"/>
        <v>0</v>
      </c>
      <c r="X23" s="41">
        <f t="shared" si="9"/>
        <v>0</v>
      </c>
      <c r="Y23" s="41">
        <f t="shared" si="9"/>
        <v>0</v>
      </c>
      <c r="Z23" s="41">
        <f t="shared" si="9"/>
        <v>0</v>
      </c>
      <c r="AA23" s="41">
        <f t="shared" si="9"/>
        <v>0</v>
      </c>
    </row>
    <row r="24" spans="1:27" x14ac:dyDescent="0.2">
      <c r="A24" s="55"/>
      <c r="B24" s="55"/>
      <c r="C24" s="55"/>
      <c r="O24" s="55"/>
      <c r="P24" s="55"/>
    </row>
    <row r="29" spans="1:27" x14ac:dyDescent="0.2">
      <c r="A29" s="51" t="s">
        <v>120</v>
      </c>
      <c r="B29" s="51" t="s">
        <v>121</v>
      </c>
      <c r="C29" s="43" t="s">
        <v>115</v>
      </c>
      <c r="D29" s="44" t="s">
        <v>115</v>
      </c>
      <c r="E29" s="554" t="s">
        <v>112</v>
      </c>
      <c r="F29" s="552"/>
      <c r="G29" s="552"/>
      <c r="H29" s="552"/>
      <c r="I29" s="552"/>
      <c r="J29" s="551" t="s">
        <v>113</v>
      </c>
      <c r="K29" s="552"/>
      <c r="L29" s="552"/>
      <c r="M29" s="552"/>
      <c r="N29" s="553"/>
      <c r="O29" s="73"/>
      <c r="P29" s="43"/>
      <c r="Q29" s="43"/>
      <c r="R29" s="555" t="s">
        <v>112</v>
      </c>
      <c r="S29" s="556"/>
      <c r="T29" s="556"/>
      <c r="U29" s="556"/>
      <c r="V29" s="556"/>
      <c r="W29" s="555" t="s">
        <v>113</v>
      </c>
      <c r="X29" s="556"/>
      <c r="Y29" s="556"/>
      <c r="Z29" s="556"/>
      <c r="AA29" s="557"/>
    </row>
    <row r="30" spans="1:27" x14ac:dyDescent="0.2">
      <c r="A30" s="52" t="s">
        <v>82</v>
      </c>
      <c r="B30" s="52" t="s">
        <v>82</v>
      </c>
      <c r="C30" s="45" t="s">
        <v>118</v>
      </c>
      <c r="D30" s="46" t="s">
        <v>117</v>
      </c>
      <c r="E30" s="58" t="s">
        <v>83</v>
      </c>
      <c r="F30" s="46" t="s">
        <v>132</v>
      </c>
      <c r="G30" s="46" t="s">
        <v>133</v>
      </c>
      <c r="H30" s="46" t="s">
        <v>134</v>
      </c>
      <c r="I30" s="47" t="s">
        <v>135</v>
      </c>
      <c r="J30" s="58" t="s">
        <v>83</v>
      </c>
      <c r="K30" s="46" t="s">
        <v>132</v>
      </c>
      <c r="L30" s="46" t="s">
        <v>133</v>
      </c>
      <c r="M30" s="46" t="s">
        <v>134</v>
      </c>
      <c r="N30" s="66" t="s">
        <v>135</v>
      </c>
      <c r="O30" s="73"/>
      <c r="P30" s="59" t="s">
        <v>90</v>
      </c>
      <c r="Q30" s="45" t="s">
        <v>83</v>
      </c>
      <c r="R30" s="58" t="s">
        <v>83</v>
      </c>
      <c r="S30" s="46" t="s">
        <v>132</v>
      </c>
      <c r="T30" s="46" t="s">
        <v>133</v>
      </c>
      <c r="U30" s="46" t="s">
        <v>134</v>
      </c>
      <c r="V30" s="47" t="s">
        <v>135</v>
      </c>
      <c r="W30" s="45" t="s">
        <v>83</v>
      </c>
      <c r="X30" s="46" t="s">
        <v>132</v>
      </c>
      <c r="Y30" s="46" t="s">
        <v>133</v>
      </c>
      <c r="Z30" s="46" t="s">
        <v>134</v>
      </c>
      <c r="AA30" s="66" t="s">
        <v>135</v>
      </c>
    </row>
    <row r="31" spans="1:27" x14ac:dyDescent="0.2">
      <c r="A31" s="52" t="s">
        <v>84</v>
      </c>
      <c r="B31" s="52" t="s">
        <v>84</v>
      </c>
      <c r="C31" s="63" t="s">
        <v>91</v>
      </c>
      <c r="D31" s="46" t="s">
        <v>118</v>
      </c>
      <c r="E31" s="46" t="s">
        <v>118</v>
      </c>
      <c r="F31" s="46" t="s">
        <v>85</v>
      </c>
      <c r="G31" s="46" t="s">
        <v>86</v>
      </c>
      <c r="H31" s="46" t="s">
        <v>87</v>
      </c>
      <c r="I31" s="47" t="s">
        <v>136</v>
      </c>
      <c r="J31" s="46" t="s">
        <v>118</v>
      </c>
      <c r="K31" s="46" t="s">
        <v>85</v>
      </c>
      <c r="L31" s="46" t="s">
        <v>86</v>
      </c>
      <c r="M31" s="46" t="s">
        <v>87</v>
      </c>
      <c r="N31" s="63" t="s">
        <v>136</v>
      </c>
      <c r="O31" s="73"/>
      <c r="P31" s="59" t="s">
        <v>91</v>
      </c>
      <c r="Q31" s="45" t="s">
        <v>92</v>
      </c>
      <c r="R31" s="45" t="s">
        <v>92</v>
      </c>
      <c r="S31" s="46" t="s">
        <v>85</v>
      </c>
      <c r="T31" s="46" t="s">
        <v>86</v>
      </c>
      <c r="U31" s="46" t="s">
        <v>87</v>
      </c>
      <c r="V31" s="47" t="s">
        <v>136</v>
      </c>
      <c r="W31" s="45" t="s">
        <v>92</v>
      </c>
      <c r="X31" s="46" t="s">
        <v>85</v>
      </c>
      <c r="Y31" s="46" t="s">
        <v>86</v>
      </c>
      <c r="Z31" s="46" t="s">
        <v>87</v>
      </c>
      <c r="AA31" s="63" t="s">
        <v>136</v>
      </c>
    </row>
    <row r="32" spans="1:27" x14ac:dyDescent="0.2">
      <c r="A32" s="53" t="s">
        <v>0</v>
      </c>
      <c r="B32" s="53" t="s">
        <v>0</v>
      </c>
      <c r="C32" s="48" t="s">
        <v>119</v>
      </c>
      <c r="D32" s="46" t="s">
        <v>116</v>
      </c>
      <c r="E32" s="46" t="s">
        <v>116</v>
      </c>
      <c r="F32" s="46" t="s">
        <v>116</v>
      </c>
      <c r="G32" s="46" t="s">
        <v>116</v>
      </c>
      <c r="H32" s="46" t="s">
        <v>116</v>
      </c>
      <c r="I32" s="46" t="s">
        <v>116</v>
      </c>
      <c r="J32" s="46" t="s">
        <v>116</v>
      </c>
      <c r="K32" s="46" t="s">
        <v>116</v>
      </c>
      <c r="L32" s="46" t="s">
        <v>116</v>
      </c>
      <c r="M32" s="46" t="s">
        <v>116</v>
      </c>
      <c r="N32" s="72" t="s">
        <v>116</v>
      </c>
      <c r="O32" s="73"/>
      <c r="P32" s="65" t="s">
        <v>7</v>
      </c>
      <c r="Q32" s="72" t="s">
        <v>93</v>
      </c>
      <c r="R32" s="45" t="s">
        <v>93</v>
      </c>
      <c r="S32" s="45" t="s">
        <v>93</v>
      </c>
      <c r="T32" s="45" t="s">
        <v>93</v>
      </c>
      <c r="U32" s="45" t="s">
        <v>93</v>
      </c>
      <c r="V32" s="45" t="s">
        <v>93</v>
      </c>
      <c r="W32" s="45" t="s">
        <v>93</v>
      </c>
      <c r="X32" s="45" t="s">
        <v>93</v>
      </c>
      <c r="Y32" s="45" t="s">
        <v>93</v>
      </c>
      <c r="Z32" s="45" t="s">
        <v>93</v>
      </c>
      <c r="AA32" s="72" t="s">
        <v>93</v>
      </c>
    </row>
    <row r="33" spans="1:27" x14ac:dyDescent="0.2">
      <c r="A33" s="53">
        <v>20</v>
      </c>
      <c r="B33" s="53">
        <v>15</v>
      </c>
      <c r="C33" s="23">
        <f>SUM(A33:B33)*3.14/1000</f>
        <v>0.10990000000000001</v>
      </c>
      <c r="D33" s="75">
        <f t="shared" ref="D33:D47" si="10">SUM(E33+J33)</f>
        <v>0</v>
      </c>
      <c r="E33" s="75">
        <f t="shared" ref="E33:E47" si="11">SUM(F33:I33)</f>
        <v>0</v>
      </c>
      <c r="F33" s="74">
        <f>$C33*'KV tinklas'!D34</f>
        <v>0</v>
      </c>
      <c r="G33" s="74">
        <f>$C33*'KV tinklas'!E34</f>
        <v>0</v>
      </c>
      <c r="H33" s="74">
        <f>$C33*'KV tinklas'!F34</f>
        <v>0</v>
      </c>
      <c r="I33" s="74">
        <f>$C33*'KV tinklas'!G34</f>
        <v>0</v>
      </c>
      <c r="J33" s="75">
        <f t="shared" ref="J33:J47" si="12">SUM(K33:N33)</f>
        <v>0</v>
      </c>
      <c r="K33" s="74">
        <f>$C33*'KV tinklas'!I34</f>
        <v>0</v>
      </c>
      <c r="L33" s="74">
        <f>$C33*'KV tinklas'!J34</f>
        <v>0</v>
      </c>
      <c r="M33" s="74">
        <f>$C33*'KV tinklas'!K34</f>
        <v>0</v>
      </c>
      <c r="N33" s="74">
        <f>$C33*'KV tinklas'!L34</f>
        <v>0</v>
      </c>
      <c r="O33" s="70"/>
      <c r="P33" s="23">
        <f>SUM(A33/2)*(B33/2)*3.14/1000000</f>
        <v>2.3550000000000001E-4</v>
      </c>
      <c r="Q33" s="61">
        <f t="shared" ref="Q33:Q47" si="13">SUM(R33+W33)</f>
        <v>0</v>
      </c>
      <c r="R33" s="61">
        <f t="shared" ref="R33:R47" si="14">SUM(S33:V33)</f>
        <v>0</v>
      </c>
      <c r="S33" s="41">
        <f>$P33*'KV tinklas'!D34*2</f>
        <v>0</v>
      </c>
      <c r="T33" s="41">
        <f>$P33*'KV tinklas'!E34*2</f>
        <v>0</v>
      </c>
      <c r="U33" s="41">
        <f>$P33*'KV tinklas'!F34*2</f>
        <v>0</v>
      </c>
      <c r="V33" s="41">
        <f>$P33*'KV tinklas'!G34*2</f>
        <v>0</v>
      </c>
      <c r="W33" s="61">
        <f t="shared" ref="W33:W47" si="15">SUM(X33:AA33)</f>
        <v>0</v>
      </c>
      <c r="X33" s="41">
        <f>$P33*'KV tinklas'!I34*2</f>
        <v>0</v>
      </c>
      <c r="Y33" s="41">
        <f>$P33*'KV tinklas'!J34*2</f>
        <v>0</v>
      </c>
      <c r="Z33" s="41">
        <f>$P33*'KV tinklas'!K34*2</f>
        <v>0</v>
      </c>
      <c r="AA33" s="41">
        <f>$P33*'KV tinklas'!L34*2</f>
        <v>0</v>
      </c>
    </row>
    <row r="34" spans="1:27" x14ac:dyDescent="0.2">
      <c r="A34" s="54">
        <v>25</v>
      </c>
      <c r="B34" s="54">
        <v>20</v>
      </c>
      <c r="C34" s="23">
        <f t="shared" ref="C34:C47" si="16">SUM(A34:B34)*3.14/1000</f>
        <v>0.14130000000000001</v>
      </c>
      <c r="D34" s="75">
        <f t="shared" si="10"/>
        <v>0</v>
      </c>
      <c r="E34" s="75">
        <f t="shared" si="11"/>
        <v>0</v>
      </c>
      <c r="F34" s="74">
        <f>$C34*'KV tinklas'!D35</f>
        <v>0</v>
      </c>
      <c r="G34" s="74">
        <f>$C34*'KV tinklas'!E35</f>
        <v>0</v>
      </c>
      <c r="H34" s="74">
        <f>$C34*'KV tinklas'!F35</f>
        <v>0</v>
      </c>
      <c r="I34" s="74">
        <f>$C34*'KV tinklas'!G35</f>
        <v>0</v>
      </c>
      <c r="J34" s="75">
        <f t="shared" si="12"/>
        <v>0</v>
      </c>
      <c r="K34" s="74">
        <f>$C34*'KV tinklas'!I35</f>
        <v>0</v>
      </c>
      <c r="L34" s="74">
        <f>$C34*'KV tinklas'!J35</f>
        <v>0</v>
      </c>
      <c r="M34" s="74">
        <f>$C34*'KV tinklas'!K35</f>
        <v>0</v>
      </c>
      <c r="N34" s="74">
        <f>$C34*'KV tinklas'!L35</f>
        <v>0</v>
      </c>
      <c r="O34" s="70"/>
      <c r="P34" s="23">
        <f t="shared" ref="P34:P47" si="17">SUM(A34/2)*(B34/2)*3.14/1000000</f>
        <v>3.925E-4</v>
      </c>
      <c r="Q34" s="61">
        <f t="shared" si="13"/>
        <v>0</v>
      </c>
      <c r="R34" s="61">
        <f t="shared" si="14"/>
        <v>0</v>
      </c>
      <c r="S34" s="41">
        <f>$P34*'KV tinklas'!D35*2</f>
        <v>0</v>
      </c>
      <c r="T34" s="41">
        <f>$P34*'KV tinklas'!E35*2</f>
        <v>0</v>
      </c>
      <c r="U34" s="41">
        <f>$P34*'KV tinklas'!F35*2</f>
        <v>0</v>
      </c>
      <c r="V34" s="41">
        <f>$P34*'KV tinklas'!G35*2</f>
        <v>0</v>
      </c>
      <c r="W34" s="61">
        <f t="shared" si="15"/>
        <v>0</v>
      </c>
      <c r="X34" s="41">
        <f>$P34*'KV tinklas'!I35*2</f>
        <v>0</v>
      </c>
      <c r="Y34" s="41">
        <f>$P34*'KV tinklas'!J35*2</f>
        <v>0</v>
      </c>
      <c r="Z34" s="41">
        <f>$P34*'KV tinklas'!K35*2</f>
        <v>0</v>
      </c>
      <c r="AA34" s="41">
        <f>$P34*'KV tinklas'!L35*2</f>
        <v>0</v>
      </c>
    </row>
    <row r="35" spans="1:27" x14ac:dyDescent="0.2">
      <c r="A35" s="54">
        <v>32</v>
      </c>
      <c r="B35" s="54">
        <v>25</v>
      </c>
      <c r="C35" s="23">
        <f t="shared" si="16"/>
        <v>0.17898000000000003</v>
      </c>
      <c r="D35" s="75">
        <f t="shared" si="10"/>
        <v>0</v>
      </c>
      <c r="E35" s="75">
        <f t="shared" si="11"/>
        <v>0</v>
      </c>
      <c r="F35" s="74">
        <f>$C35*'KV tinklas'!D36</f>
        <v>0</v>
      </c>
      <c r="G35" s="74">
        <f>$C35*'KV tinklas'!E36</f>
        <v>0</v>
      </c>
      <c r="H35" s="74">
        <f>$C35*'KV tinklas'!F36</f>
        <v>0</v>
      </c>
      <c r="I35" s="74">
        <f>$C35*'KV tinklas'!G36</f>
        <v>0</v>
      </c>
      <c r="J35" s="75">
        <f t="shared" si="12"/>
        <v>0</v>
      </c>
      <c r="K35" s="74">
        <f>$C35*'KV tinklas'!I36</f>
        <v>0</v>
      </c>
      <c r="L35" s="74">
        <f>$C35*'KV tinklas'!J36</f>
        <v>0</v>
      </c>
      <c r="M35" s="74">
        <f>$C35*'KV tinklas'!K36</f>
        <v>0</v>
      </c>
      <c r="N35" s="74">
        <f>$C35*'KV tinklas'!L36</f>
        <v>0</v>
      </c>
      <c r="O35" s="70"/>
      <c r="P35" s="23">
        <f t="shared" si="17"/>
        <v>6.2799999999999998E-4</v>
      </c>
      <c r="Q35" s="61">
        <f t="shared" si="13"/>
        <v>0</v>
      </c>
      <c r="R35" s="61">
        <f t="shared" si="14"/>
        <v>0</v>
      </c>
      <c r="S35" s="41">
        <f>$P35*'KV tinklas'!D36*2</f>
        <v>0</v>
      </c>
      <c r="T35" s="41">
        <f>$P35*'KV tinklas'!E36*2</f>
        <v>0</v>
      </c>
      <c r="U35" s="41">
        <f>$P35*'KV tinklas'!F36*2</f>
        <v>0</v>
      </c>
      <c r="V35" s="41">
        <f>$P35*'KV tinklas'!G36*2</f>
        <v>0</v>
      </c>
      <c r="W35" s="61">
        <f t="shared" si="15"/>
        <v>0</v>
      </c>
      <c r="X35" s="41">
        <f>$P35*'KV tinklas'!I36*2</f>
        <v>0</v>
      </c>
      <c r="Y35" s="41">
        <f>$P35*'KV tinklas'!J36*2</f>
        <v>0</v>
      </c>
      <c r="Z35" s="41">
        <f>$P35*'KV tinklas'!K36*2</f>
        <v>0</v>
      </c>
      <c r="AA35" s="41">
        <f>$P35*'KV tinklas'!L36*2</f>
        <v>0</v>
      </c>
    </row>
    <row r="36" spans="1:27" x14ac:dyDescent="0.2">
      <c r="A36" s="54">
        <v>40</v>
      </c>
      <c r="B36" s="54">
        <v>25</v>
      </c>
      <c r="C36" s="23">
        <f t="shared" si="16"/>
        <v>0.2041</v>
      </c>
      <c r="D36" s="75">
        <f t="shared" si="10"/>
        <v>0</v>
      </c>
      <c r="E36" s="75">
        <f t="shared" si="11"/>
        <v>0</v>
      </c>
      <c r="F36" s="74">
        <f>$C36*'KV tinklas'!D37</f>
        <v>0</v>
      </c>
      <c r="G36" s="74">
        <f>$C36*'KV tinklas'!E37</f>
        <v>0</v>
      </c>
      <c r="H36" s="74">
        <f>$C36*'KV tinklas'!F37</f>
        <v>0</v>
      </c>
      <c r="I36" s="74">
        <f>$C36*'KV tinklas'!G37</f>
        <v>0</v>
      </c>
      <c r="J36" s="75">
        <f t="shared" si="12"/>
        <v>0</v>
      </c>
      <c r="K36" s="74">
        <f>$C36*'KV tinklas'!I37</f>
        <v>0</v>
      </c>
      <c r="L36" s="74">
        <f>$C36*'KV tinklas'!J37</f>
        <v>0</v>
      </c>
      <c r="M36" s="74">
        <f>$C36*'KV tinklas'!K37</f>
        <v>0</v>
      </c>
      <c r="N36" s="74">
        <f>$C36*'KV tinklas'!L37</f>
        <v>0</v>
      </c>
      <c r="O36" s="70"/>
      <c r="P36" s="23">
        <f t="shared" si="17"/>
        <v>7.85E-4</v>
      </c>
      <c r="Q36" s="61">
        <f t="shared" si="13"/>
        <v>0</v>
      </c>
      <c r="R36" s="61">
        <f t="shared" si="14"/>
        <v>0</v>
      </c>
      <c r="S36" s="41">
        <f>$P36*'KV tinklas'!D37*2</f>
        <v>0</v>
      </c>
      <c r="T36" s="41">
        <f>$P36*'KV tinklas'!E37*2</f>
        <v>0</v>
      </c>
      <c r="U36" s="41">
        <f>$P36*'KV tinklas'!F37*2</f>
        <v>0</v>
      </c>
      <c r="V36" s="41">
        <f>$P36*'KV tinklas'!G37*2</f>
        <v>0</v>
      </c>
      <c r="W36" s="61">
        <f t="shared" si="15"/>
        <v>0</v>
      </c>
      <c r="X36" s="41">
        <f>$P36*'KV tinklas'!I37*2</f>
        <v>0</v>
      </c>
      <c r="Y36" s="41">
        <f>$P36*'KV tinklas'!J37*2</f>
        <v>0</v>
      </c>
      <c r="Z36" s="41">
        <f>$P36*'KV tinklas'!K37*2</f>
        <v>0</v>
      </c>
      <c r="AA36" s="41">
        <f>$P36*'KV tinklas'!L37*2</f>
        <v>0</v>
      </c>
    </row>
    <row r="37" spans="1:27" x14ac:dyDescent="0.2">
      <c r="A37" s="54">
        <v>40</v>
      </c>
      <c r="B37" s="54">
        <v>32</v>
      </c>
      <c r="C37" s="23">
        <f t="shared" si="16"/>
        <v>0.22608</v>
      </c>
      <c r="D37" s="75">
        <f t="shared" si="10"/>
        <v>0</v>
      </c>
      <c r="E37" s="75">
        <f t="shared" si="11"/>
        <v>0</v>
      </c>
      <c r="F37" s="74">
        <f>$C37*'KV tinklas'!D38</f>
        <v>0</v>
      </c>
      <c r="G37" s="74">
        <f>$C37*'KV tinklas'!E38</f>
        <v>0</v>
      </c>
      <c r="H37" s="74">
        <f>$C37*'KV tinklas'!F38</f>
        <v>0</v>
      </c>
      <c r="I37" s="74">
        <f>$C37*'KV tinklas'!G38</f>
        <v>0</v>
      </c>
      <c r="J37" s="75">
        <f t="shared" si="12"/>
        <v>0</v>
      </c>
      <c r="K37" s="74">
        <f>$C37*'KV tinklas'!I38</f>
        <v>0</v>
      </c>
      <c r="L37" s="74">
        <f>$C37*'KV tinklas'!J38</f>
        <v>0</v>
      </c>
      <c r="M37" s="74">
        <f>$C37*'KV tinklas'!K38</f>
        <v>0</v>
      </c>
      <c r="N37" s="74">
        <f>$C37*'KV tinklas'!L38</f>
        <v>0</v>
      </c>
      <c r="O37" s="70"/>
      <c r="P37" s="23">
        <f t="shared" si="17"/>
        <v>1.0048000000000001E-3</v>
      </c>
      <c r="Q37" s="61">
        <f t="shared" si="13"/>
        <v>0</v>
      </c>
      <c r="R37" s="61">
        <f t="shared" si="14"/>
        <v>0</v>
      </c>
      <c r="S37" s="41">
        <f>$P37*'KV tinklas'!D38*2</f>
        <v>0</v>
      </c>
      <c r="T37" s="41">
        <f>$P37*'KV tinklas'!E38*2</f>
        <v>0</v>
      </c>
      <c r="U37" s="41">
        <f>$P37*'KV tinklas'!F38*2</f>
        <v>0</v>
      </c>
      <c r="V37" s="41">
        <f>$P37*'KV tinklas'!G38*2</f>
        <v>0</v>
      </c>
      <c r="W37" s="61">
        <f t="shared" si="15"/>
        <v>0</v>
      </c>
      <c r="X37" s="41">
        <f>$P37*'KV tinklas'!I38*2</f>
        <v>0</v>
      </c>
      <c r="Y37" s="41">
        <f>$P37*'KV tinklas'!J38*2</f>
        <v>0</v>
      </c>
      <c r="Z37" s="41">
        <f>$P37*'KV tinklas'!K38*2</f>
        <v>0</v>
      </c>
      <c r="AA37" s="41">
        <f>$P37*'KV tinklas'!L38*2</f>
        <v>0</v>
      </c>
    </row>
    <row r="38" spans="1:27" x14ac:dyDescent="0.2">
      <c r="A38" s="54">
        <v>50</v>
      </c>
      <c r="B38" s="54">
        <v>32</v>
      </c>
      <c r="C38" s="23">
        <f t="shared" si="16"/>
        <v>0.25748000000000004</v>
      </c>
      <c r="D38" s="75">
        <f t="shared" si="10"/>
        <v>0</v>
      </c>
      <c r="E38" s="75">
        <f t="shared" si="11"/>
        <v>0</v>
      </c>
      <c r="F38" s="74">
        <f>$C38*'KV tinklas'!D39</f>
        <v>0</v>
      </c>
      <c r="G38" s="74">
        <f>$C38*'KV tinklas'!E39</f>
        <v>0</v>
      </c>
      <c r="H38" s="74">
        <f>$C38*'KV tinklas'!F39</f>
        <v>0</v>
      </c>
      <c r="I38" s="74">
        <f>$C38*'KV tinklas'!G39</f>
        <v>0</v>
      </c>
      <c r="J38" s="75">
        <f t="shared" si="12"/>
        <v>0</v>
      </c>
      <c r="K38" s="74">
        <f>$C38*'KV tinklas'!I39</f>
        <v>0</v>
      </c>
      <c r="L38" s="74">
        <f>$C38*'KV tinklas'!J39</f>
        <v>0</v>
      </c>
      <c r="M38" s="74">
        <f>$C38*'KV tinklas'!K39</f>
        <v>0</v>
      </c>
      <c r="N38" s="74">
        <f>$C38*'KV tinklas'!L39</f>
        <v>0</v>
      </c>
      <c r="O38" s="70"/>
      <c r="P38" s="23">
        <f t="shared" si="17"/>
        <v>1.256E-3</v>
      </c>
      <c r="Q38" s="61">
        <f t="shared" si="13"/>
        <v>0</v>
      </c>
      <c r="R38" s="61">
        <f t="shared" si="14"/>
        <v>0</v>
      </c>
      <c r="S38" s="41">
        <f>$P38*'KV tinklas'!D39*2</f>
        <v>0</v>
      </c>
      <c r="T38" s="41">
        <f>$P38*'KV tinklas'!E39*2</f>
        <v>0</v>
      </c>
      <c r="U38" s="41">
        <f>$P38*'KV tinklas'!F39*2</f>
        <v>0</v>
      </c>
      <c r="V38" s="41">
        <f>$P38*'KV tinklas'!G39*2</f>
        <v>0</v>
      </c>
      <c r="W38" s="61">
        <f t="shared" si="15"/>
        <v>0</v>
      </c>
      <c r="X38" s="41">
        <f>$P38*'KV tinklas'!I39*2</f>
        <v>0</v>
      </c>
      <c r="Y38" s="41">
        <f>$P38*'KV tinklas'!J39*2</f>
        <v>0</v>
      </c>
      <c r="Z38" s="41">
        <f>$P38*'KV tinklas'!K39*2</f>
        <v>0</v>
      </c>
      <c r="AA38" s="41">
        <f>$P38*'KV tinklas'!L39*2</f>
        <v>0</v>
      </c>
    </row>
    <row r="39" spans="1:27" x14ac:dyDescent="0.2">
      <c r="A39" s="54">
        <v>65</v>
      </c>
      <c r="B39" s="54">
        <v>40</v>
      </c>
      <c r="C39" s="23">
        <f t="shared" si="16"/>
        <v>0.32969999999999999</v>
      </c>
      <c r="D39" s="75">
        <f t="shared" si="10"/>
        <v>0</v>
      </c>
      <c r="E39" s="75">
        <f t="shared" si="11"/>
        <v>0</v>
      </c>
      <c r="F39" s="74">
        <f>$C39*'KV tinklas'!D40</f>
        <v>0</v>
      </c>
      <c r="G39" s="74">
        <f>$C39*'KV tinklas'!E40</f>
        <v>0</v>
      </c>
      <c r="H39" s="74">
        <f>$C39*'KV tinklas'!F40</f>
        <v>0</v>
      </c>
      <c r="I39" s="74">
        <f>$C39*'KV tinklas'!G40</f>
        <v>0</v>
      </c>
      <c r="J39" s="75">
        <f t="shared" si="12"/>
        <v>0</v>
      </c>
      <c r="K39" s="74">
        <f>$C39*'KV tinklas'!I40</f>
        <v>0</v>
      </c>
      <c r="L39" s="74">
        <f>$C39*'KV tinklas'!J40</f>
        <v>0</v>
      </c>
      <c r="M39" s="74">
        <f>$C39*'KV tinklas'!K40</f>
        <v>0</v>
      </c>
      <c r="N39" s="74">
        <f>$C39*'KV tinklas'!L40</f>
        <v>0</v>
      </c>
      <c r="O39" s="70"/>
      <c r="P39" s="23">
        <f t="shared" si="17"/>
        <v>2.0409999999999998E-3</v>
      </c>
      <c r="Q39" s="61">
        <f t="shared" si="13"/>
        <v>0</v>
      </c>
      <c r="R39" s="61">
        <f t="shared" si="14"/>
        <v>0</v>
      </c>
      <c r="S39" s="41">
        <f>$P39*'KV tinklas'!D40*2</f>
        <v>0</v>
      </c>
      <c r="T39" s="41">
        <f>$P39*'KV tinklas'!E40*2</f>
        <v>0</v>
      </c>
      <c r="U39" s="41">
        <f>$P39*'KV tinklas'!F40*2</f>
        <v>0</v>
      </c>
      <c r="V39" s="41">
        <f>$P39*'KV tinklas'!G40*2</f>
        <v>0</v>
      </c>
      <c r="W39" s="61">
        <f t="shared" si="15"/>
        <v>0</v>
      </c>
      <c r="X39" s="41">
        <f>$P39*'KV tinklas'!I40*2</f>
        <v>0</v>
      </c>
      <c r="Y39" s="41">
        <f>$P39*'KV tinklas'!J40*2</f>
        <v>0</v>
      </c>
      <c r="Z39" s="41">
        <f>$P39*'KV tinklas'!K40*2</f>
        <v>0</v>
      </c>
      <c r="AA39" s="41">
        <f>$P39*'KV tinklas'!L40*2</f>
        <v>0</v>
      </c>
    </row>
    <row r="40" spans="1:27" x14ac:dyDescent="0.2">
      <c r="A40" s="54">
        <v>65</v>
      </c>
      <c r="B40" s="54">
        <v>50</v>
      </c>
      <c r="C40" s="23">
        <f t="shared" si="16"/>
        <v>0.36110000000000003</v>
      </c>
      <c r="D40" s="75">
        <f t="shared" si="10"/>
        <v>0</v>
      </c>
      <c r="E40" s="75">
        <f t="shared" si="11"/>
        <v>0</v>
      </c>
      <c r="F40" s="74">
        <f>$C40*'KV tinklas'!D41</f>
        <v>0</v>
      </c>
      <c r="G40" s="74">
        <f>$C40*'KV tinklas'!E41</f>
        <v>0</v>
      </c>
      <c r="H40" s="74">
        <f>$C40*'KV tinklas'!F41</f>
        <v>0</v>
      </c>
      <c r="I40" s="74">
        <f>$C40*'KV tinklas'!G41</f>
        <v>0</v>
      </c>
      <c r="J40" s="75">
        <f t="shared" si="12"/>
        <v>0</v>
      </c>
      <c r="K40" s="74">
        <f>$C40*'KV tinklas'!I41</f>
        <v>0</v>
      </c>
      <c r="L40" s="74">
        <f>$C40*'KV tinklas'!J41</f>
        <v>0</v>
      </c>
      <c r="M40" s="74">
        <f>$C40*'KV tinklas'!K41</f>
        <v>0</v>
      </c>
      <c r="N40" s="74">
        <f>$C40*'KV tinklas'!L41</f>
        <v>0</v>
      </c>
      <c r="O40" s="70"/>
      <c r="P40" s="23">
        <f t="shared" si="17"/>
        <v>2.5512500000000001E-3</v>
      </c>
      <c r="Q40" s="61">
        <f t="shared" si="13"/>
        <v>0</v>
      </c>
      <c r="R40" s="61">
        <f t="shared" si="14"/>
        <v>0</v>
      </c>
      <c r="S40" s="41">
        <f>$P40*'KV tinklas'!D41*2</f>
        <v>0</v>
      </c>
      <c r="T40" s="41">
        <f>$P40*'KV tinklas'!E41*2</f>
        <v>0</v>
      </c>
      <c r="U40" s="41">
        <f>$P40*'KV tinklas'!F41*2</f>
        <v>0</v>
      </c>
      <c r="V40" s="41">
        <f>$P40*'KV tinklas'!G41*2</f>
        <v>0</v>
      </c>
      <c r="W40" s="61">
        <f t="shared" si="15"/>
        <v>0</v>
      </c>
      <c r="X40" s="41">
        <f>$P40*'KV tinklas'!I41*2</f>
        <v>0</v>
      </c>
      <c r="Y40" s="41">
        <f>$P40*'KV tinklas'!J41*2</f>
        <v>0</v>
      </c>
      <c r="Z40" s="41">
        <f>$P40*'KV tinklas'!K41*2</f>
        <v>0</v>
      </c>
      <c r="AA40" s="41">
        <f>$P40*'KV tinklas'!L41*2</f>
        <v>0</v>
      </c>
    </row>
    <row r="41" spans="1:27" x14ac:dyDescent="0.2">
      <c r="A41" s="54">
        <v>80</v>
      </c>
      <c r="B41" s="54">
        <v>50</v>
      </c>
      <c r="C41" s="23">
        <f t="shared" si="16"/>
        <v>0.40820000000000001</v>
      </c>
      <c r="D41" s="75">
        <f t="shared" si="10"/>
        <v>0</v>
      </c>
      <c r="E41" s="75">
        <f t="shared" si="11"/>
        <v>0</v>
      </c>
      <c r="F41" s="74">
        <f>$C41*'KV tinklas'!D42</f>
        <v>0</v>
      </c>
      <c r="G41" s="74">
        <f>$C41*'KV tinklas'!E42</f>
        <v>0</v>
      </c>
      <c r="H41" s="74">
        <f>$C41*'KV tinklas'!F42</f>
        <v>0</v>
      </c>
      <c r="I41" s="74">
        <f>$C41*'KV tinklas'!G42</f>
        <v>0</v>
      </c>
      <c r="J41" s="75">
        <f t="shared" si="12"/>
        <v>0</v>
      </c>
      <c r="K41" s="74">
        <f>$C41*'KV tinklas'!I42</f>
        <v>0</v>
      </c>
      <c r="L41" s="74">
        <f>$C41*'KV tinklas'!J42</f>
        <v>0</v>
      </c>
      <c r="M41" s="74">
        <f>$C41*'KV tinklas'!K42</f>
        <v>0</v>
      </c>
      <c r="N41" s="74">
        <f>$C41*'KV tinklas'!L42</f>
        <v>0</v>
      </c>
      <c r="O41" s="70"/>
      <c r="P41" s="23">
        <f t="shared" si="17"/>
        <v>3.14E-3</v>
      </c>
      <c r="Q41" s="61">
        <f t="shared" si="13"/>
        <v>0</v>
      </c>
      <c r="R41" s="61">
        <f t="shared" si="14"/>
        <v>0</v>
      </c>
      <c r="S41" s="41">
        <f>$P41*'KV tinklas'!D42*2</f>
        <v>0</v>
      </c>
      <c r="T41" s="41">
        <f>$P41*'KV tinklas'!E42*2</f>
        <v>0</v>
      </c>
      <c r="U41" s="41">
        <f>$P41*'KV tinklas'!F42*2</f>
        <v>0</v>
      </c>
      <c r="V41" s="41">
        <f>$P41*'KV tinklas'!G42*2</f>
        <v>0</v>
      </c>
      <c r="W41" s="61">
        <f t="shared" si="15"/>
        <v>0</v>
      </c>
      <c r="X41" s="41">
        <f>$P41*'KV tinklas'!I42*2</f>
        <v>0</v>
      </c>
      <c r="Y41" s="41">
        <f>$P41*'KV tinklas'!J42*2</f>
        <v>0</v>
      </c>
      <c r="Z41" s="41">
        <f>$P41*'KV tinklas'!K42*2</f>
        <v>0</v>
      </c>
      <c r="AA41" s="41">
        <f>$P41*'KV tinklas'!L42*2</f>
        <v>0</v>
      </c>
    </row>
    <row r="42" spans="1:27" x14ac:dyDescent="0.2">
      <c r="A42" s="54">
        <v>100</v>
      </c>
      <c r="B42" s="54">
        <v>65</v>
      </c>
      <c r="C42" s="23">
        <f t="shared" si="16"/>
        <v>0.5181</v>
      </c>
      <c r="D42" s="75">
        <f t="shared" si="10"/>
        <v>0</v>
      </c>
      <c r="E42" s="75">
        <f t="shared" si="11"/>
        <v>0</v>
      </c>
      <c r="F42" s="74">
        <f>$C42*'KV tinklas'!D43</f>
        <v>0</v>
      </c>
      <c r="G42" s="74">
        <f>$C42*'KV tinklas'!E43</f>
        <v>0</v>
      </c>
      <c r="H42" s="74">
        <f>$C42*'KV tinklas'!F43</f>
        <v>0</v>
      </c>
      <c r="I42" s="74">
        <f>$C42*'KV tinklas'!G43</f>
        <v>0</v>
      </c>
      <c r="J42" s="75">
        <f t="shared" si="12"/>
        <v>0</v>
      </c>
      <c r="K42" s="74">
        <f>$C42*'KV tinklas'!I43</f>
        <v>0</v>
      </c>
      <c r="L42" s="74">
        <f>$C42*'KV tinklas'!J43</f>
        <v>0</v>
      </c>
      <c r="M42" s="74">
        <f>$C42*'KV tinklas'!K43</f>
        <v>0</v>
      </c>
      <c r="N42" s="74">
        <f>$C42*'KV tinklas'!L43</f>
        <v>0</v>
      </c>
      <c r="O42" s="70"/>
      <c r="P42" s="23">
        <f t="shared" si="17"/>
        <v>5.1025000000000003E-3</v>
      </c>
      <c r="Q42" s="61">
        <f t="shared" si="13"/>
        <v>0</v>
      </c>
      <c r="R42" s="61">
        <f t="shared" si="14"/>
        <v>0</v>
      </c>
      <c r="S42" s="41">
        <f>$P42*'KV tinklas'!D43*2</f>
        <v>0</v>
      </c>
      <c r="T42" s="41">
        <f>$P42*'KV tinklas'!E43*2</f>
        <v>0</v>
      </c>
      <c r="U42" s="41">
        <f>$P42*'KV tinklas'!F43*2</f>
        <v>0</v>
      </c>
      <c r="V42" s="41">
        <f>$P42*'KV tinklas'!G43*2</f>
        <v>0</v>
      </c>
      <c r="W42" s="61">
        <f t="shared" si="15"/>
        <v>0</v>
      </c>
      <c r="X42" s="41">
        <f>$P42*'KV tinklas'!I43*2</f>
        <v>0</v>
      </c>
      <c r="Y42" s="41">
        <f>$P42*'KV tinklas'!J43*2</f>
        <v>0</v>
      </c>
      <c r="Z42" s="41">
        <f>$P42*'KV tinklas'!K43*2</f>
        <v>0</v>
      </c>
      <c r="AA42" s="41">
        <f>$P42*'KV tinklas'!L43*2</f>
        <v>0</v>
      </c>
    </row>
    <row r="43" spans="1:27" x14ac:dyDescent="0.2">
      <c r="A43" s="54">
        <v>100</v>
      </c>
      <c r="B43" s="54">
        <v>80</v>
      </c>
      <c r="C43" s="23">
        <f t="shared" si="16"/>
        <v>0.56520000000000004</v>
      </c>
      <c r="D43" s="75">
        <f t="shared" si="10"/>
        <v>0</v>
      </c>
      <c r="E43" s="75">
        <f t="shared" si="11"/>
        <v>0</v>
      </c>
      <c r="F43" s="74">
        <f>$C43*'KV tinklas'!D44</f>
        <v>0</v>
      </c>
      <c r="G43" s="74">
        <f>$C43*'KV tinklas'!E44</f>
        <v>0</v>
      </c>
      <c r="H43" s="74">
        <f>$C43*'KV tinklas'!F44</f>
        <v>0</v>
      </c>
      <c r="I43" s="74">
        <f>$C43*'KV tinklas'!G44</f>
        <v>0</v>
      </c>
      <c r="J43" s="75">
        <f t="shared" si="12"/>
        <v>0</v>
      </c>
      <c r="K43" s="74">
        <f>$C43*'KV tinklas'!I44</f>
        <v>0</v>
      </c>
      <c r="L43" s="74">
        <f>$C43*'KV tinklas'!J44</f>
        <v>0</v>
      </c>
      <c r="M43" s="74">
        <f>$C43*'KV tinklas'!K44</f>
        <v>0</v>
      </c>
      <c r="N43" s="74">
        <f>$C43*'KV tinklas'!L44</f>
        <v>0</v>
      </c>
      <c r="O43" s="70"/>
      <c r="P43" s="23">
        <f t="shared" si="17"/>
        <v>6.28E-3</v>
      </c>
      <c r="Q43" s="61">
        <f t="shared" si="13"/>
        <v>0</v>
      </c>
      <c r="R43" s="61">
        <f t="shared" si="14"/>
        <v>0</v>
      </c>
      <c r="S43" s="41">
        <f>$P43*'KV tinklas'!D44*2</f>
        <v>0</v>
      </c>
      <c r="T43" s="41">
        <f>$P43*'KV tinklas'!E44*2</f>
        <v>0</v>
      </c>
      <c r="U43" s="41">
        <f>$P43*'KV tinklas'!F44*2</f>
        <v>0</v>
      </c>
      <c r="V43" s="41">
        <f>$P43*'KV tinklas'!G44*2</f>
        <v>0</v>
      </c>
      <c r="W43" s="61">
        <f t="shared" si="15"/>
        <v>0</v>
      </c>
      <c r="X43" s="41">
        <f>$P43*'KV tinklas'!I44*2</f>
        <v>0</v>
      </c>
      <c r="Y43" s="41">
        <f>$P43*'KV tinklas'!J44*2</f>
        <v>0</v>
      </c>
      <c r="Z43" s="41">
        <f>$P43*'KV tinklas'!K44*2</f>
        <v>0</v>
      </c>
      <c r="AA43" s="41">
        <f>$P43*'KV tinklas'!L44*2</f>
        <v>0</v>
      </c>
    </row>
    <row r="44" spans="1:27" x14ac:dyDescent="0.2">
      <c r="A44" s="54">
        <v>125</v>
      </c>
      <c r="B44" s="54">
        <v>80</v>
      </c>
      <c r="C44" s="23">
        <f t="shared" si="16"/>
        <v>0.64370000000000005</v>
      </c>
      <c r="D44" s="75">
        <f t="shared" si="10"/>
        <v>0</v>
      </c>
      <c r="E44" s="75">
        <f t="shared" si="11"/>
        <v>0</v>
      </c>
      <c r="F44" s="74">
        <f>$C44*'KV tinklas'!D45</f>
        <v>0</v>
      </c>
      <c r="G44" s="74">
        <f>$C44*'KV tinklas'!E45</f>
        <v>0</v>
      </c>
      <c r="H44" s="74">
        <f>$C44*'KV tinklas'!F45</f>
        <v>0</v>
      </c>
      <c r="I44" s="74">
        <f>$C44*'KV tinklas'!G45</f>
        <v>0</v>
      </c>
      <c r="J44" s="75">
        <f t="shared" si="12"/>
        <v>0</v>
      </c>
      <c r="K44" s="74">
        <f>$C44*'KV tinklas'!I45</f>
        <v>0</v>
      </c>
      <c r="L44" s="74">
        <f>$C44*'KV tinklas'!J45</f>
        <v>0</v>
      </c>
      <c r="M44" s="74">
        <f>$C44*'KV tinklas'!K45</f>
        <v>0</v>
      </c>
      <c r="N44" s="74">
        <f>$C44*'KV tinklas'!L45</f>
        <v>0</v>
      </c>
      <c r="O44" s="70"/>
      <c r="P44" s="23">
        <f t="shared" si="17"/>
        <v>7.8499999999999993E-3</v>
      </c>
      <c r="Q44" s="61">
        <f t="shared" si="13"/>
        <v>0</v>
      </c>
      <c r="R44" s="61">
        <f t="shared" si="14"/>
        <v>0</v>
      </c>
      <c r="S44" s="41">
        <f>$P44*'KV tinklas'!D45*2</f>
        <v>0</v>
      </c>
      <c r="T44" s="41">
        <f>$P44*'KV tinklas'!E45*2</f>
        <v>0</v>
      </c>
      <c r="U44" s="41">
        <f>$P44*'KV tinklas'!F45*2</f>
        <v>0</v>
      </c>
      <c r="V44" s="41">
        <f>$P44*'KV tinklas'!G45*2</f>
        <v>0</v>
      </c>
      <c r="W44" s="61">
        <f t="shared" si="15"/>
        <v>0</v>
      </c>
      <c r="X44" s="41">
        <f>$P44*'KV tinklas'!I45*2</f>
        <v>0</v>
      </c>
      <c r="Y44" s="41">
        <f>$P44*'KV tinklas'!J45*2</f>
        <v>0</v>
      </c>
      <c r="Z44" s="41">
        <f>$P44*'KV tinklas'!K45*2</f>
        <v>0</v>
      </c>
      <c r="AA44" s="41">
        <f>$P44*'KV tinklas'!L45*2</f>
        <v>0</v>
      </c>
    </row>
    <row r="45" spans="1:27" x14ac:dyDescent="0.2">
      <c r="A45" s="54">
        <v>150</v>
      </c>
      <c r="B45" s="54">
        <v>100</v>
      </c>
      <c r="C45" s="23">
        <f t="shared" si="16"/>
        <v>0.78500000000000003</v>
      </c>
      <c r="D45" s="75">
        <f t="shared" si="10"/>
        <v>0</v>
      </c>
      <c r="E45" s="75">
        <f t="shared" si="11"/>
        <v>0</v>
      </c>
      <c r="F45" s="74">
        <f>$C45*'KV tinklas'!D46</f>
        <v>0</v>
      </c>
      <c r="G45" s="74">
        <f>$C45*'KV tinklas'!E46</f>
        <v>0</v>
      </c>
      <c r="H45" s="74">
        <f>$C45*'KV tinklas'!F46</f>
        <v>0</v>
      </c>
      <c r="I45" s="74">
        <f>$C45*'KV tinklas'!G46</f>
        <v>0</v>
      </c>
      <c r="J45" s="75">
        <f t="shared" si="12"/>
        <v>0</v>
      </c>
      <c r="K45" s="74">
        <f>$C45*'KV tinklas'!I46</f>
        <v>0</v>
      </c>
      <c r="L45" s="74">
        <f>$C45*'KV tinklas'!J46</f>
        <v>0</v>
      </c>
      <c r="M45" s="74">
        <f>$C45*'KV tinklas'!K46</f>
        <v>0</v>
      </c>
      <c r="N45" s="74">
        <f>$C45*'KV tinklas'!L46</f>
        <v>0</v>
      </c>
      <c r="O45" s="70"/>
      <c r="P45" s="23">
        <f t="shared" si="17"/>
        <v>1.1775000000000001E-2</v>
      </c>
      <c r="Q45" s="61">
        <f t="shared" si="13"/>
        <v>0</v>
      </c>
      <c r="R45" s="61">
        <f t="shared" si="14"/>
        <v>0</v>
      </c>
      <c r="S45" s="41">
        <f>$P45*'KV tinklas'!D46*2</f>
        <v>0</v>
      </c>
      <c r="T45" s="41">
        <f>$P45*'KV tinklas'!E46*2</f>
        <v>0</v>
      </c>
      <c r="U45" s="41">
        <f>$P45*'KV tinklas'!F46*2</f>
        <v>0</v>
      </c>
      <c r="V45" s="41">
        <f>$P45*'KV tinklas'!G46*2</f>
        <v>0</v>
      </c>
      <c r="W45" s="61">
        <f t="shared" si="15"/>
        <v>0</v>
      </c>
      <c r="X45" s="41">
        <f>$P45*'KV tinklas'!I46*2</f>
        <v>0</v>
      </c>
      <c r="Y45" s="41">
        <f>$P45*'KV tinklas'!J46*2</f>
        <v>0</v>
      </c>
      <c r="Z45" s="41">
        <f>$P45*'KV tinklas'!K46*2</f>
        <v>0</v>
      </c>
      <c r="AA45" s="41">
        <f>$P45*'KV tinklas'!L46*2</f>
        <v>0</v>
      </c>
    </row>
    <row r="46" spans="1:27" x14ac:dyDescent="0.2">
      <c r="A46" s="54">
        <v>200</v>
      </c>
      <c r="B46" s="54">
        <v>100</v>
      </c>
      <c r="C46" s="23">
        <f t="shared" si="16"/>
        <v>0.94199999999999995</v>
      </c>
      <c r="D46" s="75">
        <f t="shared" si="10"/>
        <v>0</v>
      </c>
      <c r="E46" s="75">
        <f t="shared" si="11"/>
        <v>0</v>
      </c>
      <c r="F46" s="74">
        <f>$C46*'KV tinklas'!D47</f>
        <v>0</v>
      </c>
      <c r="G46" s="74">
        <f>$C46*'KV tinklas'!E47</f>
        <v>0</v>
      </c>
      <c r="H46" s="74">
        <f>$C46*'KV tinklas'!F47</f>
        <v>0</v>
      </c>
      <c r="I46" s="74">
        <f>$C46*'KV tinklas'!G47</f>
        <v>0</v>
      </c>
      <c r="J46" s="75">
        <f t="shared" si="12"/>
        <v>0</v>
      </c>
      <c r="K46" s="74">
        <f>$C46*'KV tinklas'!I47</f>
        <v>0</v>
      </c>
      <c r="L46" s="74">
        <f>$C46*'KV tinklas'!J47</f>
        <v>0</v>
      </c>
      <c r="M46" s="74">
        <f>$C46*'KV tinklas'!K47</f>
        <v>0</v>
      </c>
      <c r="N46" s="74">
        <f>$C46*'KV tinklas'!L47</f>
        <v>0</v>
      </c>
      <c r="O46" s="70"/>
      <c r="P46" s="23">
        <f t="shared" si="17"/>
        <v>1.5699999999999999E-2</v>
      </c>
      <c r="Q46" s="61">
        <f t="shared" si="13"/>
        <v>0</v>
      </c>
      <c r="R46" s="61">
        <f t="shared" si="14"/>
        <v>0</v>
      </c>
      <c r="S46" s="41">
        <f>$P46*'KV tinklas'!D47*2</f>
        <v>0</v>
      </c>
      <c r="T46" s="41">
        <f>$P46*'KV tinklas'!E47*2</f>
        <v>0</v>
      </c>
      <c r="U46" s="41">
        <f>$P46*'KV tinklas'!F47*2</f>
        <v>0</v>
      </c>
      <c r="V46" s="41">
        <f>$P46*'KV tinklas'!G47*2</f>
        <v>0</v>
      </c>
      <c r="W46" s="61">
        <f t="shared" si="15"/>
        <v>0</v>
      </c>
      <c r="X46" s="41">
        <f>$P46*'KV tinklas'!I47*2</f>
        <v>0</v>
      </c>
      <c r="Y46" s="41">
        <f>$P46*'KV tinklas'!J47*2</f>
        <v>0</v>
      </c>
      <c r="Z46" s="41">
        <f>$P46*'KV tinklas'!K47*2</f>
        <v>0</v>
      </c>
      <c r="AA46" s="41">
        <f>$P46*'KV tinklas'!L47*2</f>
        <v>0</v>
      </c>
    </row>
    <row r="47" spans="1:27" x14ac:dyDescent="0.2">
      <c r="A47" s="54">
        <v>250</v>
      </c>
      <c r="B47" s="54">
        <v>100</v>
      </c>
      <c r="C47" s="23">
        <f t="shared" si="16"/>
        <v>1.099</v>
      </c>
      <c r="D47" s="75">
        <f t="shared" si="10"/>
        <v>0</v>
      </c>
      <c r="E47" s="75">
        <f t="shared" si="11"/>
        <v>0</v>
      </c>
      <c r="F47" s="74">
        <f>$C47*'KV tinklas'!D48</f>
        <v>0</v>
      </c>
      <c r="G47" s="74">
        <f>$C47*'KV tinklas'!E48</f>
        <v>0</v>
      </c>
      <c r="H47" s="74">
        <f>$C47*'KV tinklas'!F48</f>
        <v>0</v>
      </c>
      <c r="I47" s="74">
        <f>$C47*'KV tinklas'!G48</f>
        <v>0</v>
      </c>
      <c r="J47" s="75">
        <f t="shared" si="12"/>
        <v>0</v>
      </c>
      <c r="K47" s="74">
        <f>$C47*'KV tinklas'!I48</f>
        <v>0</v>
      </c>
      <c r="L47" s="74">
        <f>$C47*'KV tinklas'!J48</f>
        <v>0</v>
      </c>
      <c r="M47" s="74">
        <f>$C47*'KV tinklas'!K48</f>
        <v>0</v>
      </c>
      <c r="N47" s="74">
        <f>$C47*'KV tinklas'!L48</f>
        <v>0</v>
      </c>
      <c r="O47" s="70"/>
      <c r="P47" s="23">
        <f t="shared" si="17"/>
        <v>1.9625E-2</v>
      </c>
      <c r="Q47" s="61">
        <f t="shared" si="13"/>
        <v>0</v>
      </c>
      <c r="R47" s="61">
        <f t="shared" si="14"/>
        <v>0</v>
      </c>
      <c r="S47" s="41">
        <f>$P47*'KV tinklas'!D48*2</f>
        <v>0</v>
      </c>
      <c r="T47" s="41">
        <f>$P47*'KV tinklas'!E48*2</f>
        <v>0</v>
      </c>
      <c r="U47" s="41">
        <f>$P47*'KV tinklas'!F48*2</f>
        <v>0</v>
      </c>
      <c r="V47" s="41">
        <f>$P47*'KV tinklas'!G48*2</f>
        <v>0</v>
      </c>
      <c r="W47" s="61">
        <f t="shared" si="15"/>
        <v>0</v>
      </c>
      <c r="X47" s="41">
        <f>$P47*'KV tinklas'!I48*2</f>
        <v>0</v>
      </c>
      <c r="Y47" s="41">
        <f>$P47*'KV tinklas'!J48*2</f>
        <v>0</v>
      </c>
      <c r="Z47" s="41">
        <f>$P47*'KV tinklas'!K48*2</f>
        <v>0</v>
      </c>
      <c r="AA47" s="41">
        <f>$P47*'KV tinklas'!L48*2</f>
        <v>0</v>
      </c>
    </row>
    <row r="48" spans="1:27" x14ac:dyDescent="0.2">
      <c r="A48" s="57" t="s">
        <v>89</v>
      </c>
      <c r="B48" s="57" t="s">
        <v>89</v>
      </c>
      <c r="C48" s="57" t="s">
        <v>89</v>
      </c>
      <c r="D48" s="74">
        <f t="shared" ref="D48:N48" si="18">SUM(D33:D47)</f>
        <v>0</v>
      </c>
      <c r="E48" s="74">
        <f t="shared" si="18"/>
        <v>0</v>
      </c>
      <c r="F48" s="74">
        <f t="shared" si="18"/>
        <v>0</v>
      </c>
      <c r="G48" s="74">
        <f t="shared" si="18"/>
        <v>0</v>
      </c>
      <c r="H48" s="74">
        <f t="shared" si="18"/>
        <v>0</v>
      </c>
      <c r="I48" s="74">
        <f t="shared" si="18"/>
        <v>0</v>
      </c>
      <c r="J48" s="74">
        <f t="shared" si="18"/>
        <v>0</v>
      </c>
      <c r="K48" s="74">
        <f t="shared" si="18"/>
        <v>0</v>
      </c>
      <c r="L48" s="74">
        <f t="shared" si="18"/>
        <v>0</v>
      </c>
      <c r="M48" s="74">
        <f t="shared" si="18"/>
        <v>0</v>
      </c>
      <c r="N48" s="74">
        <f t="shared" si="18"/>
        <v>0</v>
      </c>
      <c r="O48" s="71"/>
      <c r="P48" s="57" t="s">
        <v>89</v>
      </c>
      <c r="Q48" s="41">
        <f t="shared" ref="Q48:AA48" si="19">SUM(Q33:Q47)</f>
        <v>0</v>
      </c>
      <c r="R48" s="41">
        <f t="shared" si="19"/>
        <v>0</v>
      </c>
      <c r="S48" s="41">
        <f t="shared" si="19"/>
        <v>0</v>
      </c>
      <c r="T48" s="41">
        <f t="shared" si="19"/>
        <v>0</v>
      </c>
      <c r="U48" s="41">
        <f t="shared" si="19"/>
        <v>0</v>
      </c>
      <c r="V48" s="41">
        <f t="shared" si="19"/>
        <v>0</v>
      </c>
      <c r="W48" s="41">
        <f t="shared" si="19"/>
        <v>0</v>
      </c>
      <c r="X48" s="41">
        <f t="shared" si="19"/>
        <v>0</v>
      </c>
      <c r="Y48" s="41">
        <f t="shared" si="19"/>
        <v>0</v>
      </c>
      <c r="Z48" s="41">
        <f t="shared" si="19"/>
        <v>0</v>
      </c>
      <c r="AA48" s="41">
        <f t="shared" si="19"/>
        <v>0</v>
      </c>
    </row>
    <row r="49" spans="1:16" x14ac:dyDescent="0.2">
      <c r="A49" s="55"/>
      <c r="B49" s="55"/>
      <c r="C49" s="55"/>
      <c r="O49" s="55"/>
      <c r="P49" s="55"/>
    </row>
  </sheetData>
  <sheetProtection password="CF7A" sheet="1"/>
  <mergeCells count="8">
    <mergeCell ref="W4:AA4"/>
    <mergeCell ref="W29:AA29"/>
    <mergeCell ref="E29:I29"/>
    <mergeCell ref="E4:I4"/>
    <mergeCell ref="R4:V4"/>
    <mergeCell ref="R29:V29"/>
    <mergeCell ref="J4:N4"/>
    <mergeCell ref="J29:N29"/>
  </mergeCells>
  <phoneticPr fontId="5" type="noConversion"/>
  <printOptions horizontalCentered="1" verticalCentered="1"/>
  <pageMargins left="1.0236220472440944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4"/>
  <sheetViews>
    <sheetView showGridLines="0" showZeros="0" zoomScaleNormal="100" workbookViewId="0">
      <selection activeCell="N19" sqref="N19"/>
    </sheetView>
  </sheetViews>
  <sheetFormatPr defaultColWidth="9.33203125" defaultRowHeight="11.25" x14ac:dyDescent="0.2"/>
  <cols>
    <col min="1" max="19" width="13.83203125" style="276" customWidth="1"/>
    <col min="20" max="21" width="9.33203125" style="276"/>
    <col min="22" max="24" width="0" style="276" hidden="1" customWidth="1"/>
    <col min="25" max="16384" width="9.33203125" style="276"/>
  </cols>
  <sheetData>
    <row r="1" spans="1:24" ht="18" customHeight="1" x14ac:dyDescent="0.2">
      <c r="A1" s="121">
        <f>'Pradiniai duomenys'!A1:D1</f>
        <v>0</v>
      </c>
    </row>
    <row r="2" spans="1:24" ht="15.75" x14ac:dyDescent="0.25">
      <c r="A2" s="550" t="s">
        <v>313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</row>
    <row r="3" spans="1:24" ht="15.75" x14ac:dyDescent="0.25">
      <c r="A3" s="550" t="s">
        <v>312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</row>
    <row r="4" spans="1:24" ht="12.75" x14ac:dyDescent="0.2">
      <c r="A4" s="253" t="s">
        <v>279</v>
      </c>
      <c r="H4" s="560" t="s">
        <v>142</v>
      </c>
      <c r="I4" s="560"/>
      <c r="J4" s="560"/>
      <c r="K4" s="560" t="s">
        <v>203</v>
      </c>
      <c r="L4" s="560"/>
      <c r="P4" s="277"/>
    </row>
    <row r="5" spans="1:24" ht="12.75" x14ac:dyDescent="0.2">
      <c r="A5" s="568" t="s">
        <v>27</v>
      </c>
      <c r="B5" s="569"/>
      <c r="C5" s="568" t="s">
        <v>188</v>
      </c>
      <c r="D5" s="569"/>
      <c r="E5" s="568" t="s">
        <v>28</v>
      </c>
      <c r="F5" s="569"/>
      <c r="G5" s="278" t="s">
        <v>29</v>
      </c>
      <c r="H5" s="558" t="s">
        <v>30</v>
      </c>
      <c r="I5" s="572"/>
      <c r="J5" s="572"/>
      <c r="K5" s="572"/>
      <c r="L5" s="559"/>
      <c r="M5" s="564" t="s">
        <v>112</v>
      </c>
      <c r="N5" s="565"/>
      <c r="O5" s="564" t="s">
        <v>219</v>
      </c>
      <c r="P5" s="565"/>
      <c r="Q5" s="561" t="s">
        <v>216</v>
      </c>
      <c r="R5" s="561" t="s">
        <v>217</v>
      </c>
      <c r="S5" s="561" t="s">
        <v>218</v>
      </c>
    </row>
    <row r="6" spans="1:24" ht="15.75" x14ac:dyDescent="0.3">
      <c r="A6" s="279" t="s">
        <v>31</v>
      </c>
      <c r="B6" s="279" t="s">
        <v>32</v>
      </c>
      <c r="C6" s="570" t="s">
        <v>207</v>
      </c>
      <c r="D6" s="570" t="s">
        <v>208</v>
      </c>
      <c r="E6" s="280" t="s">
        <v>33</v>
      </c>
      <c r="F6" s="280" t="s">
        <v>34</v>
      </c>
      <c r="G6" s="281" t="s">
        <v>310</v>
      </c>
      <c r="H6" s="558" t="s">
        <v>35</v>
      </c>
      <c r="I6" s="559"/>
      <c r="J6" s="573" t="s">
        <v>36</v>
      </c>
      <c r="K6" s="558" t="s">
        <v>35</v>
      </c>
      <c r="L6" s="559"/>
      <c r="M6" s="566"/>
      <c r="N6" s="567"/>
      <c r="O6" s="566"/>
      <c r="P6" s="567"/>
      <c r="Q6" s="562"/>
      <c r="R6" s="562"/>
      <c r="S6" s="562"/>
    </row>
    <row r="7" spans="1:24" s="286" customFormat="1" ht="12.75" x14ac:dyDescent="0.2">
      <c r="A7" s="130" t="s">
        <v>0</v>
      </c>
      <c r="B7" s="130" t="s">
        <v>0</v>
      </c>
      <c r="C7" s="571"/>
      <c r="D7" s="571"/>
      <c r="E7" s="130" t="s">
        <v>37</v>
      </c>
      <c r="F7" s="130" t="s">
        <v>37</v>
      </c>
      <c r="G7" s="282" t="s">
        <v>38</v>
      </c>
      <c r="H7" s="283" t="s">
        <v>39</v>
      </c>
      <c r="I7" s="283" t="s">
        <v>34</v>
      </c>
      <c r="J7" s="574"/>
      <c r="K7" s="283" t="s">
        <v>39</v>
      </c>
      <c r="L7" s="284" t="s">
        <v>34</v>
      </c>
      <c r="M7" s="285">
        <f>'Pradiniai duomenys'!C13</f>
        <v>71.482161285566846</v>
      </c>
      <c r="N7" s="285">
        <f>'Pradiniai duomenys'!D13</f>
        <v>43.67489901223648</v>
      </c>
      <c r="O7" s="285">
        <f>'Pradiniai duomenys'!C13</f>
        <v>71.482161285566846</v>
      </c>
      <c r="P7" s="285">
        <f>'Pradiniai duomenys'!D13</f>
        <v>43.67489901223648</v>
      </c>
      <c r="Q7" s="563"/>
      <c r="R7" s="563"/>
      <c r="S7" s="563"/>
    </row>
    <row r="8" spans="1:24" ht="12.75" x14ac:dyDescent="0.2">
      <c r="A8" s="287">
        <v>25</v>
      </c>
      <c r="B8" s="287">
        <v>32</v>
      </c>
      <c r="C8" s="117">
        <v>50</v>
      </c>
      <c r="D8" s="117">
        <v>40</v>
      </c>
      <c r="E8" s="287">
        <f t="shared" ref="E8:E32" si="0">B8+2*C8</f>
        <v>132</v>
      </c>
      <c r="F8" s="287">
        <f>B8+2*D8</f>
        <v>112</v>
      </c>
      <c r="G8" s="288">
        <v>0.66878980891719741</v>
      </c>
      <c r="H8" s="288">
        <f t="shared" ref="H8:H32" si="1">0.1592/$W$15*LN(E8/B8)+0.3183/(E8/1000)/$W$13</f>
        <v>4.7128851766976458</v>
      </c>
      <c r="I8" s="288">
        <f t="shared" ref="I8:I32" si="2">0.1592/$W$15*LN(F8/B8)+0.3183/(F8/1000)/$W$13</f>
        <v>4.2256276488321092</v>
      </c>
      <c r="J8" s="288">
        <f t="shared" ref="J8:J32" si="3">0.3183/G8/$W$13+0.1592/$W$17*LN(2*$W$18/G8+SQRT((2*$W$18/G8)^2-1))</f>
        <v>0.22252773854518024</v>
      </c>
      <c r="K8" s="288">
        <f>0.1592/$W$16*LN(E8/B8)+0.3183/(E8/1000)/$W$13</f>
        <v>5.8408697284478137</v>
      </c>
      <c r="L8" s="288">
        <f>0.1592/$W$16*LN(F8/B8)+0.3183/(F8/1000)/$W$13</f>
        <v>5.2228269717544213</v>
      </c>
      <c r="M8" s="289">
        <f t="shared" ref="M8:M32" si="4">(M$7-((M$7/H8+$N$7/I8+$W$12/J8)/(1/H8+1/I8+1/J8)))/H8</f>
        <v>13.149621168542465</v>
      </c>
      <c r="N8" s="289">
        <f t="shared" ref="N8:N32" si="5">(N$7-((M$7/H8+$N$7/I8+$W$12/J8)/(1/H8+1/I8+1/J8)))/I8</f>
        <v>8.0852822942233722</v>
      </c>
      <c r="O8" s="289">
        <f>(O$7-((O$7/K8+$P$7/L8+$W$12/J8)/(1/K8+1/L8+1/J8)))/K8</f>
        <v>10.754121114839348</v>
      </c>
      <c r="P8" s="289">
        <f>(P$7-((O$7/K8+$P$7/L8+$W$12/J8)/(1/K8+1/L8+1/J8)))/L8</f>
        <v>6.7025307159729977</v>
      </c>
      <c r="Q8" s="167">
        <f>(M8+N8)*'TV tinklas'!D9*'Pradiniai duomenys'!E$13*0.0000012</f>
        <v>0</v>
      </c>
      <c r="R8" s="167">
        <f>(O8+P8)*'TV tinklas'!I9*'Pradiniai duomenys'!E$13*0.0000012</f>
        <v>0</v>
      </c>
      <c r="S8" s="167">
        <f>SUM(Q8:R8)</f>
        <v>0</v>
      </c>
    </row>
    <row r="9" spans="1:24" ht="12.75" x14ac:dyDescent="0.2">
      <c r="A9" s="287">
        <v>32</v>
      </c>
      <c r="B9" s="287">
        <v>38</v>
      </c>
      <c r="C9" s="117">
        <v>50</v>
      </c>
      <c r="D9" s="117">
        <v>40</v>
      </c>
      <c r="E9" s="287">
        <f t="shared" si="0"/>
        <v>138</v>
      </c>
      <c r="F9" s="287">
        <f t="shared" ref="F9:F32" si="6">B9+2*D9</f>
        <v>118</v>
      </c>
      <c r="G9" s="288">
        <v>0.66878980891719741</v>
      </c>
      <c r="H9" s="288">
        <f t="shared" si="1"/>
        <v>4.298511545899264</v>
      </c>
      <c r="I9" s="288">
        <f t="shared" si="2"/>
        <v>3.8325736473230849</v>
      </c>
      <c r="J9" s="288">
        <f t="shared" si="3"/>
        <v>0.22252773854518024</v>
      </c>
      <c r="K9" s="288">
        <f t="shared" ref="K9:K32" si="7">0.1592/$W$16*LN(E9/B9)+0.3183/(E9/1000)/$W$13</f>
        <v>5.3250868961421958</v>
      </c>
      <c r="L9" s="288">
        <f t="shared" ref="L9:L32" si="8">0.1592/$W$16*LN(F9/B9)+0.3183/(F9/1000)/$W$13</f>
        <v>4.7345200252555504</v>
      </c>
      <c r="M9" s="290">
        <f t="shared" si="4"/>
        <v>14.319429180535094</v>
      </c>
      <c r="N9" s="290">
        <f t="shared" si="5"/>
        <v>8.8047804152325213</v>
      </c>
      <c r="O9" s="289">
        <f t="shared" ref="O9:O32" si="9">(O$7-((O$7/K9+$P$7/L9+$W$12/J9)/(1/K9+1/L9+1/J9)))/K9</f>
        <v>11.729244374569026</v>
      </c>
      <c r="P9" s="289">
        <f t="shared" ref="P9:P32" si="10">(P$7-((O$7/K9+$P$7/L9+$W$12/J9)/(1/K9+1/L9+1/J9)))/L9</f>
        <v>7.3190065861990607</v>
      </c>
      <c r="Q9" s="167">
        <f>(M9+N9)*'TV tinklas'!D10*'Pradiniai duomenys'!E$13*0.0000012</f>
        <v>0</v>
      </c>
      <c r="R9" s="167">
        <f>(O9+P9)*'TV tinklas'!I10*'Pradiniai duomenys'!E$13*0.0000012</f>
        <v>0</v>
      </c>
      <c r="S9" s="167">
        <f t="shared" ref="S9:S32" si="11">SUM(Q9:R9)</f>
        <v>0</v>
      </c>
    </row>
    <row r="10" spans="1:24" ht="12.75" x14ac:dyDescent="0.2">
      <c r="A10" s="287">
        <v>40</v>
      </c>
      <c r="B10" s="287">
        <v>45</v>
      </c>
      <c r="C10" s="117">
        <v>50</v>
      </c>
      <c r="D10" s="117">
        <v>40</v>
      </c>
      <c r="E10" s="287">
        <f t="shared" si="0"/>
        <v>145</v>
      </c>
      <c r="F10" s="287">
        <f t="shared" si="6"/>
        <v>125</v>
      </c>
      <c r="G10" s="288">
        <v>0.66878980891719741</v>
      </c>
      <c r="H10" s="288">
        <f t="shared" si="1"/>
        <v>3.9084379029211695</v>
      </c>
      <c r="I10" s="288">
        <f t="shared" si="2"/>
        <v>3.4651375721418285</v>
      </c>
      <c r="J10" s="288">
        <f t="shared" si="3"/>
        <v>0.22252773854518024</v>
      </c>
      <c r="K10" s="288">
        <f t="shared" si="7"/>
        <v>4.8398146200307721</v>
      </c>
      <c r="L10" s="288">
        <f t="shared" si="8"/>
        <v>4.2783719651772856</v>
      </c>
      <c r="M10" s="290">
        <f t="shared" si="4"/>
        <v>15.628563109410324</v>
      </c>
      <c r="N10" s="290">
        <f t="shared" si="5"/>
        <v>9.6030837041532866</v>
      </c>
      <c r="O10" s="289">
        <f t="shared" si="9"/>
        <v>12.823373118228352</v>
      </c>
      <c r="P10" s="289">
        <f t="shared" si="10"/>
        <v>8.0066639135621145</v>
      </c>
      <c r="Q10" s="167">
        <f>(M10+N10)*'TV tinklas'!D11*'Pradiniai duomenys'!E$13*0.0000012</f>
        <v>0</v>
      </c>
      <c r="R10" s="167">
        <f>(O10+P10)*'TV tinklas'!I11*'Pradiniai duomenys'!E$13*0.0000012</f>
        <v>0</v>
      </c>
      <c r="S10" s="167">
        <f t="shared" si="11"/>
        <v>0</v>
      </c>
    </row>
    <row r="11" spans="1:24" ht="12.75" x14ac:dyDescent="0.2">
      <c r="A11" s="287">
        <v>50</v>
      </c>
      <c r="B11" s="287">
        <v>57</v>
      </c>
      <c r="C11" s="117">
        <v>50</v>
      </c>
      <c r="D11" s="117">
        <v>40</v>
      </c>
      <c r="E11" s="287">
        <f t="shared" si="0"/>
        <v>157</v>
      </c>
      <c r="F11" s="287">
        <f t="shared" si="6"/>
        <v>137</v>
      </c>
      <c r="G11" s="288">
        <v>0.66878980891719741</v>
      </c>
      <c r="H11" s="288">
        <f t="shared" si="1"/>
        <v>3.3949604520297925</v>
      </c>
      <c r="I11" s="288">
        <f t="shared" si="2"/>
        <v>2.9857571697376737</v>
      </c>
      <c r="J11" s="288">
        <f t="shared" si="3"/>
        <v>0.22252773854518024</v>
      </c>
      <c r="K11" s="288">
        <f t="shared" si="7"/>
        <v>4.2014633038907432</v>
      </c>
      <c r="L11" s="288">
        <f t="shared" si="8"/>
        <v>3.6837931775005588</v>
      </c>
      <c r="M11" s="290">
        <f t="shared" si="4"/>
        <v>17.767790671831083</v>
      </c>
      <c r="N11" s="290">
        <f t="shared" si="5"/>
        <v>10.889594340432128</v>
      </c>
      <c r="O11" s="289">
        <f t="shared" si="9"/>
        <v>14.617537840124008</v>
      </c>
      <c r="P11" s="289">
        <f t="shared" si="10"/>
        <v>9.1231469672213734</v>
      </c>
      <c r="Q11" s="167">
        <f>(M11+N11)*'TV tinklas'!D12*'Pradiniai duomenys'!E$13*0.0000012</f>
        <v>0</v>
      </c>
      <c r="R11" s="167">
        <f>(O11+P11)*'TV tinklas'!I12*'Pradiniai duomenys'!E$13*0.0000012</f>
        <v>0</v>
      </c>
      <c r="S11" s="167">
        <f t="shared" si="11"/>
        <v>0</v>
      </c>
    </row>
    <row r="12" spans="1:24" ht="12.75" x14ac:dyDescent="0.2">
      <c r="A12" s="287">
        <v>65</v>
      </c>
      <c r="B12" s="287">
        <v>73</v>
      </c>
      <c r="C12" s="117">
        <v>60</v>
      </c>
      <c r="D12" s="117">
        <v>40</v>
      </c>
      <c r="E12" s="287">
        <f t="shared" si="0"/>
        <v>193</v>
      </c>
      <c r="F12" s="287">
        <f t="shared" si="6"/>
        <v>153</v>
      </c>
      <c r="G12" s="288">
        <v>0.66878980891719741</v>
      </c>
      <c r="H12" s="288">
        <f t="shared" si="1"/>
        <v>3.2330179340173002</v>
      </c>
      <c r="I12" s="288">
        <f t="shared" si="2"/>
        <v>2.5294574941689327</v>
      </c>
      <c r="J12" s="288">
        <f t="shared" si="3"/>
        <v>0.22252773854518024</v>
      </c>
      <c r="K12" s="288">
        <f t="shared" si="7"/>
        <v>4.0069136092314697</v>
      </c>
      <c r="L12" s="288">
        <f t="shared" si="8"/>
        <v>3.1184803644431915</v>
      </c>
      <c r="M12" s="290">
        <f t="shared" si="4"/>
        <v>18.487945624654991</v>
      </c>
      <c r="N12" s="290">
        <f t="shared" si="5"/>
        <v>12.636937986901435</v>
      </c>
      <c r="O12" s="289">
        <f t="shared" si="9"/>
        <v>15.210788714374212</v>
      </c>
      <c r="P12" s="289">
        <f t="shared" si="10"/>
        <v>10.627308868548059</v>
      </c>
      <c r="Q12" s="167">
        <f>(M12+N12)*'TV tinklas'!D13*'Pradiniai duomenys'!E$13*0.0000012</f>
        <v>0</v>
      </c>
      <c r="R12" s="167">
        <f>(O12+P12)*'TV tinklas'!I13*'Pradiniai duomenys'!E$13*0.0000012</f>
        <v>0</v>
      </c>
      <c r="S12" s="167">
        <f t="shared" si="11"/>
        <v>0</v>
      </c>
      <c r="V12" s="291" t="s">
        <v>197</v>
      </c>
      <c r="W12" s="85">
        <f>'Pradiniai duomenys'!J13</f>
        <v>4.784151555358986</v>
      </c>
      <c r="X12" s="286" t="s">
        <v>195</v>
      </c>
    </row>
    <row r="13" spans="1:24" ht="12.75" x14ac:dyDescent="0.2">
      <c r="A13" s="287">
        <v>70</v>
      </c>
      <c r="B13" s="287">
        <v>76</v>
      </c>
      <c r="C13" s="117">
        <v>60</v>
      </c>
      <c r="D13" s="117">
        <v>40</v>
      </c>
      <c r="E13" s="287">
        <f t="shared" si="0"/>
        <v>196</v>
      </c>
      <c r="F13" s="287">
        <f t="shared" si="6"/>
        <v>156</v>
      </c>
      <c r="G13" s="288">
        <v>0.66878980891719741</v>
      </c>
      <c r="H13" s="288">
        <f t="shared" si="1"/>
        <v>3.1517937521713506</v>
      </c>
      <c r="I13" s="288">
        <f t="shared" si="2"/>
        <v>2.4597186228928996</v>
      </c>
      <c r="J13" s="288">
        <f t="shared" si="3"/>
        <v>0.22252773854518024</v>
      </c>
      <c r="K13" s="288">
        <f t="shared" si="7"/>
        <v>3.9059092820509225</v>
      </c>
      <c r="L13" s="288">
        <f t="shared" si="8"/>
        <v>3.0321402657956114</v>
      </c>
      <c r="M13" s="290">
        <f t="shared" si="4"/>
        <v>18.913635022002001</v>
      </c>
      <c r="N13" s="290">
        <f t="shared" si="5"/>
        <v>12.930184015299711</v>
      </c>
      <c r="O13" s="289">
        <f t="shared" si="9"/>
        <v>15.569052832261129</v>
      </c>
      <c r="P13" s="289">
        <f t="shared" si="10"/>
        <v>10.884735798421106</v>
      </c>
      <c r="Q13" s="167">
        <f>(M13+N13)*'TV tinklas'!D14*'Pradiniai duomenys'!E$13*0.0000012</f>
        <v>0</v>
      </c>
      <c r="R13" s="167">
        <f>(O13+P13)*'TV tinklas'!I14*'Pradiniai duomenys'!E$13*0.0000012</f>
        <v>0</v>
      </c>
      <c r="S13" s="167">
        <f t="shared" si="11"/>
        <v>0</v>
      </c>
      <c r="V13" s="291" t="s">
        <v>198</v>
      </c>
      <c r="W13" s="86">
        <v>12</v>
      </c>
      <c r="X13" s="286" t="s">
        <v>191</v>
      </c>
    </row>
    <row r="14" spans="1:24" ht="12.75" x14ac:dyDescent="0.2">
      <c r="A14" s="287">
        <v>80</v>
      </c>
      <c r="B14" s="287">
        <v>89</v>
      </c>
      <c r="C14" s="117">
        <v>60</v>
      </c>
      <c r="D14" s="117">
        <v>40</v>
      </c>
      <c r="E14" s="287">
        <f t="shared" si="0"/>
        <v>209</v>
      </c>
      <c r="F14" s="287">
        <f t="shared" si="6"/>
        <v>169</v>
      </c>
      <c r="G14" s="288">
        <v>0.66878980891719741</v>
      </c>
      <c r="H14" s="288">
        <f t="shared" si="1"/>
        <v>2.8450879326269116</v>
      </c>
      <c r="I14" s="288">
        <f t="shared" si="2"/>
        <v>2.1987319698098262</v>
      </c>
      <c r="J14" s="288">
        <f t="shared" si="3"/>
        <v>0.22252773854518024</v>
      </c>
      <c r="K14" s="288">
        <f t="shared" si="7"/>
        <v>3.524631446884118</v>
      </c>
      <c r="L14" s="288">
        <f t="shared" si="8"/>
        <v>2.7091767965818092</v>
      </c>
      <c r="M14" s="290">
        <f t="shared" si="4"/>
        <v>20.715564966776238</v>
      </c>
      <c r="N14" s="290">
        <f t="shared" si="5"/>
        <v>14.158315819588536</v>
      </c>
      <c r="O14" s="289">
        <f t="shared" si="9"/>
        <v>17.088864192925264</v>
      </c>
      <c r="P14" s="289">
        <f t="shared" si="10"/>
        <v>11.968464329643048</v>
      </c>
      <c r="Q14" s="167">
        <f>(M14+N14)*'TV tinklas'!D15*'Pradiniai duomenys'!E$13*0.0000012</f>
        <v>0</v>
      </c>
      <c r="R14" s="167">
        <f>(O14+P14)*'TV tinklas'!I15*'Pradiniai duomenys'!E$13*0.0000012</f>
        <v>0</v>
      </c>
      <c r="S14" s="167">
        <f t="shared" si="11"/>
        <v>0</v>
      </c>
      <c r="V14" s="292" t="s">
        <v>202</v>
      </c>
      <c r="W14" s="86">
        <v>10</v>
      </c>
      <c r="X14" s="286" t="s">
        <v>191</v>
      </c>
    </row>
    <row r="15" spans="1:24" ht="12.75" x14ac:dyDescent="0.2">
      <c r="A15" s="287">
        <v>100</v>
      </c>
      <c r="B15" s="287">
        <v>108</v>
      </c>
      <c r="C15" s="117">
        <v>60</v>
      </c>
      <c r="D15" s="117">
        <v>40</v>
      </c>
      <c r="E15" s="287">
        <f t="shared" si="0"/>
        <v>228</v>
      </c>
      <c r="F15" s="287">
        <f t="shared" si="6"/>
        <v>188</v>
      </c>
      <c r="G15" s="288">
        <v>0.85987261146496818</v>
      </c>
      <c r="H15" s="288">
        <f t="shared" si="1"/>
        <v>2.4954683747256698</v>
      </c>
      <c r="I15" s="288">
        <f t="shared" si="2"/>
        <v>1.906015808018958</v>
      </c>
      <c r="J15" s="288">
        <f t="shared" si="3"/>
        <v>0.19317338283126648</v>
      </c>
      <c r="K15" s="288">
        <f t="shared" si="7"/>
        <v>3.0902510385825255</v>
      </c>
      <c r="L15" s="288">
        <f t="shared" si="8"/>
        <v>2.3472471536407182</v>
      </c>
      <c r="M15" s="290">
        <f t="shared" si="4"/>
        <v>23.632479688187466</v>
      </c>
      <c r="N15" s="290">
        <f t="shared" si="5"/>
        <v>16.351828391854667</v>
      </c>
      <c r="O15" s="289">
        <f t="shared" si="9"/>
        <v>19.500127693840508</v>
      </c>
      <c r="P15" s="289">
        <f t="shared" si="10"/>
        <v>13.825995074577289</v>
      </c>
      <c r="Q15" s="167">
        <f>(M15+N15)*'TV tinklas'!D16*'Pradiniai duomenys'!E$13*0.0000012</f>
        <v>0</v>
      </c>
      <c r="R15" s="167">
        <f>(O15+P15)*'TV tinklas'!I16*'Pradiniai duomenys'!E$13*0.0000012</f>
        <v>0</v>
      </c>
      <c r="S15" s="167">
        <f t="shared" si="11"/>
        <v>0</v>
      </c>
      <c r="V15" s="291" t="s">
        <v>192</v>
      </c>
      <c r="W15" s="83">
        <f>'Pradiniai duomenys'!J36</f>
        <v>0.05</v>
      </c>
      <c r="X15" s="286" t="s">
        <v>194</v>
      </c>
    </row>
    <row r="16" spans="1:24" ht="12.75" x14ac:dyDescent="0.2">
      <c r="A16" s="287">
        <v>125</v>
      </c>
      <c r="B16" s="287">
        <v>133</v>
      </c>
      <c r="C16" s="117">
        <v>60</v>
      </c>
      <c r="D16" s="117">
        <v>40</v>
      </c>
      <c r="E16" s="287">
        <f t="shared" si="0"/>
        <v>253</v>
      </c>
      <c r="F16" s="287">
        <f t="shared" si="6"/>
        <v>213</v>
      </c>
      <c r="G16" s="288">
        <v>0.85987261146496818</v>
      </c>
      <c r="H16" s="288">
        <f t="shared" si="1"/>
        <v>2.1522824050835618</v>
      </c>
      <c r="I16" s="288">
        <f t="shared" si="2"/>
        <v>1.6240131477926703</v>
      </c>
      <c r="J16" s="288">
        <f t="shared" si="3"/>
        <v>0.19317338283126648</v>
      </c>
      <c r="K16" s="288">
        <f t="shared" si="7"/>
        <v>2.6641425320461516</v>
      </c>
      <c r="L16" s="288">
        <f t="shared" si="8"/>
        <v>1.9988838056328566</v>
      </c>
      <c r="M16" s="290">
        <f t="shared" si="4"/>
        <v>26.910071909486117</v>
      </c>
      <c r="N16" s="290">
        <f t="shared" si="5"/>
        <v>18.540990297964083</v>
      </c>
      <c r="O16" s="289">
        <f t="shared" si="9"/>
        <v>22.276152375123061</v>
      </c>
      <c r="P16" s="289">
        <f t="shared" si="10"/>
        <v>15.778597350529983</v>
      </c>
      <c r="Q16" s="167">
        <f>(M16+N16)*'TV tinklas'!D17*'Pradiniai duomenys'!E$13*0.0000012</f>
        <v>0</v>
      </c>
      <c r="R16" s="167">
        <f>(O16+P16)*'TV tinklas'!I17*'Pradiniai duomenys'!E$13*0.0000012</f>
        <v>0</v>
      </c>
      <c r="S16" s="167">
        <f t="shared" si="11"/>
        <v>0</v>
      </c>
      <c r="V16" s="291" t="s">
        <v>193</v>
      </c>
      <c r="W16" s="83">
        <f>'Pradiniai duomenys'!J37</f>
        <v>0.04</v>
      </c>
      <c r="X16" s="286" t="s">
        <v>194</v>
      </c>
    </row>
    <row r="17" spans="1:24" ht="12.75" x14ac:dyDescent="0.2">
      <c r="A17" s="287">
        <v>150</v>
      </c>
      <c r="B17" s="287">
        <v>159</v>
      </c>
      <c r="C17" s="117">
        <v>70</v>
      </c>
      <c r="D17" s="117">
        <v>50</v>
      </c>
      <c r="E17" s="287">
        <f t="shared" si="0"/>
        <v>299</v>
      </c>
      <c r="F17" s="287">
        <f t="shared" si="6"/>
        <v>259</v>
      </c>
      <c r="G17" s="288">
        <v>0.85987261146496818</v>
      </c>
      <c r="H17" s="288">
        <f t="shared" si="1"/>
        <v>2.0995337323886685</v>
      </c>
      <c r="I17" s="288">
        <f t="shared" si="2"/>
        <v>1.6559626959952387</v>
      </c>
      <c r="J17" s="288">
        <f t="shared" si="3"/>
        <v>0.19317338283126648</v>
      </c>
      <c r="K17" s="288">
        <f t="shared" si="7"/>
        <v>2.6022390718403501</v>
      </c>
      <c r="L17" s="288">
        <f t="shared" si="8"/>
        <v>2.0443500881407664</v>
      </c>
      <c r="M17" s="290">
        <f t="shared" si="4"/>
        <v>27.561925246115319</v>
      </c>
      <c r="N17" s="290">
        <f t="shared" si="5"/>
        <v>18.152540261420253</v>
      </c>
      <c r="O17" s="289">
        <f t="shared" si="9"/>
        <v>22.794699862978131</v>
      </c>
      <c r="P17" s="289">
        <f t="shared" si="10"/>
        <v>15.413209569033238</v>
      </c>
      <c r="Q17" s="167">
        <f>(M17+N17)*'TV tinklas'!D18*'Pradiniai duomenys'!E$13*0.00000115</f>
        <v>0</v>
      </c>
      <c r="R17" s="167">
        <f>(O17+P17)*'TV tinklas'!I18*'Pradiniai duomenys'!E$13*0.00000115</f>
        <v>0</v>
      </c>
      <c r="S17" s="167">
        <f t="shared" si="11"/>
        <v>0</v>
      </c>
      <c r="V17" s="292" t="s">
        <v>201</v>
      </c>
      <c r="W17" s="85">
        <f>'Pradiniai duomenys'!J31</f>
        <v>2</v>
      </c>
      <c r="X17" s="286" t="s">
        <v>194</v>
      </c>
    </row>
    <row r="18" spans="1:24" ht="12.75" x14ac:dyDescent="0.2">
      <c r="A18" s="287">
        <v>175</v>
      </c>
      <c r="B18" s="287">
        <v>194</v>
      </c>
      <c r="C18" s="117">
        <v>70</v>
      </c>
      <c r="D18" s="117">
        <v>50</v>
      </c>
      <c r="E18" s="287">
        <f t="shared" si="0"/>
        <v>334</v>
      </c>
      <c r="F18" s="287">
        <f t="shared" si="6"/>
        <v>294</v>
      </c>
      <c r="G18" s="288">
        <v>1.1459999999999999</v>
      </c>
      <c r="H18" s="288">
        <f t="shared" si="1"/>
        <v>1.8092287108448486</v>
      </c>
      <c r="I18" s="288">
        <f t="shared" si="2"/>
        <v>1.4138786891840995</v>
      </c>
      <c r="J18" s="288">
        <f t="shared" si="3"/>
        <v>0.16152002385379791</v>
      </c>
      <c r="K18" s="288">
        <f t="shared" si="7"/>
        <v>2.2416818466398927</v>
      </c>
      <c r="L18" s="288">
        <f t="shared" si="8"/>
        <v>1.7447930893712809</v>
      </c>
      <c r="M18" s="290">
        <f t="shared" si="4"/>
        <v>32.090391796406372</v>
      </c>
      <c r="N18" s="290">
        <f t="shared" si="5"/>
        <v>21.396175031427333</v>
      </c>
      <c r="O18" s="289">
        <f t="shared" si="9"/>
        <v>26.533751412041916</v>
      </c>
      <c r="P18" s="289">
        <f t="shared" si="10"/>
        <v>18.152849631994279</v>
      </c>
      <c r="Q18" s="167">
        <f>(M18+N18)*'TV tinklas'!D19*'Pradiniai duomenys'!E$13*0.00000115</f>
        <v>0</v>
      </c>
      <c r="R18" s="167">
        <f>(O18+P18)*'TV tinklas'!I19*'Pradiniai duomenys'!E$13*0.00000115</f>
        <v>0</v>
      </c>
      <c r="S18" s="167">
        <f>SUM(Q18:R18)</f>
        <v>0</v>
      </c>
      <c r="V18" s="292" t="s">
        <v>199</v>
      </c>
      <c r="W18" s="83">
        <v>1.68</v>
      </c>
      <c r="X18" s="276" t="s">
        <v>200</v>
      </c>
    </row>
    <row r="19" spans="1:24" ht="12.75" x14ac:dyDescent="0.2">
      <c r="A19" s="287">
        <v>200</v>
      </c>
      <c r="B19" s="287">
        <v>219</v>
      </c>
      <c r="C19" s="117">
        <v>70</v>
      </c>
      <c r="D19" s="117">
        <v>50</v>
      </c>
      <c r="E19" s="287">
        <f t="shared" si="0"/>
        <v>359</v>
      </c>
      <c r="F19" s="287">
        <f t="shared" si="6"/>
        <v>319</v>
      </c>
      <c r="G19" s="288">
        <v>1.1464968152866242</v>
      </c>
      <c r="H19" s="288">
        <f t="shared" si="1"/>
        <v>1.6475798910828074</v>
      </c>
      <c r="I19" s="288">
        <f t="shared" si="2"/>
        <v>1.2807145537506421</v>
      </c>
      <c r="J19" s="288">
        <f t="shared" si="3"/>
        <v>0.16147329146375394</v>
      </c>
      <c r="K19" s="288">
        <f t="shared" si="7"/>
        <v>2.0410034153855428</v>
      </c>
      <c r="L19" s="288">
        <f t="shared" si="8"/>
        <v>1.5801055746334438</v>
      </c>
      <c r="M19" s="290">
        <f t="shared" si="4"/>
        <v>34.80990934472058</v>
      </c>
      <c r="N19" s="290">
        <f t="shared" si="5"/>
        <v>23.06903149255475</v>
      </c>
      <c r="O19" s="289">
        <f t="shared" si="9"/>
        <v>28.842072776828214</v>
      </c>
      <c r="P19" s="289">
        <f t="shared" si="10"/>
        <v>19.656602235695328</v>
      </c>
      <c r="Q19" s="167">
        <f>(M19+N19)*'TV tinklas'!D20*'Pradiniai duomenys'!E$13*0.00000115</f>
        <v>0</v>
      </c>
      <c r="R19" s="167">
        <f>(O19+P19)*'TV tinklas'!I20*'Pradiniai duomenys'!E$13*0.00000115</f>
        <v>0</v>
      </c>
      <c r="S19" s="167">
        <f t="shared" si="11"/>
        <v>0</v>
      </c>
      <c r="V19" s="292"/>
    </row>
    <row r="20" spans="1:24" ht="12.75" x14ac:dyDescent="0.2">
      <c r="A20" s="287">
        <v>250</v>
      </c>
      <c r="B20" s="287">
        <v>273</v>
      </c>
      <c r="C20" s="117">
        <v>70</v>
      </c>
      <c r="D20" s="117">
        <v>50</v>
      </c>
      <c r="E20" s="287">
        <f t="shared" si="0"/>
        <v>413</v>
      </c>
      <c r="F20" s="287">
        <f t="shared" si="6"/>
        <v>373</v>
      </c>
      <c r="G20" s="288">
        <v>1.1464968152866242</v>
      </c>
      <c r="H20" s="288">
        <f t="shared" si="1"/>
        <v>1.3823241217170796</v>
      </c>
      <c r="I20" s="288">
        <f t="shared" si="2"/>
        <v>1.0648600928131902</v>
      </c>
      <c r="J20" s="288">
        <f t="shared" si="3"/>
        <v>0.16147329146375394</v>
      </c>
      <c r="K20" s="288">
        <f t="shared" si="7"/>
        <v>1.7118488567468335</v>
      </c>
      <c r="L20" s="288">
        <f t="shared" si="8"/>
        <v>1.3132969658824394</v>
      </c>
      <c r="M20" s="290">
        <f t="shared" si="4"/>
        <v>40.443840938850975</v>
      </c>
      <c r="N20" s="290">
        <f t="shared" si="5"/>
        <v>26.387724378982394</v>
      </c>
      <c r="O20" s="289">
        <f t="shared" si="9"/>
        <v>33.648640890543504</v>
      </c>
      <c r="P20" s="289">
        <f t="shared" si="10"/>
        <v>22.686510317346098</v>
      </c>
      <c r="Q20" s="167">
        <f>(M20+N20)*'TV tinklas'!D21*'Pradiniai duomenys'!E$13*0.00000115</f>
        <v>0</v>
      </c>
      <c r="R20" s="167">
        <f>(O20+P20)*'TV tinklas'!I21*'Pradiniai duomenys'!E$13*0.00000115</f>
        <v>0</v>
      </c>
      <c r="S20" s="167">
        <f t="shared" si="11"/>
        <v>0</v>
      </c>
      <c r="V20" s="292"/>
    </row>
    <row r="21" spans="1:24" ht="12.75" x14ac:dyDescent="0.2">
      <c r="A21" s="287">
        <v>300</v>
      </c>
      <c r="B21" s="287">
        <v>325</v>
      </c>
      <c r="C21" s="117">
        <v>70</v>
      </c>
      <c r="D21" s="117">
        <v>50</v>
      </c>
      <c r="E21" s="287">
        <f t="shared" si="0"/>
        <v>465</v>
      </c>
      <c r="F21" s="287">
        <f t="shared" si="6"/>
        <v>425</v>
      </c>
      <c r="G21" s="288">
        <v>1.5286624203821655</v>
      </c>
      <c r="H21" s="288">
        <f t="shared" si="1"/>
        <v>1.1975907296049468</v>
      </c>
      <c r="I21" s="288">
        <f t="shared" si="2"/>
        <v>0.91656429802334149</v>
      </c>
      <c r="J21" s="288">
        <f t="shared" si="3"/>
        <v>0.13073367150812612</v>
      </c>
      <c r="K21" s="288">
        <f t="shared" si="7"/>
        <v>1.4827276593180114</v>
      </c>
      <c r="L21" s="288">
        <f t="shared" si="8"/>
        <v>1.1301024313527064</v>
      </c>
      <c r="M21" s="290">
        <f t="shared" si="4"/>
        <v>47.136480677163718</v>
      </c>
      <c r="N21" s="290">
        <f t="shared" si="5"/>
        <v>31.25034443695316</v>
      </c>
      <c r="O21" s="289">
        <f t="shared" si="9"/>
        <v>39.168245149732904</v>
      </c>
      <c r="P21" s="289">
        <f t="shared" si="10"/>
        <v>26.783924480983877</v>
      </c>
      <c r="Q21" s="167">
        <f>(M21+N21)*'TV tinklas'!D22*'Pradiniai duomenys'!E$13*0.00000115</f>
        <v>0</v>
      </c>
      <c r="R21" s="167">
        <f>(O21+P21)*'TV tinklas'!I22*'Pradiniai duomenys'!E$13*0.00000115</f>
        <v>0</v>
      </c>
      <c r="S21" s="167">
        <f t="shared" si="11"/>
        <v>0</v>
      </c>
      <c r="V21" s="292"/>
    </row>
    <row r="22" spans="1:24" ht="12.75" x14ac:dyDescent="0.2">
      <c r="A22" s="287">
        <v>350</v>
      </c>
      <c r="B22" s="287">
        <v>377</v>
      </c>
      <c r="C22" s="117">
        <v>80</v>
      </c>
      <c r="D22" s="117">
        <v>60</v>
      </c>
      <c r="E22" s="287">
        <f t="shared" si="0"/>
        <v>537</v>
      </c>
      <c r="F22" s="287">
        <f t="shared" si="6"/>
        <v>497</v>
      </c>
      <c r="G22" s="288">
        <v>1.5286624203821655</v>
      </c>
      <c r="H22" s="288">
        <f t="shared" si="1"/>
        <v>1.1757440419290586</v>
      </c>
      <c r="I22" s="288">
        <f t="shared" si="2"/>
        <v>0.93325218758516759</v>
      </c>
      <c r="J22" s="288">
        <f t="shared" si="3"/>
        <v>0.13073367150812612</v>
      </c>
      <c r="K22" s="288">
        <f t="shared" si="7"/>
        <v>1.4573313559494983</v>
      </c>
      <c r="L22" s="288">
        <f t="shared" si="8"/>
        <v>1.1532226791494673</v>
      </c>
      <c r="M22" s="290">
        <f t="shared" si="4"/>
        <v>47.984157151676179</v>
      </c>
      <c r="N22" s="290">
        <f t="shared" si="5"/>
        <v>30.65604879938159</v>
      </c>
      <c r="O22" s="289">
        <f t="shared" si="9"/>
        <v>39.839957452350802</v>
      </c>
      <c r="P22" s="289">
        <f t="shared" si="10"/>
        <v>26.233231004428884</v>
      </c>
      <c r="Q22" s="167">
        <f>(M22+N22)*'TV tinklas'!D23*'Pradiniai duomenys'!E$13*0.00000115</f>
        <v>0</v>
      </c>
      <c r="R22" s="167">
        <f>(O22+P22)*'TV tinklas'!I23*'Pradiniai duomenys'!E$13*0.00000115</f>
        <v>0</v>
      </c>
      <c r="S22" s="167">
        <f t="shared" si="11"/>
        <v>0</v>
      </c>
    </row>
    <row r="23" spans="1:24" ht="12.75" x14ac:dyDescent="0.2">
      <c r="A23" s="287">
        <v>400</v>
      </c>
      <c r="B23" s="287">
        <v>426</v>
      </c>
      <c r="C23" s="117">
        <v>80</v>
      </c>
      <c r="D23" s="117">
        <v>60</v>
      </c>
      <c r="E23" s="287">
        <f t="shared" si="0"/>
        <v>586</v>
      </c>
      <c r="F23" s="287">
        <f t="shared" si="6"/>
        <v>546</v>
      </c>
      <c r="G23" s="288">
        <v>1.5286624203821655</v>
      </c>
      <c r="H23" s="288">
        <f t="shared" si="1"/>
        <v>1.0605798366109871</v>
      </c>
      <c r="I23" s="288">
        <f t="shared" si="2"/>
        <v>0.83878452633068856</v>
      </c>
      <c r="J23" s="288">
        <f t="shared" si="3"/>
        <v>0.13073367150812612</v>
      </c>
      <c r="K23" s="288">
        <f t="shared" si="7"/>
        <v>1.3144086694838701</v>
      </c>
      <c r="L23" s="288">
        <f t="shared" si="8"/>
        <v>1.036335511393214</v>
      </c>
      <c r="M23" s="290">
        <f t="shared" si="4"/>
        <v>52.35973417562446</v>
      </c>
      <c r="N23" s="290">
        <f t="shared" si="5"/>
        <v>33.05308475936031</v>
      </c>
      <c r="O23" s="289">
        <f t="shared" si="9"/>
        <v>43.580297161553553</v>
      </c>
      <c r="P23" s="289">
        <f t="shared" si="10"/>
        <v>28.441617420668777</v>
      </c>
      <c r="Q23" s="167">
        <f>(M23+N23)*'TV tinklas'!D24*'Pradiniai duomenys'!E$13*0.00000115</f>
        <v>0</v>
      </c>
      <c r="R23" s="167">
        <f>(O23+P23)*'TV tinklas'!I24*'Pradiniai duomenys'!E$13*0.00000115</f>
        <v>0</v>
      </c>
      <c r="S23" s="167">
        <f t="shared" si="11"/>
        <v>0</v>
      </c>
    </row>
    <row r="24" spans="1:24" ht="12.75" x14ac:dyDescent="0.2">
      <c r="A24" s="287">
        <v>450</v>
      </c>
      <c r="B24" s="287">
        <v>478</v>
      </c>
      <c r="C24" s="117">
        <v>80</v>
      </c>
      <c r="D24" s="117">
        <v>60</v>
      </c>
      <c r="E24" s="287">
        <f t="shared" si="0"/>
        <v>638</v>
      </c>
      <c r="F24" s="287">
        <f t="shared" si="6"/>
        <v>598</v>
      </c>
      <c r="G24" s="288">
        <v>1.5286624203821655</v>
      </c>
      <c r="H24" s="288">
        <f t="shared" si="1"/>
        <v>0.96088375702673301</v>
      </c>
      <c r="I24" s="288">
        <f t="shared" si="2"/>
        <v>0.75750857561698559</v>
      </c>
      <c r="J24" s="288">
        <f t="shared" si="3"/>
        <v>0.13073367150812612</v>
      </c>
      <c r="K24" s="288">
        <f t="shared" si="7"/>
        <v>1.1907108875059869</v>
      </c>
      <c r="L24" s="288">
        <f t="shared" si="8"/>
        <v>0.93579667269848943</v>
      </c>
      <c r="M24" s="290">
        <f t="shared" si="4"/>
        <v>56.858778768902397</v>
      </c>
      <c r="N24" s="290">
        <f t="shared" si="5"/>
        <v>35.415328028773352</v>
      </c>
      <c r="O24" s="289">
        <f t="shared" si="9"/>
        <v>47.441335540122168</v>
      </c>
      <c r="P24" s="289">
        <f t="shared" si="10"/>
        <v>30.649449083218691</v>
      </c>
      <c r="Q24" s="167">
        <f>(M24+N24)*'TV tinklas'!D25*'Pradiniai duomenys'!E$13*0.00000115</f>
        <v>0</v>
      </c>
      <c r="R24" s="167">
        <f>(O24+P24)*'TV tinklas'!I25*'Pradiniai duomenys'!E$13*0.00000115</f>
        <v>0</v>
      </c>
      <c r="S24" s="167">
        <f t="shared" si="11"/>
        <v>0</v>
      </c>
    </row>
    <row r="25" spans="1:24" ht="12.75" x14ac:dyDescent="0.2">
      <c r="A25" s="287">
        <v>500</v>
      </c>
      <c r="B25" s="287">
        <v>529</v>
      </c>
      <c r="C25" s="117">
        <v>80</v>
      </c>
      <c r="D25" s="117">
        <v>60</v>
      </c>
      <c r="E25" s="287">
        <f t="shared" si="0"/>
        <v>689</v>
      </c>
      <c r="F25" s="287">
        <f t="shared" si="6"/>
        <v>649</v>
      </c>
      <c r="G25" s="288">
        <v>2.1019108280254777</v>
      </c>
      <c r="H25" s="288">
        <f t="shared" si="1"/>
        <v>0.87987886280244887</v>
      </c>
      <c r="I25" s="288">
        <f t="shared" si="2"/>
        <v>0.69182117305685542</v>
      </c>
      <c r="J25" s="288">
        <f t="shared" si="3"/>
        <v>9.5865346858363218E-2</v>
      </c>
      <c r="K25" s="288">
        <f t="shared" si="7"/>
        <v>1.0902241227701148</v>
      </c>
      <c r="L25" s="288">
        <f t="shared" si="8"/>
        <v>0.85455882379410475</v>
      </c>
      <c r="M25" s="290">
        <f t="shared" si="4"/>
        <v>64.273723272443021</v>
      </c>
      <c r="N25" s="290">
        <f t="shared" si="5"/>
        <v>41.550951874876617</v>
      </c>
      <c r="O25" s="289">
        <f t="shared" si="9"/>
        <v>53.361269777100482</v>
      </c>
      <c r="P25" s="289">
        <f t="shared" si="10"/>
        <v>35.537028480353449</v>
      </c>
      <c r="Q25" s="167">
        <f>(M25+N25)*'TV tinklas'!D26*'Pradiniai duomenys'!E$13*0.00000115</f>
        <v>0</v>
      </c>
      <c r="R25" s="167">
        <f>(O25+P25)*'TV tinklas'!I26*'Pradiniai duomenys'!E$13*0.00000115</f>
        <v>0</v>
      </c>
      <c r="S25" s="167">
        <f t="shared" si="11"/>
        <v>0</v>
      </c>
    </row>
    <row r="26" spans="1:24" ht="12.75" x14ac:dyDescent="0.2">
      <c r="A26" s="287">
        <v>600</v>
      </c>
      <c r="B26" s="287">
        <v>630</v>
      </c>
      <c r="C26" s="117">
        <v>80</v>
      </c>
      <c r="D26" s="117">
        <v>60</v>
      </c>
      <c r="E26" s="287">
        <f t="shared" si="0"/>
        <v>790</v>
      </c>
      <c r="F26" s="287">
        <f t="shared" si="6"/>
        <v>750</v>
      </c>
      <c r="G26" s="288">
        <v>2.1019108280254777</v>
      </c>
      <c r="H26" s="288">
        <f t="shared" si="1"/>
        <v>0.75415694279144496</v>
      </c>
      <c r="I26" s="288">
        <f t="shared" si="2"/>
        <v>0.59050785133563899</v>
      </c>
      <c r="J26" s="288">
        <f t="shared" si="3"/>
        <v>9.5865346858363218E-2</v>
      </c>
      <c r="K26" s="288">
        <f t="shared" si="7"/>
        <v>0.93430219114753399</v>
      </c>
      <c r="L26" s="288">
        <f t="shared" si="8"/>
        <v>0.7292931475028821</v>
      </c>
      <c r="M26" s="290">
        <f t="shared" si="4"/>
        <v>73.229449300328525</v>
      </c>
      <c r="N26" s="290">
        <f t="shared" si="5"/>
        <v>46.433312057220526</v>
      </c>
      <c r="O26" s="289">
        <f t="shared" si="9"/>
        <v>61.018568066526662</v>
      </c>
      <c r="P26" s="289">
        <f t="shared" si="10"/>
        <v>40.042223997168485</v>
      </c>
      <c r="Q26" s="167">
        <f>(M26+N26)*'TV tinklas'!D27*'Pradiniai duomenys'!E$13*0.00000115</f>
        <v>0</v>
      </c>
      <c r="R26" s="167">
        <f>(O26+P26)*'TV tinklas'!I27*'Pradiniai duomenys'!E$13*0.00000115</f>
        <v>0</v>
      </c>
      <c r="S26" s="167">
        <f t="shared" si="11"/>
        <v>0</v>
      </c>
    </row>
    <row r="27" spans="1:24" ht="12.75" x14ac:dyDescent="0.2">
      <c r="A27" s="287">
        <v>700</v>
      </c>
      <c r="B27" s="287">
        <v>720</v>
      </c>
      <c r="C27" s="117">
        <v>80</v>
      </c>
      <c r="D27" s="117">
        <v>60</v>
      </c>
      <c r="E27" s="287">
        <f t="shared" si="0"/>
        <v>880</v>
      </c>
      <c r="F27" s="287">
        <f t="shared" si="6"/>
        <v>840</v>
      </c>
      <c r="G27" s="288">
        <v>1.5286624203821655</v>
      </c>
      <c r="H27" s="288">
        <f t="shared" si="1"/>
        <v>0.66907753980603502</v>
      </c>
      <c r="I27" s="288">
        <f t="shared" si="2"/>
        <v>0.52239314552237159</v>
      </c>
      <c r="J27" s="288">
        <f t="shared" si="3"/>
        <v>0.13073367150812612</v>
      </c>
      <c r="K27" s="288">
        <f t="shared" si="7"/>
        <v>0.8288114133939074</v>
      </c>
      <c r="L27" s="288">
        <f t="shared" si="8"/>
        <v>0.6450970866648692</v>
      </c>
      <c r="M27" s="290">
        <f t="shared" si="4"/>
        <v>76.150661748423303</v>
      </c>
      <c r="N27" s="290">
        <f t="shared" si="5"/>
        <v>44.302715956894417</v>
      </c>
      <c r="O27" s="289">
        <f t="shared" si="9"/>
        <v>64.153194042717004</v>
      </c>
      <c r="P27" s="289">
        <f t="shared" si="10"/>
        <v>39.317550302508252</v>
      </c>
      <c r="Q27" s="167">
        <f>(M27+N27)*'TV tinklas'!D28*'Pradiniai duomenys'!E$13*0.00000115</f>
        <v>0</v>
      </c>
      <c r="R27" s="167">
        <f>(O27+P27)*'TV tinklas'!I28*'Pradiniai duomenys'!E$13*0.00000115</f>
        <v>0</v>
      </c>
      <c r="S27" s="167">
        <f t="shared" si="11"/>
        <v>0</v>
      </c>
    </row>
    <row r="28" spans="1:24" ht="12.75" x14ac:dyDescent="0.2">
      <c r="A28" s="287">
        <v>800</v>
      </c>
      <c r="B28" s="287">
        <v>820</v>
      </c>
      <c r="C28" s="117">
        <v>80</v>
      </c>
      <c r="D28" s="117">
        <v>60</v>
      </c>
      <c r="E28" s="287">
        <f t="shared" si="0"/>
        <v>980</v>
      </c>
      <c r="F28" s="287">
        <f t="shared" si="6"/>
        <v>940</v>
      </c>
      <c r="G28" s="288">
        <v>2.1019108280254777</v>
      </c>
      <c r="H28" s="288">
        <f t="shared" si="1"/>
        <v>0.59460869532833127</v>
      </c>
      <c r="I28" s="288">
        <f t="shared" si="2"/>
        <v>0.46307458856469325</v>
      </c>
      <c r="J28" s="288">
        <f t="shared" si="3"/>
        <v>9.5865346858363218E-2</v>
      </c>
      <c r="K28" s="288">
        <f t="shared" si="7"/>
        <v>0.73649428752776092</v>
      </c>
      <c r="L28" s="288">
        <f t="shared" si="8"/>
        <v>0.57178871442927082</v>
      </c>
      <c r="M28" s="290">
        <f t="shared" si="4"/>
        <v>89.057726153825996</v>
      </c>
      <c r="N28" s="290">
        <f t="shared" si="5"/>
        <v>54.304936407433097</v>
      </c>
      <c r="O28" s="289">
        <f t="shared" si="9"/>
        <v>74.657046176313159</v>
      </c>
      <c r="P28" s="289">
        <f t="shared" si="10"/>
        <v>47.530189164973997</v>
      </c>
      <c r="Q28" s="167">
        <f>(M28+N28)*'TV tinklas'!D29*'Pradiniai duomenys'!E$13*0.00000115</f>
        <v>0</v>
      </c>
      <c r="R28" s="167">
        <f>(O28+P28)*'TV tinklas'!I29*'Pradiniai duomenys'!E$13*0.00000115</f>
        <v>0</v>
      </c>
      <c r="S28" s="167">
        <f t="shared" si="11"/>
        <v>0</v>
      </c>
    </row>
    <row r="29" spans="1:24" ht="12.75" x14ac:dyDescent="0.2">
      <c r="A29" s="287">
        <v>900</v>
      </c>
      <c r="B29" s="287">
        <v>920</v>
      </c>
      <c r="C29" s="117">
        <v>80</v>
      </c>
      <c r="D29" s="117">
        <v>60</v>
      </c>
      <c r="E29" s="287">
        <f t="shared" si="0"/>
        <v>1080</v>
      </c>
      <c r="F29" s="287">
        <f t="shared" si="6"/>
        <v>1040</v>
      </c>
      <c r="G29" s="288">
        <v>2.1019108280254777</v>
      </c>
      <c r="H29" s="288">
        <f t="shared" si="1"/>
        <v>0.53509118302455672</v>
      </c>
      <c r="I29" s="288">
        <f t="shared" si="2"/>
        <v>0.4158706012342937</v>
      </c>
      <c r="J29" s="288">
        <f t="shared" si="3"/>
        <v>9.5865346858363218E-2</v>
      </c>
      <c r="K29" s="288">
        <f t="shared" si="7"/>
        <v>0.66272393248439954</v>
      </c>
      <c r="L29" s="288">
        <f t="shared" si="8"/>
        <v>0.51346204961979014</v>
      </c>
      <c r="M29" s="290">
        <f t="shared" si="4"/>
        <v>96.921183573654275</v>
      </c>
      <c r="N29" s="290">
        <f t="shared" si="5"/>
        <v>57.841089112439406</v>
      </c>
      <c r="O29" s="289">
        <f t="shared" si="9"/>
        <v>81.477851265211143</v>
      </c>
      <c r="P29" s="289">
        <f t="shared" si="10"/>
        <v>51.006807118311194</v>
      </c>
      <c r="Q29" s="167">
        <f>(M29+N29)*'TV tinklas'!D30*'Pradiniai duomenys'!E$13*0.00000115</f>
        <v>0</v>
      </c>
      <c r="R29" s="167">
        <f>(O29+P29)*'TV tinklas'!I30*'Pradiniai duomenys'!E$13*0.00000115</f>
        <v>0</v>
      </c>
      <c r="S29" s="167">
        <f t="shared" si="11"/>
        <v>0</v>
      </c>
    </row>
    <row r="30" spans="1:24" ht="12.75" x14ac:dyDescent="0.2">
      <c r="A30" s="287">
        <v>1000</v>
      </c>
      <c r="B30" s="287">
        <v>1020</v>
      </c>
      <c r="C30" s="117">
        <v>80</v>
      </c>
      <c r="D30" s="117">
        <v>60</v>
      </c>
      <c r="E30" s="287">
        <f t="shared" si="0"/>
        <v>1180</v>
      </c>
      <c r="F30" s="287">
        <f t="shared" si="6"/>
        <v>1140</v>
      </c>
      <c r="G30" s="288">
        <v>2.1019108280254777</v>
      </c>
      <c r="H30" s="288">
        <f t="shared" si="1"/>
        <v>0.48642522036087987</v>
      </c>
      <c r="I30" s="288">
        <f t="shared" si="2"/>
        <v>0.37740996605060367</v>
      </c>
      <c r="J30" s="288">
        <f t="shared" si="3"/>
        <v>9.5865346858363218E-2</v>
      </c>
      <c r="K30" s="288">
        <f t="shared" si="7"/>
        <v>0.60241182206126931</v>
      </c>
      <c r="L30" s="288">
        <f t="shared" si="8"/>
        <v>0.46594557159834227</v>
      </c>
      <c r="M30" s="290">
        <f t="shared" si="4"/>
        <v>104.50043817780264</v>
      </c>
      <c r="N30" s="290">
        <f t="shared" si="5"/>
        <v>61.006302075310444</v>
      </c>
      <c r="O30" s="289">
        <f t="shared" si="9"/>
        <v>88.077661065946842</v>
      </c>
      <c r="P30" s="289">
        <f t="shared" si="10"/>
        <v>54.19466038850841</v>
      </c>
      <c r="Q30" s="167">
        <f>(M30+N30)*'TV tinklas'!D31*'Pradiniai duomenys'!E$13*0.00000115</f>
        <v>0</v>
      </c>
      <c r="R30" s="167">
        <f>(O30+P30)*'TV tinklas'!I31*'Pradiniai duomenys'!E$13*0.00000115</f>
        <v>0</v>
      </c>
      <c r="S30" s="167">
        <f t="shared" si="11"/>
        <v>0</v>
      </c>
    </row>
    <row r="31" spans="1:24" ht="12.75" x14ac:dyDescent="0.2">
      <c r="A31" s="287">
        <v>1100</v>
      </c>
      <c r="B31" s="287">
        <v>1118</v>
      </c>
      <c r="C31" s="117">
        <v>80</v>
      </c>
      <c r="D31" s="117">
        <v>60</v>
      </c>
      <c r="E31" s="287">
        <f t="shared" si="0"/>
        <v>1278</v>
      </c>
      <c r="F31" s="287">
        <f t="shared" si="6"/>
        <v>1238</v>
      </c>
      <c r="G31" s="288">
        <v>2.1019999999999999</v>
      </c>
      <c r="H31" s="288">
        <f t="shared" si="1"/>
        <v>0.44663094628422273</v>
      </c>
      <c r="I31" s="288">
        <f t="shared" si="2"/>
        <v>0.3460529522931946</v>
      </c>
      <c r="J31" s="288">
        <f t="shared" si="3"/>
        <v>9.5860483032406504E-2</v>
      </c>
      <c r="K31" s="288">
        <f t="shared" si="7"/>
        <v>0.55309991133728154</v>
      </c>
      <c r="L31" s="288">
        <f t="shared" si="8"/>
        <v>0.42720976871867422</v>
      </c>
      <c r="M31" s="290">
        <f t="shared" si="4"/>
        <v>111.67736734912187</v>
      </c>
      <c r="N31" s="290">
        <f t="shared" si="5"/>
        <v>63.780140692568629</v>
      </c>
      <c r="O31" s="289">
        <f t="shared" si="9"/>
        <v>94.348117804785247</v>
      </c>
      <c r="P31" s="289">
        <f t="shared" si="10"/>
        <v>57.060196428673542</v>
      </c>
      <c r="Q31" s="167">
        <f>(M31+N31)*'TV tinklas'!D32*'Pradiniai duomenys'!E$13*0.00000115</f>
        <v>0</v>
      </c>
      <c r="R31" s="167">
        <f>(O31+P31)*'TV tinklas'!I32*'Pradiniai duomenys'!E$13*0.00000115</f>
        <v>0</v>
      </c>
      <c r="S31" s="167">
        <f>SUM(Q31:R31)</f>
        <v>0</v>
      </c>
    </row>
    <row r="32" spans="1:24" ht="12.75" x14ac:dyDescent="0.2">
      <c r="A32" s="287">
        <v>1200</v>
      </c>
      <c r="B32" s="287">
        <v>1220</v>
      </c>
      <c r="C32" s="117">
        <v>80</v>
      </c>
      <c r="D32" s="117">
        <v>60</v>
      </c>
      <c r="E32" s="287">
        <f t="shared" si="0"/>
        <v>1380</v>
      </c>
      <c r="F32" s="287">
        <f t="shared" si="6"/>
        <v>1340</v>
      </c>
      <c r="G32" s="288">
        <v>2.1019999999999999</v>
      </c>
      <c r="H32" s="288">
        <f t="shared" si="1"/>
        <v>0.41159374160260431</v>
      </c>
      <c r="I32" s="288">
        <f t="shared" si="2"/>
        <v>0.31851369273241625</v>
      </c>
      <c r="J32" s="288">
        <f t="shared" si="3"/>
        <v>9.5860483032406504E-2</v>
      </c>
      <c r="K32" s="288">
        <f t="shared" si="7"/>
        <v>0.50968692338006694</v>
      </c>
      <c r="L32" s="288">
        <f t="shared" si="8"/>
        <v>0.39319342188566953</v>
      </c>
      <c r="M32" s="290">
        <f t="shared" si="4"/>
        <v>118.9031780816693</v>
      </c>
      <c r="N32" s="290">
        <f t="shared" si="5"/>
        <v>66.347357002005381</v>
      </c>
      <c r="O32" s="289">
        <f t="shared" si="9"/>
        <v>100.6803379565951</v>
      </c>
      <c r="P32" s="289">
        <f t="shared" si="10"/>
        <v>59.787850244014344</v>
      </c>
      <c r="Q32" s="167">
        <f>(M32+N32)*'TV tinklas'!D33*'Pradiniai duomenys'!E$13*0.00000115</f>
        <v>0</v>
      </c>
      <c r="R32" s="167">
        <f>(O32+P32)*'TV tinklas'!I33*'Pradiniai duomenys'!E$13*0.00000115</f>
        <v>0</v>
      </c>
      <c r="S32" s="167">
        <f t="shared" si="11"/>
        <v>0</v>
      </c>
    </row>
    <row r="33" spans="1:24" ht="12.75" x14ac:dyDescent="0.2">
      <c r="A33" s="293" t="s">
        <v>40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294"/>
      <c r="N33" s="294"/>
      <c r="O33" s="294"/>
      <c r="P33" s="295" t="s">
        <v>138</v>
      </c>
      <c r="Q33" s="296">
        <f>SUM(Q8:Q32)</f>
        <v>0</v>
      </c>
      <c r="R33" s="296">
        <f>SUM(R8:R32)</f>
        <v>0</v>
      </c>
      <c r="S33" s="296">
        <f>SUM(S8:S32)</f>
        <v>0</v>
      </c>
    </row>
    <row r="34" spans="1:24" ht="12.75" x14ac:dyDescent="0.2">
      <c r="A34" s="118" t="s">
        <v>41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294"/>
      <c r="N34" s="294"/>
      <c r="O34" s="294"/>
      <c r="P34" s="294"/>
      <c r="Q34" s="294"/>
      <c r="R34" s="294"/>
      <c r="S34" s="294"/>
    </row>
    <row r="35" spans="1:24" ht="12.75" x14ac:dyDescent="0.2">
      <c r="A35" s="118" t="s">
        <v>42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294"/>
      <c r="N35" s="294"/>
      <c r="O35" s="294"/>
      <c r="P35" s="294"/>
      <c r="Q35" s="294"/>
      <c r="R35" s="294"/>
      <c r="S35" s="294"/>
    </row>
    <row r="36" spans="1:24" ht="12.75" x14ac:dyDescent="0.2">
      <c r="A36" s="294" t="s">
        <v>311</v>
      </c>
      <c r="B36" s="294"/>
      <c r="C36" s="294"/>
      <c r="D36" s="294"/>
      <c r="E36" s="294"/>
      <c r="F36" s="294"/>
      <c r="G36" s="294"/>
      <c r="H36" s="294"/>
      <c r="I36" s="294"/>
      <c r="J36" s="118"/>
      <c r="K36" s="118"/>
      <c r="L36" s="118"/>
      <c r="M36" s="294"/>
      <c r="N36" s="294"/>
      <c r="O36" s="294"/>
      <c r="P36" s="294"/>
      <c r="Q36" s="294"/>
      <c r="R36" s="294"/>
      <c r="S36" s="294"/>
    </row>
    <row r="37" spans="1:24" ht="12.75" x14ac:dyDescent="0.2">
      <c r="A37" s="294"/>
      <c r="B37" s="294"/>
      <c r="C37" s="294"/>
      <c r="D37" s="294"/>
      <c r="E37" s="294"/>
      <c r="F37" s="294"/>
      <c r="G37" s="297"/>
      <c r="H37" s="297"/>
      <c r="I37" s="297"/>
      <c r="J37" s="294"/>
      <c r="K37" s="294"/>
      <c r="L37" s="294"/>
      <c r="M37" s="294"/>
      <c r="N37" s="294"/>
      <c r="O37" s="294"/>
      <c r="P37" s="294"/>
      <c r="Q37" s="294"/>
      <c r="R37" s="294"/>
      <c r="S37" s="294"/>
    </row>
    <row r="38" spans="1:24" ht="12.75" x14ac:dyDescent="0.2">
      <c r="A38" s="294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</row>
    <row r="39" spans="1:24" ht="12.75" x14ac:dyDescent="0.2">
      <c r="A39" s="253" t="s">
        <v>280</v>
      </c>
      <c r="B39" s="294"/>
      <c r="C39" s="294"/>
      <c r="D39" s="294"/>
      <c r="E39" s="294"/>
      <c r="F39" s="294"/>
      <c r="G39" s="294"/>
      <c r="H39" s="560" t="s">
        <v>142</v>
      </c>
      <c r="I39" s="560"/>
      <c r="J39" s="560"/>
      <c r="K39" s="560" t="s">
        <v>203</v>
      </c>
      <c r="L39" s="560"/>
      <c r="M39" s="294"/>
      <c r="N39" s="294"/>
      <c r="O39" s="294"/>
      <c r="P39" s="294"/>
      <c r="Q39" s="294"/>
      <c r="R39" s="294"/>
      <c r="S39" s="294"/>
    </row>
    <row r="40" spans="1:24" ht="12.75" x14ac:dyDescent="0.2">
      <c r="A40" s="298" t="s">
        <v>27</v>
      </c>
      <c r="B40" s="299"/>
      <c r="C40" s="568" t="s">
        <v>188</v>
      </c>
      <c r="D40" s="569"/>
      <c r="E40" s="298" t="s">
        <v>28</v>
      </c>
      <c r="F40" s="299"/>
      <c r="G40" s="300" t="s">
        <v>29</v>
      </c>
      <c r="H40" s="558" t="s">
        <v>30</v>
      </c>
      <c r="I40" s="572"/>
      <c r="J40" s="572"/>
      <c r="K40" s="572"/>
      <c r="L40" s="559"/>
      <c r="M40" s="564" t="s">
        <v>112</v>
      </c>
      <c r="N40" s="565"/>
      <c r="O40" s="564" t="s">
        <v>219</v>
      </c>
      <c r="P40" s="565"/>
      <c r="Q40" s="561" t="s">
        <v>216</v>
      </c>
      <c r="R40" s="561" t="s">
        <v>217</v>
      </c>
      <c r="S40" s="561" t="s">
        <v>218</v>
      </c>
    </row>
    <row r="41" spans="1:24" ht="15.75" x14ac:dyDescent="0.3">
      <c r="A41" s="301" t="s">
        <v>31</v>
      </c>
      <c r="B41" s="301" t="s">
        <v>32</v>
      </c>
      <c r="C41" s="570" t="s">
        <v>207</v>
      </c>
      <c r="D41" s="570" t="s">
        <v>208</v>
      </c>
      <c r="E41" s="302" t="s">
        <v>33</v>
      </c>
      <c r="F41" s="302" t="s">
        <v>34</v>
      </c>
      <c r="G41" s="303" t="s">
        <v>310</v>
      </c>
      <c r="H41" s="304" t="s">
        <v>35</v>
      </c>
      <c r="I41" s="305"/>
      <c r="J41" s="573" t="s">
        <v>36</v>
      </c>
      <c r="K41" s="558" t="s">
        <v>220</v>
      </c>
      <c r="L41" s="559"/>
      <c r="M41" s="566"/>
      <c r="N41" s="567"/>
      <c r="O41" s="566"/>
      <c r="P41" s="567"/>
      <c r="Q41" s="562"/>
      <c r="R41" s="562"/>
      <c r="S41" s="562"/>
    </row>
    <row r="42" spans="1:24" s="286" customFormat="1" ht="12.75" x14ac:dyDescent="0.2">
      <c r="A42" s="306" t="s">
        <v>0</v>
      </c>
      <c r="B42" s="306" t="s">
        <v>0</v>
      </c>
      <c r="C42" s="571"/>
      <c r="D42" s="571"/>
      <c r="E42" s="306" t="s">
        <v>37</v>
      </c>
      <c r="F42" s="306" t="s">
        <v>37</v>
      </c>
      <c r="G42" s="307" t="s">
        <v>38</v>
      </c>
      <c r="H42" s="308" t="s">
        <v>39</v>
      </c>
      <c r="I42" s="308" t="s">
        <v>34</v>
      </c>
      <c r="J42" s="574"/>
      <c r="K42" s="308" t="s">
        <v>39</v>
      </c>
      <c r="L42" s="309" t="s">
        <v>34</v>
      </c>
      <c r="M42" s="285">
        <f>'Pradiniai duomenys'!C25</f>
        <v>68.068996019460414</v>
      </c>
      <c r="N42" s="285">
        <f>'Pradiniai duomenys'!D25</f>
        <v>45.639436827362523</v>
      </c>
      <c r="O42" s="285">
        <f>'Pradiniai duomenys'!C25</f>
        <v>68.068996019460414</v>
      </c>
      <c r="P42" s="285">
        <f>'Pradiniai duomenys'!D25</f>
        <v>45.639436827362523</v>
      </c>
      <c r="Q42" s="563"/>
      <c r="R42" s="563"/>
      <c r="S42" s="563"/>
    </row>
    <row r="43" spans="1:24" ht="12.75" x14ac:dyDescent="0.2">
      <c r="A43" s="287">
        <v>25</v>
      </c>
      <c r="B43" s="287">
        <v>32</v>
      </c>
      <c r="C43" s="114">
        <f>C8</f>
        <v>50</v>
      </c>
      <c r="D43" s="114">
        <f>D8</f>
        <v>40</v>
      </c>
      <c r="E43" s="287">
        <f t="shared" ref="E43:E67" si="12">B43+2*C43</f>
        <v>132</v>
      </c>
      <c r="F43" s="287">
        <f>B43+2*D43</f>
        <v>112</v>
      </c>
      <c r="G43" s="288">
        <v>0.66878980891719741</v>
      </c>
      <c r="H43" s="288">
        <f t="shared" ref="H43:H67" si="13">0.1592/$W$50*LN(E43/B43)+0.3183/(E43/1000)/$W$48</f>
        <v>4.7128851766976458</v>
      </c>
      <c r="I43" s="288">
        <f t="shared" ref="I43:I67" si="14">0.1592/$W$50*LN(F43/B43)+0.3183/(F43/1000)/$W$48</f>
        <v>4.2256276488321092</v>
      </c>
      <c r="J43" s="288">
        <f t="shared" ref="J43:J67" si="15">0.3183/G43/$W$48+0.1592/$W$52*LN(2*$W$53/G43+SQRT((2*$W$53/G43)^2-1))</f>
        <v>0.22252773854518024</v>
      </c>
      <c r="K43" s="288">
        <f>0.1592/$W$51*LN(E43/B43)+0.3183/(E43/1000)/$W$48</f>
        <v>5.8408697284478137</v>
      </c>
      <c r="L43" s="288">
        <f>0.1592/$W$51*LN(F43/B43)+0.3183/(F43/1000)/$W$48</f>
        <v>5.2228269717544213</v>
      </c>
      <c r="M43" s="310">
        <f t="shared" ref="M43:M67" si="16">(M$42-((M$42/H43+$N$42/I43+$W$47/J43)/(1/H43+1/I43+1/J43)))/H43</f>
        <v>10.933700525588206</v>
      </c>
      <c r="N43" s="310">
        <f t="shared" ref="N43:N67" si="17">(N$42-((M$42/H43+$N$42/I43+$W$47/J43)/(1/H43+1/I43+1/J43)))/I43</f>
        <v>6.8864837036554061</v>
      </c>
      <c r="O43" s="289">
        <f>(O$42-((O$42/K43+$P$42/L43+$W$47/J43)/(1/K43+1/L43+1/J43)))/K43</f>
        <v>8.9429822485347614</v>
      </c>
      <c r="P43" s="289">
        <f>(P$42-((O$42/K43+$P$42/L43+$W$47/J43)/(1/K43+1/L43+1/J43)))/L43</f>
        <v>5.7067245893085667</v>
      </c>
      <c r="Q43" s="311">
        <f>(M43+N43)*'TV tinklas'!D42*'Pradiniai duomenys'!E$25*0.0000012</f>
        <v>0</v>
      </c>
      <c r="R43" s="311">
        <f>(O43+P43)*'TV tinklas'!I42*'Pradiniai duomenys'!E$25*0.0000012</f>
        <v>0</v>
      </c>
      <c r="S43" s="311">
        <f>SUM(Q43:R43)</f>
        <v>0</v>
      </c>
    </row>
    <row r="44" spans="1:24" ht="12.75" x14ac:dyDescent="0.2">
      <c r="A44" s="287">
        <v>32</v>
      </c>
      <c r="B44" s="287">
        <v>38</v>
      </c>
      <c r="C44" s="114">
        <f t="shared" ref="C44:D67" si="18">C9</f>
        <v>50</v>
      </c>
      <c r="D44" s="114">
        <f t="shared" si="18"/>
        <v>40</v>
      </c>
      <c r="E44" s="287">
        <f t="shared" si="12"/>
        <v>138</v>
      </c>
      <c r="F44" s="287">
        <f t="shared" ref="F44:F67" si="19">B44+2*D44</f>
        <v>118</v>
      </c>
      <c r="G44" s="288">
        <v>0.66878980891719741</v>
      </c>
      <c r="H44" s="288">
        <f t="shared" si="13"/>
        <v>4.298511545899264</v>
      </c>
      <c r="I44" s="288">
        <f t="shared" si="14"/>
        <v>3.8325736473230849</v>
      </c>
      <c r="J44" s="288">
        <f t="shared" si="15"/>
        <v>0.22252773854518024</v>
      </c>
      <c r="K44" s="288">
        <f t="shared" ref="K44:K67" si="20">0.1592/$W$51*LN(E44/B44)+0.3183/(E44/1000)/$W$48</f>
        <v>5.3250868961421958</v>
      </c>
      <c r="L44" s="288">
        <f t="shared" ref="L44:L67" si="21">0.1592/$W$51*LN(F44/B44)+0.3183/(F44/1000)/$W$48</f>
        <v>4.7345200252555504</v>
      </c>
      <c r="M44" s="310">
        <f t="shared" si="16"/>
        <v>11.905594146530035</v>
      </c>
      <c r="N44" s="310">
        <f t="shared" si="17"/>
        <v>7.5006450893985424</v>
      </c>
      <c r="O44" s="289">
        <f t="shared" ref="O44:O67" si="22">(O$42-((O$42/K44+$P$42/L44+$W$47/J44)/(1/K44+1/L44+1/J44)))/K44</f>
        <v>9.7533551733278632</v>
      </c>
      <c r="P44" s="289">
        <f t="shared" ref="P44:P67" si="23">(P$42-((O$42/K44+$P$42/L44+$W$47/J44)/(1/K44+1/L44+1/J44)))/L44</f>
        <v>6.2325018116737798</v>
      </c>
      <c r="Q44" s="311">
        <f>(M44+N44)*'TV tinklas'!D43*'Pradiniai duomenys'!E$25*0.0000012</f>
        <v>0</v>
      </c>
      <c r="R44" s="311">
        <f>(O44+P44)*'TV tinklas'!I43*'Pradiniai duomenys'!E$25*0.0000012</f>
        <v>0</v>
      </c>
      <c r="S44" s="311">
        <f t="shared" ref="S44:S65" si="24">SUM(Q44:R44)</f>
        <v>0</v>
      </c>
    </row>
    <row r="45" spans="1:24" ht="12.75" x14ac:dyDescent="0.2">
      <c r="A45" s="287">
        <v>40</v>
      </c>
      <c r="B45" s="287">
        <v>45</v>
      </c>
      <c r="C45" s="114">
        <f t="shared" si="18"/>
        <v>50</v>
      </c>
      <c r="D45" s="114">
        <f t="shared" si="18"/>
        <v>40</v>
      </c>
      <c r="E45" s="287">
        <f t="shared" si="12"/>
        <v>145</v>
      </c>
      <c r="F45" s="287">
        <f t="shared" si="19"/>
        <v>125</v>
      </c>
      <c r="G45" s="288">
        <v>0.66878980891719741</v>
      </c>
      <c r="H45" s="288">
        <f t="shared" si="13"/>
        <v>3.9084379029211695</v>
      </c>
      <c r="I45" s="288">
        <f t="shared" si="14"/>
        <v>3.4651375721418285</v>
      </c>
      <c r="J45" s="288">
        <f t="shared" si="15"/>
        <v>0.22252773854518024</v>
      </c>
      <c r="K45" s="288">
        <f t="shared" si="20"/>
        <v>4.8398146200307721</v>
      </c>
      <c r="L45" s="288">
        <f t="shared" si="21"/>
        <v>4.2783719651772856</v>
      </c>
      <c r="M45" s="310">
        <f t="shared" si="16"/>
        <v>12.993076783785934</v>
      </c>
      <c r="N45" s="310">
        <f t="shared" si="17"/>
        <v>8.1823806399960297</v>
      </c>
      <c r="O45" s="289">
        <f t="shared" si="22"/>
        <v>10.662514978005667</v>
      </c>
      <c r="P45" s="289">
        <f t="shared" si="23"/>
        <v>6.819191253638949</v>
      </c>
      <c r="Q45" s="311">
        <f>(M45+N45)*'TV tinklas'!D44*'Pradiniai duomenys'!E$25*0.0000012</f>
        <v>0</v>
      </c>
      <c r="R45" s="311">
        <f>(O45+P45)*'TV tinklas'!I44*'Pradiniai duomenys'!E$25*0.0000012</f>
        <v>0</v>
      </c>
      <c r="S45" s="311">
        <f t="shared" si="24"/>
        <v>0</v>
      </c>
    </row>
    <row r="46" spans="1:24" ht="12.75" x14ac:dyDescent="0.2">
      <c r="A46" s="287">
        <v>50</v>
      </c>
      <c r="B46" s="287">
        <v>57</v>
      </c>
      <c r="C46" s="114">
        <f t="shared" si="18"/>
        <v>50</v>
      </c>
      <c r="D46" s="114">
        <f t="shared" si="18"/>
        <v>40</v>
      </c>
      <c r="E46" s="287">
        <f t="shared" si="12"/>
        <v>157</v>
      </c>
      <c r="F46" s="287">
        <f t="shared" si="19"/>
        <v>137</v>
      </c>
      <c r="G46" s="288">
        <v>0.66878980891719741</v>
      </c>
      <c r="H46" s="288">
        <f t="shared" si="13"/>
        <v>3.3949604520297925</v>
      </c>
      <c r="I46" s="288">
        <f t="shared" si="14"/>
        <v>2.9857571697376737</v>
      </c>
      <c r="J46" s="288">
        <f t="shared" si="15"/>
        <v>0.22252773854518024</v>
      </c>
      <c r="K46" s="288">
        <f t="shared" si="20"/>
        <v>4.2014633038907432</v>
      </c>
      <c r="L46" s="288">
        <f t="shared" si="21"/>
        <v>3.6837931775005588</v>
      </c>
      <c r="M46" s="310">
        <f t="shared" si="16"/>
        <v>14.769726609164803</v>
      </c>
      <c r="N46" s="310">
        <f t="shared" si="17"/>
        <v>9.2817590171753839</v>
      </c>
      <c r="O46" s="289">
        <f t="shared" si="22"/>
        <v>12.153104435141133</v>
      </c>
      <c r="P46" s="289">
        <f t="shared" si="23"/>
        <v>7.7722232874989032</v>
      </c>
      <c r="Q46" s="311">
        <f>(M46+N46)*'TV tinklas'!D45*'Pradiniai duomenys'!E$25*0.0000012</f>
        <v>0</v>
      </c>
      <c r="R46" s="311">
        <f>(O46+P46)*'TV tinklas'!I45*'Pradiniai duomenys'!E$25*0.0000012</f>
        <v>0</v>
      </c>
      <c r="S46" s="311">
        <f t="shared" si="24"/>
        <v>0</v>
      </c>
    </row>
    <row r="47" spans="1:24" ht="12.75" x14ac:dyDescent="0.2">
      <c r="A47" s="287">
        <v>65</v>
      </c>
      <c r="B47" s="287">
        <v>73</v>
      </c>
      <c r="C47" s="114">
        <f t="shared" si="18"/>
        <v>60</v>
      </c>
      <c r="D47" s="114">
        <f t="shared" si="18"/>
        <v>40</v>
      </c>
      <c r="E47" s="287">
        <f t="shared" si="12"/>
        <v>193</v>
      </c>
      <c r="F47" s="287">
        <f t="shared" si="19"/>
        <v>153</v>
      </c>
      <c r="G47" s="288">
        <v>0.66878980891719741</v>
      </c>
      <c r="H47" s="288">
        <f t="shared" si="13"/>
        <v>3.2330179340173002</v>
      </c>
      <c r="I47" s="288">
        <f t="shared" si="14"/>
        <v>2.5294574941689327</v>
      </c>
      <c r="J47" s="288">
        <f t="shared" si="15"/>
        <v>0.22252773854518024</v>
      </c>
      <c r="K47" s="288">
        <f t="shared" si="20"/>
        <v>4.0069136092314697</v>
      </c>
      <c r="L47" s="288">
        <f t="shared" si="21"/>
        <v>3.1184803644431915</v>
      </c>
      <c r="M47" s="310">
        <f t="shared" si="16"/>
        <v>15.365900850153265</v>
      </c>
      <c r="N47" s="310">
        <f t="shared" si="17"/>
        <v>10.772536756041436</v>
      </c>
      <c r="O47" s="289">
        <f t="shared" si="22"/>
        <v>12.644664307230689</v>
      </c>
      <c r="P47" s="289">
        <f t="shared" si="23"/>
        <v>9.0545762694740688</v>
      </c>
      <c r="Q47" s="311">
        <f>(M47+N47)*'TV tinklas'!D46*'Pradiniai duomenys'!E$25*0.0000012</f>
        <v>0</v>
      </c>
      <c r="R47" s="311">
        <f>(O47+P47)*'TV tinklas'!I46*'Pradiniai duomenys'!E$25*0.0000012</f>
        <v>0</v>
      </c>
      <c r="S47" s="311">
        <f t="shared" si="24"/>
        <v>0</v>
      </c>
      <c r="V47" s="291" t="s">
        <v>197</v>
      </c>
      <c r="W47" s="85">
        <f>'Pradiniai duomenys'!J25</f>
        <v>12.57423558897243</v>
      </c>
      <c r="X47" s="286" t="s">
        <v>195</v>
      </c>
    </row>
    <row r="48" spans="1:24" ht="12.75" x14ac:dyDescent="0.2">
      <c r="A48" s="287">
        <v>70</v>
      </c>
      <c r="B48" s="287">
        <v>76</v>
      </c>
      <c r="C48" s="114">
        <f t="shared" si="18"/>
        <v>60</v>
      </c>
      <c r="D48" s="114">
        <f t="shared" si="18"/>
        <v>40</v>
      </c>
      <c r="E48" s="287">
        <f t="shared" si="12"/>
        <v>196</v>
      </c>
      <c r="F48" s="287">
        <f t="shared" si="19"/>
        <v>156</v>
      </c>
      <c r="G48" s="288">
        <v>0.66878980891719741</v>
      </c>
      <c r="H48" s="288">
        <f t="shared" si="13"/>
        <v>3.1517937521713506</v>
      </c>
      <c r="I48" s="288">
        <f t="shared" si="14"/>
        <v>2.4597186228928996</v>
      </c>
      <c r="J48" s="288">
        <f t="shared" si="15"/>
        <v>0.22252773854518024</v>
      </c>
      <c r="K48" s="288">
        <f t="shared" si="20"/>
        <v>3.9059092820509225</v>
      </c>
      <c r="L48" s="288">
        <f t="shared" si="21"/>
        <v>3.0321402657956114</v>
      </c>
      <c r="M48" s="310">
        <f t="shared" si="16"/>
        <v>15.71923962394783</v>
      </c>
      <c r="N48" s="310">
        <f t="shared" si="17"/>
        <v>11.023310467786709</v>
      </c>
      <c r="O48" s="289">
        <f t="shared" si="22"/>
        <v>12.942171812089818</v>
      </c>
      <c r="P48" s="289">
        <f t="shared" si="23"/>
        <v>9.2744356637679122</v>
      </c>
      <c r="Q48" s="311">
        <f>(M48+N48)*'TV tinklas'!D47*'Pradiniai duomenys'!E$25*0.0000012</f>
        <v>0</v>
      </c>
      <c r="R48" s="311">
        <f>(O48+P48)*'TV tinklas'!I47*'Pradiniai duomenys'!E$25*0.0000012</f>
        <v>0</v>
      </c>
      <c r="S48" s="311">
        <f t="shared" si="24"/>
        <v>0</v>
      </c>
      <c r="V48" s="291" t="s">
        <v>198</v>
      </c>
      <c r="W48" s="86">
        <v>12</v>
      </c>
      <c r="X48" s="286" t="s">
        <v>191</v>
      </c>
    </row>
    <row r="49" spans="1:24" ht="12.75" x14ac:dyDescent="0.2">
      <c r="A49" s="287">
        <v>80</v>
      </c>
      <c r="B49" s="287">
        <v>89</v>
      </c>
      <c r="C49" s="114">
        <f t="shared" si="18"/>
        <v>60</v>
      </c>
      <c r="D49" s="114">
        <f t="shared" si="18"/>
        <v>40</v>
      </c>
      <c r="E49" s="287">
        <f t="shared" si="12"/>
        <v>209</v>
      </c>
      <c r="F49" s="287">
        <f t="shared" si="19"/>
        <v>169</v>
      </c>
      <c r="G49" s="288">
        <v>0.66878980891719741</v>
      </c>
      <c r="H49" s="288">
        <f t="shared" si="13"/>
        <v>2.8450879326269116</v>
      </c>
      <c r="I49" s="288">
        <f t="shared" si="14"/>
        <v>2.1987319698098262</v>
      </c>
      <c r="J49" s="288">
        <f t="shared" si="15"/>
        <v>0.22252773854518024</v>
      </c>
      <c r="K49" s="288">
        <f t="shared" si="20"/>
        <v>3.524631446884118</v>
      </c>
      <c r="L49" s="288">
        <f t="shared" si="21"/>
        <v>2.7091767965818092</v>
      </c>
      <c r="M49" s="310">
        <f t="shared" si="16"/>
        <v>17.214654717346729</v>
      </c>
      <c r="N49" s="310">
        <f t="shared" si="17"/>
        <v>12.074071589026101</v>
      </c>
      <c r="O49" s="289">
        <f t="shared" si="22"/>
        <v>14.204067065407374</v>
      </c>
      <c r="P49" s="289">
        <f t="shared" si="23"/>
        <v>10.200346575813983</v>
      </c>
      <c r="Q49" s="311">
        <f>(M49+N49)*'TV tinklas'!D48*'Pradiniai duomenys'!E$25*0.0000012</f>
        <v>0</v>
      </c>
      <c r="R49" s="311">
        <f>(O49+P49)*'TV tinklas'!I48*'Pradiniai duomenys'!E$25*0.0000012</f>
        <v>0</v>
      </c>
      <c r="S49" s="311">
        <f t="shared" si="24"/>
        <v>0</v>
      </c>
      <c r="V49" s="292" t="s">
        <v>202</v>
      </c>
      <c r="W49" s="83">
        <v>10</v>
      </c>
      <c r="X49" s="286" t="s">
        <v>191</v>
      </c>
    </row>
    <row r="50" spans="1:24" ht="12.75" x14ac:dyDescent="0.2">
      <c r="A50" s="287">
        <v>100</v>
      </c>
      <c r="B50" s="287">
        <v>108</v>
      </c>
      <c r="C50" s="114">
        <f t="shared" si="18"/>
        <v>60</v>
      </c>
      <c r="D50" s="114">
        <f t="shared" si="18"/>
        <v>40</v>
      </c>
      <c r="E50" s="287">
        <f t="shared" si="12"/>
        <v>228</v>
      </c>
      <c r="F50" s="287">
        <f t="shared" si="19"/>
        <v>188</v>
      </c>
      <c r="G50" s="288">
        <v>0.85987261146496818</v>
      </c>
      <c r="H50" s="288">
        <f t="shared" si="13"/>
        <v>2.4954683747256698</v>
      </c>
      <c r="I50" s="288">
        <f t="shared" si="14"/>
        <v>1.906015808018958</v>
      </c>
      <c r="J50" s="288">
        <f t="shared" si="15"/>
        <v>0.19317338283126648</v>
      </c>
      <c r="K50" s="288">
        <f t="shared" si="20"/>
        <v>3.0902510385825255</v>
      </c>
      <c r="L50" s="288">
        <f t="shared" si="21"/>
        <v>2.3472471536407182</v>
      </c>
      <c r="M50" s="310">
        <f t="shared" si="16"/>
        <v>19.638580954638339</v>
      </c>
      <c r="N50" s="310">
        <f t="shared" si="17"/>
        <v>13.944217247765652</v>
      </c>
      <c r="O50" s="289">
        <f t="shared" si="22"/>
        <v>16.208250726154422</v>
      </c>
      <c r="P50" s="289">
        <f t="shared" si="23"/>
        <v>11.783166678936041</v>
      </c>
      <c r="Q50" s="311">
        <f>(M50+N50)*'TV tinklas'!D49*'Pradiniai duomenys'!E$25*0.0000012</f>
        <v>0</v>
      </c>
      <c r="R50" s="311">
        <f>(O50+P50)*'TV tinklas'!I49*'Pradiniai duomenys'!E$25*0.0000012</f>
        <v>0</v>
      </c>
      <c r="S50" s="311">
        <f t="shared" si="24"/>
        <v>0</v>
      </c>
      <c r="V50" s="291" t="s">
        <v>192</v>
      </c>
      <c r="W50" s="83">
        <f>'Pradiniai duomenys'!J36</f>
        <v>0.05</v>
      </c>
      <c r="X50" s="286" t="s">
        <v>194</v>
      </c>
    </row>
    <row r="51" spans="1:24" ht="12.75" x14ac:dyDescent="0.2">
      <c r="A51" s="287">
        <v>125</v>
      </c>
      <c r="B51" s="287">
        <v>133</v>
      </c>
      <c r="C51" s="114">
        <f t="shared" si="18"/>
        <v>60</v>
      </c>
      <c r="D51" s="114">
        <f t="shared" si="18"/>
        <v>40</v>
      </c>
      <c r="E51" s="287">
        <f t="shared" si="12"/>
        <v>253</v>
      </c>
      <c r="F51" s="287">
        <f t="shared" si="19"/>
        <v>213</v>
      </c>
      <c r="G51" s="288">
        <v>0.85987261146496818</v>
      </c>
      <c r="H51" s="288">
        <f t="shared" si="13"/>
        <v>2.1522824050835618</v>
      </c>
      <c r="I51" s="288">
        <f t="shared" si="14"/>
        <v>1.6240131477926703</v>
      </c>
      <c r="J51" s="288">
        <f t="shared" si="15"/>
        <v>0.19317338283126648</v>
      </c>
      <c r="K51" s="288">
        <f t="shared" si="20"/>
        <v>2.6641425320461516</v>
      </c>
      <c r="L51" s="288">
        <f t="shared" si="21"/>
        <v>1.9988838056328566</v>
      </c>
      <c r="M51" s="310">
        <f t="shared" si="16"/>
        <v>22.357670306960379</v>
      </c>
      <c r="N51" s="310">
        <f t="shared" si="17"/>
        <v>15.819121454250633</v>
      </c>
      <c r="O51" s="289">
        <f t="shared" si="22"/>
        <v>18.512498859356626</v>
      </c>
      <c r="P51" s="289">
        <f t="shared" si="23"/>
        <v>13.452696108594635</v>
      </c>
      <c r="Q51" s="311">
        <f>(M51+N51)*'TV tinklas'!D50*'Pradiniai duomenys'!E$25*0.0000012</f>
        <v>0</v>
      </c>
      <c r="R51" s="311">
        <f>(O51+P51)*'TV tinklas'!I50*'Pradiniai duomenys'!E$25*0.0000012</f>
        <v>0</v>
      </c>
      <c r="S51" s="311">
        <f t="shared" si="24"/>
        <v>0</v>
      </c>
      <c r="V51" s="291" t="s">
        <v>193</v>
      </c>
      <c r="W51" s="83">
        <f>'Pradiniai duomenys'!J37</f>
        <v>0.04</v>
      </c>
      <c r="X51" s="286" t="s">
        <v>194</v>
      </c>
    </row>
    <row r="52" spans="1:24" ht="12.75" x14ac:dyDescent="0.2">
      <c r="A52" s="287">
        <v>150</v>
      </c>
      <c r="B52" s="287">
        <v>159</v>
      </c>
      <c r="C52" s="114">
        <f t="shared" si="18"/>
        <v>70</v>
      </c>
      <c r="D52" s="114">
        <f t="shared" si="18"/>
        <v>50</v>
      </c>
      <c r="E52" s="287">
        <f t="shared" si="12"/>
        <v>299</v>
      </c>
      <c r="F52" s="287">
        <f t="shared" si="19"/>
        <v>259</v>
      </c>
      <c r="G52" s="288">
        <v>0.85987261146496818</v>
      </c>
      <c r="H52" s="288">
        <f t="shared" si="13"/>
        <v>2.0995337323886685</v>
      </c>
      <c r="I52" s="288">
        <f t="shared" si="14"/>
        <v>1.6559626959952387</v>
      </c>
      <c r="J52" s="288">
        <f t="shared" si="15"/>
        <v>0.19317338283126648</v>
      </c>
      <c r="K52" s="288">
        <f t="shared" si="20"/>
        <v>2.6022390718403501</v>
      </c>
      <c r="L52" s="288">
        <f t="shared" si="21"/>
        <v>2.0443500881407664</v>
      </c>
      <c r="M52" s="310">
        <f t="shared" si="16"/>
        <v>22.899858127135982</v>
      </c>
      <c r="N52" s="310">
        <f t="shared" si="17"/>
        <v>15.48915653400241</v>
      </c>
      <c r="O52" s="289">
        <f t="shared" si="22"/>
        <v>18.943915711088852</v>
      </c>
      <c r="P52" s="289">
        <f t="shared" si="23"/>
        <v>13.142092736857029</v>
      </c>
      <c r="Q52" s="311">
        <f>(M52+N52)*'TV tinklas'!D51*'Pradiniai duomenys'!E$25*0.00000115</f>
        <v>0</v>
      </c>
      <c r="R52" s="311">
        <f>(O52+P52)*'TV tinklas'!I51*'Pradiniai duomenys'!E$25*0.00000115</f>
        <v>0</v>
      </c>
      <c r="S52" s="311">
        <f t="shared" si="24"/>
        <v>0</v>
      </c>
      <c r="V52" s="292" t="s">
        <v>201</v>
      </c>
      <c r="W52" s="85">
        <f>'Pradiniai duomenys'!J31</f>
        <v>2</v>
      </c>
      <c r="X52" s="286" t="s">
        <v>194</v>
      </c>
    </row>
    <row r="53" spans="1:24" ht="12.75" x14ac:dyDescent="0.2">
      <c r="A53" s="287">
        <v>175</v>
      </c>
      <c r="B53" s="287">
        <v>194</v>
      </c>
      <c r="C53" s="114">
        <f t="shared" si="18"/>
        <v>70</v>
      </c>
      <c r="D53" s="114">
        <f t="shared" si="18"/>
        <v>50</v>
      </c>
      <c r="E53" s="287">
        <f>B53+2*C53</f>
        <v>334</v>
      </c>
      <c r="F53" s="287">
        <f>B53+2*D53</f>
        <v>294</v>
      </c>
      <c r="G53" s="288">
        <v>1.1459999999999999</v>
      </c>
      <c r="H53" s="288">
        <f t="shared" si="13"/>
        <v>1.8092287108448486</v>
      </c>
      <c r="I53" s="288">
        <f t="shared" si="14"/>
        <v>1.4138786891840995</v>
      </c>
      <c r="J53" s="288">
        <f t="shared" si="15"/>
        <v>0.16152002385379791</v>
      </c>
      <c r="K53" s="288">
        <f t="shared" si="20"/>
        <v>2.2416818466398927</v>
      </c>
      <c r="L53" s="288">
        <f t="shared" si="21"/>
        <v>1.7447930893712809</v>
      </c>
      <c r="M53" s="310">
        <f t="shared" si="16"/>
        <v>26.663087367743987</v>
      </c>
      <c r="N53" s="310">
        <f t="shared" si="17"/>
        <v>18.254793845349788</v>
      </c>
      <c r="O53" s="289">
        <f t="shared" si="22"/>
        <v>22.051816758071674</v>
      </c>
      <c r="P53" s="289">
        <f t="shared" si="23"/>
        <v>15.476676452009123</v>
      </c>
      <c r="Q53" s="311">
        <f>(M53+N53)*'TV tinklas'!D52*'Pradiniai duomenys'!E$25*0.00000115</f>
        <v>0</v>
      </c>
      <c r="R53" s="311">
        <f>(O53+P53)*'TV tinklas'!I52*'Pradiniai duomenys'!E$25*0.00000115</f>
        <v>0</v>
      </c>
      <c r="S53" s="311">
        <f>SUM(Q53:R53)</f>
        <v>0</v>
      </c>
      <c r="V53" s="292" t="s">
        <v>199</v>
      </c>
      <c r="W53" s="83">
        <v>1.68</v>
      </c>
      <c r="X53" s="276" t="s">
        <v>200</v>
      </c>
    </row>
    <row r="54" spans="1:24" ht="12.75" x14ac:dyDescent="0.2">
      <c r="A54" s="287">
        <v>200</v>
      </c>
      <c r="B54" s="287">
        <v>219</v>
      </c>
      <c r="C54" s="114">
        <f t="shared" si="18"/>
        <v>70</v>
      </c>
      <c r="D54" s="114">
        <f t="shared" si="18"/>
        <v>50</v>
      </c>
      <c r="E54" s="287">
        <f t="shared" si="12"/>
        <v>359</v>
      </c>
      <c r="F54" s="287">
        <f t="shared" si="19"/>
        <v>319</v>
      </c>
      <c r="G54" s="288">
        <v>1.1464968152866242</v>
      </c>
      <c r="H54" s="288">
        <f t="shared" si="13"/>
        <v>1.6475798910828074</v>
      </c>
      <c r="I54" s="288">
        <f t="shared" si="14"/>
        <v>1.2807145537506421</v>
      </c>
      <c r="J54" s="288">
        <f t="shared" si="15"/>
        <v>0.16147329146375394</v>
      </c>
      <c r="K54" s="288">
        <f t="shared" si="20"/>
        <v>2.0410034153855428</v>
      </c>
      <c r="L54" s="288">
        <f t="shared" si="21"/>
        <v>1.5801055746334438</v>
      </c>
      <c r="M54" s="310">
        <f t="shared" si="16"/>
        <v>28.918703029048867</v>
      </c>
      <c r="N54" s="310">
        <f t="shared" si="17"/>
        <v>19.689254190882075</v>
      </c>
      <c r="O54" s="289">
        <f t="shared" si="22"/>
        <v>23.967513771185079</v>
      </c>
      <c r="P54" s="289">
        <f t="shared" si="23"/>
        <v>16.763574977789496</v>
      </c>
      <c r="Q54" s="311">
        <f>(M54+N54)*'TV tinklas'!D53*'Pradiniai duomenys'!E$25*0.00000115</f>
        <v>0</v>
      </c>
      <c r="R54" s="311">
        <f>(O54+P54)*'TV tinklas'!I53*'Pradiniai duomenys'!E$25*0.00000115</f>
        <v>0</v>
      </c>
      <c r="S54" s="311">
        <f t="shared" si="24"/>
        <v>0</v>
      </c>
    </row>
    <row r="55" spans="1:24" ht="12.75" x14ac:dyDescent="0.2">
      <c r="A55" s="287">
        <v>250</v>
      </c>
      <c r="B55" s="287">
        <v>273</v>
      </c>
      <c r="C55" s="114">
        <f t="shared" si="18"/>
        <v>70</v>
      </c>
      <c r="D55" s="114">
        <f t="shared" si="18"/>
        <v>50</v>
      </c>
      <c r="E55" s="287">
        <f t="shared" si="12"/>
        <v>413</v>
      </c>
      <c r="F55" s="287">
        <f t="shared" si="19"/>
        <v>373</v>
      </c>
      <c r="G55" s="288">
        <v>1.1464968152866242</v>
      </c>
      <c r="H55" s="288">
        <f t="shared" si="13"/>
        <v>1.3823241217170796</v>
      </c>
      <c r="I55" s="288">
        <f t="shared" si="14"/>
        <v>1.0648600928131902</v>
      </c>
      <c r="J55" s="288">
        <f t="shared" si="15"/>
        <v>0.16147329146375394</v>
      </c>
      <c r="K55" s="288">
        <f t="shared" si="20"/>
        <v>1.7118488567468335</v>
      </c>
      <c r="L55" s="288">
        <f t="shared" si="21"/>
        <v>1.3132969658824394</v>
      </c>
      <c r="M55" s="310">
        <f t="shared" si="16"/>
        <v>33.589362299881117</v>
      </c>
      <c r="N55" s="310">
        <f t="shared" si="17"/>
        <v>22.539887361834612</v>
      </c>
      <c r="O55" s="289">
        <f t="shared" si="22"/>
        <v>27.954975066126135</v>
      </c>
      <c r="P55" s="289">
        <f t="shared" si="23"/>
        <v>19.359774350923395</v>
      </c>
      <c r="Q55" s="311">
        <f>(M55+N55)*'TV tinklas'!D54*'Pradiniai duomenys'!E$25*0.00000115</f>
        <v>0</v>
      </c>
      <c r="R55" s="311">
        <f>(O55+P55)*'TV tinklas'!I54*'Pradiniai duomenys'!E$25*0.00000115</f>
        <v>0</v>
      </c>
      <c r="S55" s="311">
        <f t="shared" si="24"/>
        <v>0</v>
      </c>
    </row>
    <row r="56" spans="1:24" ht="12.75" x14ac:dyDescent="0.2">
      <c r="A56" s="287">
        <v>300</v>
      </c>
      <c r="B56" s="287">
        <v>325</v>
      </c>
      <c r="C56" s="114">
        <f t="shared" si="18"/>
        <v>70</v>
      </c>
      <c r="D56" s="114">
        <f t="shared" si="18"/>
        <v>50</v>
      </c>
      <c r="E56" s="287">
        <f t="shared" si="12"/>
        <v>465</v>
      </c>
      <c r="F56" s="287">
        <f t="shared" si="19"/>
        <v>425</v>
      </c>
      <c r="G56" s="288">
        <v>1.5286624203821655</v>
      </c>
      <c r="H56" s="288">
        <f t="shared" si="13"/>
        <v>1.1975907296049468</v>
      </c>
      <c r="I56" s="288">
        <f t="shared" si="14"/>
        <v>0.91656429802334149</v>
      </c>
      <c r="J56" s="288">
        <f t="shared" si="15"/>
        <v>0.13073367150812612</v>
      </c>
      <c r="K56" s="288">
        <f t="shared" si="20"/>
        <v>1.4827276593180114</v>
      </c>
      <c r="L56" s="288">
        <f t="shared" si="21"/>
        <v>1.1301024313527064</v>
      </c>
      <c r="M56" s="310">
        <f t="shared" si="16"/>
        <v>39.151717305808816</v>
      </c>
      <c r="N56" s="310">
        <f t="shared" si="17"/>
        <v>26.684624913057053</v>
      </c>
      <c r="O56" s="289">
        <f t="shared" si="22"/>
        <v>32.543349133563332</v>
      </c>
      <c r="P56" s="289">
        <f t="shared" si="23"/>
        <v>22.850463797488992</v>
      </c>
      <c r="Q56" s="311">
        <f>(M56+N56)*'TV tinklas'!D55*'Pradiniai duomenys'!E$25*0.00000115</f>
        <v>0</v>
      </c>
      <c r="R56" s="311">
        <f>(O56+P56)*'TV tinklas'!I55*'Pradiniai duomenys'!E$25*0.00000115</f>
        <v>0</v>
      </c>
      <c r="S56" s="311">
        <f t="shared" si="24"/>
        <v>0</v>
      </c>
    </row>
    <row r="57" spans="1:24" ht="12.75" x14ac:dyDescent="0.2">
      <c r="A57" s="287">
        <v>350</v>
      </c>
      <c r="B57" s="287">
        <v>377</v>
      </c>
      <c r="C57" s="114">
        <f t="shared" si="18"/>
        <v>80</v>
      </c>
      <c r="D57" s="114">
        <f t="shared" si="18"/>
        <v>60</v>
      </c>
      <c r="E57" s="287">
        <f t="shared" si="12"/>
        <v>537</v>
      </c>
      <c r="F57" s="287">
        <f t="shared" si="19"/>
        <v>497</v>
      </c>
      <c r="G57" s="288">
        <v>1.5286624203821655</v>
      </c>
      <c r="H57" s="288">
        <f t="shared" si="13"/>
        <v>1.1757440419290586</v>
      </c>
      <c r="I57" s="288">
        <f t="shared" si="14"/>
        <v>0.93325218758516759</v>
      </c>
      <c r="J57" s="288">
        <f t="shared" si="15"/>
        <v>0.13073367150812612</v>
      </c>
      <c r="K57" s="288">
        <f t="shared" si="20"/>
        <v>1.4573313559494983</v>
      </c>
      <c r="L57" s="288">
        <f t="shared" si="21"/>
        <v>1.1532226791494673</v>
      </c>
      <c r="M57" s="310">
        <f t="shared" si="16"/>
        <v>39.856956967385621</v>
      </c>
      <c r="N57" s="310">
        <f t="shared" si="17"/>
        <v>26.179440902193424</v>
      </c>
      <c r="O57" s="289">
        <f t="shared" si="22"/>
        <v>33.102340480523786</v>
      </c>
      <c r="P57" s="289">
        <f t="shared" si="23"/>
        <v>22.382077643948598</v>
      </c>
      <c r="Q57" s="311">
        <f>(M57+N57)*'TV tinklas'!D56*'Pradiniai duomenys'!E$25*0.00000115</f>
        <v>0</v>
      </c>
      <c r="R57" s="311">
        <f>(O57+P57)*'TV tinklas'!I56*'Pradiniai duomenys'!E$25*0.00000115</f>
        <v>0</v>
      </c>
      <c r="S57" s="311">
        <f t="shared" si="24"/>
        <v>0</v>
      </c>
    </row>
    <row r="58" spans="1:24" ht="12.75" x14ac:dyDescent="0.2">
      <c r="A58" s="287">
        <v>400</v>
      </c>
      <c r="B58" s="287">
        <v>426</v>
      </c>
      <c r="C58" s="114">
        <f t="shared" si="18"/>
        <v>80</v>
      </c>
      <c r="D58" s="114">
        <f t="shared" si="18"/>
        <v>60</v>
      </c>
      <c r="E58" s="287">
        <f t="shared" si="12"/>
        <v>586</v>
      </c>
      <c r="F58" s="287">
        <f t="shared" si="19"/>
        <v>546</v>
      </c>
      <c r="G58" s="288">
        <v>1.5286624203821655</v>
      </c>
      <c r="H58" s="288">
        <f t="shared" si="13"/>
        <v>1.0605798366109871</v>
      </c>
      <c r="I58" s="288">
        <f t="shared" si="14"/>
        <v>0.83878452633068856</v>
      </c>
      <c r="J58" s="288">
        <f t="shared" si="15"/>
        <v>0.13073367150812612</v>
      </c>
      <c r="K58" s="288">
        <f t="shared" si="20"/>
        <v>1.3144086694838701</v>
      </c>
      <c r="L58" s="288">
        <f t="shared" si="21"/>
        <v>1.036335511393214</v>
      </c>
      <c r="M58" s="310">
        <f t="shared" si="16"/>
        <v>43.48366367148693</v>
      </c>
      <c r="N58" s="310">
        <f t="shared" si="17"/>
        <v>28.241266947878543</v>
      </c>
      <c r="O58" s="289">
        <f t="shared" si="22"/>
        <v>36.204767240034492</v>
      </c>
      <c r="P58" s="289">
        <f t="shared" si="23"/>
        <v>24.276212161278831</v>
      </c>
      <c r="Q58" s="311">
        <f>(M58+N58)*'TV tinklas'!D57*'Pradiniai duomenys'!E$25*0.00000115</f>
        <v>0</v>
      </c>
      <c r="R58" s="311">
        <f>(O58+P58)*'TV tinklas'!I57*'Pradiniai duomenys'!E$25*0.00000115</f>
        <v>0</v>
      </c>
      <c r="S58" s="311">
        <f t="shared" si="24"/>
        <v>0</v>
      </c>
    </row>
    <row r="59" spans="1:24" ht="12.75" x14ac:dyDescent="0.2">
      <c r="A59" s="287">
        <v>450</v>
      </c>
      <c r="B59" s="287">
        <v>478</v>
      </c>
      <c r="C59" s="114">
        <f t="shared" si="18"/>
        <v>80</v>
      </c>
      <c r="D59" s="114">
        <f t="shared" si="18"/>
        <v>60</v>
      </c>
      <c r="E59" s="287">
        <f t="shared" si="12"/>
        <v>638</v>
      </c>
      <c r="F59" s="287">
        <f t="shared" si="19"/>
        <v>598</v>
      </c>
      <c r="G59" s="288">
        <v>1.5286624203821655</v>
      </c>
      <c r="H59" s="288">
        <f t="shared" si="13"/>
        <v>0.96088375702673301</v>
      </c>
      <c r="I59" s="288">
        <f t="shared" si="14"/>
        <v>0.75750857561698559</v>
      </c>
      <c r="J59" s="288">
        <f t="shared" si="15"/>
        <v>0.13073367150812612</v>
      </c>
      <c r="K59" s="288">
        <f t="shared" si="20"/>
        <v>1.1907108875059869</v>
      </c>
      <c r="L59" s="288">
        <f t="shared" si="21"/>
        <v>0.93579667269848943</v>
      </c>
      <c r="M59" s="310">
        <f t="shared" si="16"/>
        <v>47.211198287296853</v>
      </c>
      <c r="N59" s="310">
        <f t="shared" si="17"/>
        <v>30.276771947107846</v>
      </c>
      <c r="O59" s="289">
        <f t="shared" si="22"/>
        <v>39.406245445389047</v>
      </c>
      <c r="P59" s="289">
        <f t="shared" si="23"/>
        <v>26.172230581708064</v>
      </c>
      <c r="Q59" s="311">
        <f>(M59+N59)*'TV tinklas'!D58*'Pradiniai duomenys'!E$25*0.00000115</f>
        <v>0</v>
      </c>
      <c r="R59" s="311">
        <f>(O59+P59)*'TV tinklas'!I58*'Pradiniai duomenys'!E$25*0.00000115</f>
        <v>0</v>
      </c>
      <c r="S59" s="311">
        <f t="shared" si="24"/>
        <v>0</v>
      </c>
    </row>
    <row r="60" spans="1:24" ht="12.75" x14ac:dyDescent="0.2">
      <c r="A60" s="287">
        <v>500</v>
      </c>
      <c r="B60" s="287">
        <v>529</v>
      </c>
      <c r="C60" s="114">
        <f t="shared" si="18"/>
        <v>80</v>
      </c>
      <c r="D60" s="114">
        <f t="shared" si="18"/>
        <v>60</v>
      </c>
      <c r="E60" s="287">
        <f t="shared" si="12"/>
        <v>689</v>
      </c>
      <c r="F60" s="287">
        <f t="shared" si="19"/>
        <v>649</v>
      </c>
      <c r="G60" s="288">
        <v>2.1019108280254777</v>
      </c>
      <c r="H60" s="288">
        <f t="shared" si="13"/>
        <v>0.87987886280244887</v>
      </c>
      <c r="I60" s="288">
        <f t="shared" si="14"/>
        <v>0.69182117305685542</v>
      </c>
      <c r="J60" s="288">
        <f t="shared" si="15"/>
        <v>9.5865346858363218E-2</v>
      </c>
      <c r="K60" s="288">
        <f t="shared" si="20"/>
        <v>1.0902241227701148</v>
      </c>
      <c r="L60" s="288">
        <f t="shared" si="21"/>
        <v>0.85455882379410475</v>
      </c>
      <c r="M60" s="310">
        <f t="shared" si="16"/>
        <v>53.38843885728317</v>
      </c>
      <c r="N60" s="310">
        <f t="shared" si="17"/>
        <v>35.479977532328682</v>
      </c>
      <c r="O60" s="289">
        <f t="shared" si="22"/>
        <v>44.337578208848612</v>
      </c>
      <c r="P60" s="289">
        <f t="shared" si="23"/>
        <v>30.317793690745081</v>
      </c>
      <c r="Q60" s="311">
        <f>(M60+N60)*'TV tinklas'!D59*'Pradiniai duomenys'!E$25*0.00000115</f>
        <v>0</v>
      </c>
      <c r="R60" s="311">
        <f>(O60+P60)*'TV tinklas'!I59*'Pradiniai duomenys'!E$25*0.00000115</f>
        <v>0</v>
      </c>
      <c r="S60" s="311">
        <f t="shared" si="24"/>
        <v>0</v>
      </c>
    </row>
    <row r="61" spans="1:24" ht="12.75" x14ac:dyDescent="0.2">
      <c r="A61" s="287">
        <v>600</v>
      </c>
      <c r="B61" s="287">
        <v>630</v>
      </c>
      <c r="C61" s="114">
        <f t="shared" si="18"/>
        <v>80</v>
      </c>
      <c r="D61" s="114">
        <f t="shared" si="18"/>
        <v>60</v>
      </c>
      <c r="E61" s="287">
        <f t="shared" si="12"/>
        <v>790</v>
      </c>
      <c r="F61" s="287">
        <f t="shared" si="19"/>
        <v>750</v>
      </c>
      <c r="G61" s="288">
        <v>2.1019108280254777</v>
      </c>
      <c r="H61" s="288">
        <f t="shared" si="13"/>
        <v>0.75415694279144496</v>
      </c>
      <c r="I61" s="288">
        <f t="shared" si="14"/>
        <v>0.59050785133563899</v>
      </c>
      <c r="J61" s="288">
        <f t="shared" si="15"/>
        <v>9.5865346858363218E-2</v>
      </c>
      <c r="K61" s="288">
        <f t="shared" si="20"/>
        <v>0.93430219114753399</v>
      </c>
      <c r="L61" s="288">
        <f t="shared" si="21"/>
        <v>0.7292931475028821</v>
      </c>
      <c r="M61" s="310">
        <f t="shared" si="16"/>
        <v>60.811100133068386</v>
      </c>
      <c r="N61" s="310">
        <f t="shared" si="17"/>
        <v>39.680343147077188</v>
      </c>
      <c r="O61" s="289">
        <f t="shared" si="22"/>
        <v>50.688697959938651</v>
      </c>
      <c r="P61" s="289">
        <f t="shared" si="23"/>
        <v>34.182416856165247</v>
      </c>
      <c r="Q61" s="311">
        <f>(M61+N61)*'TV tinklas'!D60*'Pradiniai duomenys'!E$25*0.00000115</f>
        <v>0</v>
      </c>
      <c r="R61" s="311">
        <f>(O61+P61)*'TV tinklas'!I60*'Pradiniai duomenys'!E$25*0.00000115</f>
        <v>0</v>
      </c>
      <c r="S61" s="311">
        <f t="shared" si="24"/>
        <v>0</v>
      </c>
    </row>
    <row r="62" spans="1:24" ht="12.75" x14ac:dyDescent="0.2">
      <c r="A62" s="287">
        <v>700</v>
      </c>
      <c r="B62" s="287">
        <v>720</v>
      </c>
      <c r="C62" s="114">
        <f t="shared" si="18"/>
        <v>80</v>
      </c>
      <c r="D62" s="114">
        <f t="shared" si="18"/>
        <v>60</v>
      </c>
      <c r="E62" s="287">
        <f t="shared" si="12"/>
        <v>880</v>
      </c>
      <c r="F62" s="287">
        <f t="shared" si="19"/>
        <v>840</v>
      </c>
      <c r="G62" s="288">
        <v>1.5286624203821655</v>
      </c>
      <c r="H62" s="288">
        <f t="shared" si="13"/>
        <v>0.66907753980603502</v>
      </c>
      <c r="I62" s="288">
        <f t="shared" si="14"/>
        <v>0.52239314552237159</v>
      </c>
      <c r="J62" s="288">
        <f t="shared" si="15"/>
        <v>0.13073367150812612</v>
      </c>
      <c r="K62" s="288">
        <f t="shared" si="20"/>
        <v>0.8288114133939074</v>
      </c>
      <c r="L62" s="288">
        <f t="shared" si="21"/>
        <v>0.6450970866648692</v>
      </c>
      <c r="M62" s="310">
        <f t="shared" si="16"/>
        <v>63.176749190474155</v>
      </c>
      <c r="N62" s="310">
        <f t="shared" si="17"/>
        <v>37.980178146035406</v>
      </c>
      <c r="O62" s="289">
        <f t="shared" si="22"/>
        <v>53.250335176318409</v>
      </c>
      <c r="P62" s="289">
        <f t="shared" si="23"/>
        <v>33.645984174722649</v>
      </c>
      <c r="Q62" s="311">
        <f>(M62+N62)*'TV tinklas'!D61*'Pradiniai duomenys'!E$25*0.00000115</f>
        <v>0</v>
      </c>
      <c r="R62" s="311">
        <f>(O62+P62)*'TV tinklas'!I61*'Pradiniai duomenys'!E$25*0.00000115</f>
        <v>0</v>
      </c>
      <c r="S62" s="311">
        <f t="shared" si="24"/>
        <v>0</v>
      </c>
    </row>
    <row r="63" spans="1:24" ht="12.75" x14ac:dyDescent="0.2">
      <c r="A63" s="287">
        <v>800</v>
      </c>
      <c r="B63" s="287">
        <v>820</v>
      </c>
      <c r="C63" s="114">
        <f t="shared" si="18"/>
        <v>80</v>
      </c>
      <c r="D63" s="114">
        <f t="shared" si="18"/>
        <v>60</v>
      </c>
      <c r="E63" s="287">
        <f t="shared" si="12"/>
        <v>980</v>
      </c>
      <c r="F63" s="287">
        <f t="shared" si="19"/>
        <v>940</v>
      </c>
      <c r="G63" s="288">
        <v>2.1019108280254777</v>
      </c>
      <c r="H63" s="288">
        <f t="shared" si="13"/>
        <v>0.59460869532833127</v>
      </c>
      <c r="I63" s="288">
        <f t="shared" si="14"/>
        <v>0.46307458856469325</v>
      </c>
      <c r="J63" s="288">
        <f t="shared" si="15"/>
        <v>9.5865346858363218E-2</v>
      </c>
      <c r="K63" s="288">
        <f t="shared" si="20"/>
        <v>0.73649428752776092</v>
      </c>
      <c r="L63" s="288">
        <f t="shared" si="21"/>
        <v>0.57178871442927082</v>
      </c>
      <c r="M63" s="310">
        <f t="shared" si="16"/>
        <v>73.918838092117298</v>
      </c>
      <c r="N63" s="310">
        <f t="shared" si="17"/>
        <v>46.47895871970367</v>
      </c>
      <c r="O63" s="289">
        <f t="shared" si="22"/>
        <v>61.992921641853286</v>
      </c>
      <c r="P63" s="289">
        <f t="shared" si="23"/>
        <v>40.62317579574475</v>
      </c>
      <c r="Q63" s="311">
        <f>(M63+N63)*'TV tinklas'!D62*'Pradiniai duomenys'!E$25*0.00000115</f>
        <v>0</v>
      </c>
      <c r="R63" s="311">
        <f>(O63+P63)*'TV tinklas'!I62*'Pradiniai duomenys'!E$25*0.00000115</f>
        <v>0</v>
      </c>
      <c r="S63" s="311">
        <f t="shared" si="24"/>
        <v>0</v>
      </c>
    </row>
    <row r="64" spans="1:24" ht="12.75" x14ac:dyDescent="0.2">
      <c r="A64" s="287">
        <v>900</v>
      </c>
      <c r="B64" s="287">
        <v>920</v>
      </c>
      <c r="C64" s="114">
        <f t="shared" si="18"/>
        <v>80</v>
      </c>
      <c r="D64" s="114">
        <f t="shared" si="18"/>
        <v>60</v>
      </c>
      <c r="E64" s="287">
        <f t="shared" si="12"/>
        <v>1080</v>
      </c>
      <c r="F64" s="287">
        <f t="shared" si="19"/>
        <v>1040</v>
      </c>
      <c r="G64" s="288">
        <v>2.1019108280254777</v>
      </c>
      <c r="H64" s="288">
        <f t="shared" si="13"/>
        <v>0.53509118302455672</v>
      </c>
      <c r="I64" s="288">
        <f t="shared" si="14"/>
        <v>0.4158706012342937</v>
      </c>
      <c r="J64" s="288">
        <f t="shared" si="15"/>
        <v>9.5865346858363218E-2</v>
      </c>
      <c r="K64" s="288">
        <f t="shared" si="20"/>
        <v>0.66272393248439954</v>
      </c>
      <c r="L64" s="288">
        <f t="shared" si="21"/>
        <v>0.51346204961979014</v>
      </c>
      <c r="M64" s="310">
        <f t="shared" si="16"/>
        <v>80.425317125466705</v>
      </c>
      <c r="N64" s="310">
        <f t="shared" si="17"/>
        <v>49.547428533147453</v>
      </c>
      <c r="O64" s="289">
        <f t="shared" si="22"/>
        <v>67.642446790189283</v>
      </c>
      <c r="P64" s="289">
        <f t="shared" si="23"/>
        <v>43.62291071783973</v>
      </c>
      <c r="Q64" s="311">
        <f>(M64+N64)*'TV tinklas'!D63*'Pradiniai duomenys'!E$25*0.00000115</f>
        <v>0</v>
      </c>
      <c r="R64" s="311">
        <f>(O64+P64)*'TV tinklas'!I63*'Pradiniai duomenys'!E$25*0.00000115</f>
        <v>0</v>
      </c>
      <c r="S64" s="311">
        <f t="shared" si="24"/>
        <v>0</v>
      </c>
    </row>
    <row r="65" spans="1:19" ht="12.75" x14ac:dyDescent="0.2">
      <c r="A65" s="287">
        <v>1000</v>
      </c>
      <c r="B65" s="287">
        <v>1020</v>
      </c>
      <c r="C65" s="114">
        <f t="shared" si="18"/>
        <v>80</v>
      </c>
      <c r="D65" s="114">
        <f t="shared" si="18"/>
        <v>60</v>
      </c>
      <c r="E65" s="287">
        <f t="shared" si="12"/>
        <v>1180</v>
      </c>
      <c r="F65" s="287">
        <f t="shared" si="19"/>
        <v>1140</v>
      </c>
      <c r="G65" s="288">
        <v>2.1019108280254777</v>
      </c>
      <c r="H65" s="288">
        <f t="shared" si="13"/>
        <v>0.48642522036087987</v>
      </c>
      <c r="I65" s="288">
        <f t="shared" si="14"/>
        <v>0.37740996605060367</v>
      </c>
      <c r="J65" s="288">
        <f t="shared" si="15"/>
        <v>9.5865346858363218E-2</v>
      </c>
      <c r="K65" s="288">
        <f t="shared" si="20"/>
        <v>0.60241182206126931</v>
      </c>
      <c r="L65" s="288">
        <f t="shared" si="21"/>
        <v>0.46594557159834227</v>
      </c>
      <c r="M65" s="310">
        <f t="shared" si="16"/>
        <v>86.693127626374206</v>
      </c>
      <c r="N65" s="310">
        <f t="shared" si="17"/>
        <v>52.304301139435935</v>
      </c>
      <c r="O65" s="289">
        <f t="shared" si="22"/>
        <v>73.106383457857149</v>
      </c>
      <c r="P65" s="289">
        <f t="shared" si="23"/>
        <v>46.38007481631049</v>
      </c>
      <c r="Q65" s="311">
        <f>(M65+N65)*'TV tinklas'!D64*'Pradiniai duomenys'!E$25*0.00000115</f>
        <v>0</v>
      </c>
      <c r="R65" s="311">
        <f>(O65+P65)*'TV tinklas'!I64*'Pradiniai duomenys'!E$25*0.00000115</f>
        <v>0</v>
      </c>
      <c r="S65" s="311">
        <f t="shared" si="24"/>
        <v>0</v>
      </c>
    </row>
    <row r="66" spans="1:19" ht="12.75" x14ac:dyDescent="0.2">
      <c r="A66" s="287">
        <v>1110</v>
      </c>
      <c r="B66" s="287">
        <v>1118</v>
      </c>
      <c r="C66" s="114">
        <f t="shared" si="18"/>
        <v>80</v>
      </c>
      <c r="D66" s="114">
        <f t="shared" si="18"/>
        <v>60</v>
      </c>
      <c r="E66" s="287">
        <f>B66+2*C66</f>
        <v>1278</v>
      </c>
      <c r="F66" s="287">
        <f>B66+2*D66</f>
        <v>1238</v>
      </c>
      <c r="G66" s="288">
        <v>2.1019108280254777</v>
      </c>
      <c r="H66" s="288">
        <f t="shared" si="13"/>
        <v>0.44663094628422273</v>
      </c>
      <c r="I66" s="288">
        <f t="shared" si="14"/>
        <v>0.3460529522931946</v>
      </c>
      <c r="J66" s="288">
        <f t="shared" si="15"/>
        <v>9.5865346858363218E-2</v>
      </c>
      <c r="K66" s="288">
        <f t="shared" si="20"/>
        <v>0.55309991133728154</v>
      </c>
      <c r="L66" s="288">
        <f t="shared" si="21"/>
        <v>0.42720976871867422</v>
      </c>
      <c r="M66" s="310">
        <f t="shared" si="16"/>
        <v>92.62393151166971</v>
      </c>
      <c r="N66" s="310">
        <f t="shared" si="17"/>
        <v>54.729066352475222</v>
      </c>
      <c r="O66" s="289">
        <f t="shared" si="22"/>
        <v>78.294497868937228</v>
      </c>
      <c r="P66" s="289">
        <f t="shared" si="23"/>
        <v>48.863865402747692</v>
      </c>
      <c r="Q66" s="311">
        <f>(M66+N66)*'TV tinklas'!D65*'Pradiniai duomenys'!E$25*0.00000115</f>
        <v>0</v>
      </c>
      <c r="R66" s="311">
        <f>(O66+P66)*'TV tinklas'!I65*'Pradiniai duomenys'!E$25*0.00000115</f>
        <v>0</v>
      </c>
      <c r="S66" s="311">
        <f>SUM(Q66:R66)</f>
        <v>0</v>
      </c>
    </row>
    <row r="67" spans="1:19" ht="12.75" x14ac:dyDescent="0.2">
      <c r="A67" s="287">
        <v>1200</v>
      </c>
      <c r="B67" s="287">
        <v>1220</v>
      </c>
      <c r="C67" s="114">
        <f t="shared" si="18"/>
        <v>80</v>
      </c>
      <c r="D67" s="114">
        <f t="shared" si="18"/>
        <v>60</v>
      </c>
      <c r="E67" s="287">
        <f t="shared" si="12"/>
        <v>1380</v>
      </c>
      <c r="F67" s="287">
        <f t="shared" si="19"/>
        <v>1340</v>
      </c>
      <c r="G67" s="288">
        <v>2.1019999999999999</v>
      </c>
      <c r="H67" s="288">
        <f t="shared" si="13"/>
        <v>0.41159374160260431</v>
      </c>
      <c r="I67" s="288">
        <f t="shared" si="14"/>
        <v>0.31851369273241625</v>
      </c>
      <c r="J67" s="288">
        <f t="shared" si="15"/>
        <v>9.5860483032406504E-2</v>
      </c>
      <c r="K67" s="288">
        <f t="shared" si="20"/>
        <v>0.50968692338006694</v>
      </c>
      <c r="L67" s="288">
        <f t="shared" si="21"/>
        <v>0.39319342188566953</v>
      </c>
      <c r="M67" s="312">
        <f t="shared" si="16"/>
        <v>98.594039562621802</v>
      </c>
      <c r="N67" s="312">
        <f t="shared" si="17"/>
        <v>56.986970624354292</v>
      </c>
      <c r="O67" s="289">
        <f t="shared" si="22"/>
        <v>83.532930081602856</v>
      </c>
      <c r="P67" s="289">
        <f t="shared" si="23"/>
        <v>51.237080329320655</v>
      </c>
      <c r="Q67" s="311">
        <f>(M67+N67)*'TV tinklas'!D66*'Pradiniai duomenys'!E$25*0.00000115</f>
        <v>0</v>
      </c>
      <c r="R67" s="311">
        <f>(O67+P67)*'TV tinklas'!I66*'Pradiniai duomenys'!E$25*0.00000115</f>
        <v>0</v>
      </c>
      <c r="S67" s="311">
        <f>SUM(Q67:R67)</f>
        <v>0</v>
      </c>
    </row>
    <row r="68" spans="1:19" ht="12.75" x14ac:dyDescent="0.2">
      <c r="A68" s="293" t="s">
        <v>40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294"/>
      <c r="N68" s="294"/>
      <c r="O68" s="294"/>
      <c r="P68" s="295" t="s">
        <v>138</v>
      </c>
      <c r="Q68" s="313">
        <f>SUM(Q43:Q67)</f>
        <v>0</v>
      </c>
      <c r="R68" s="313">
        <f>SUM(R43:R67)</f>
        <v>0</v>
      </c>
      <c r="S68" s="313">
        <f>SUM(S43:S67)</f>
        <v>0</v>
      </c>
    </row>
    <row r="69" spans="1:19" ht="12.75" x14ac:dyDescent="0.2">
      <c r="A69" s="118" t="s">
        <v>41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294"/>
      <c r="N69" s="294"/>
      <c r="O69" s="294"/>
      <c r="P69" s="294"/>
      <c r="Q69" s="294"/>
      <c r="R69" s="294"/>
      <c r="S69" s="294"/>
    </row>
    <row r="70" spans="1:19" ht="12.75" x14ac:dyDescent="0.2">
      <c r="A70" s="118" t="s">
        <v>42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294"/>
      <c r="N70" s="294"/>
      <c r="O70" s="294"/>
      <c r="P70" s="294"/>
      <c r="Q70" s="294"/>
      <c r="R70" s="294"/>
      <c r="S70" s="294"/>
    </row>
    <row r="71" spans="1:19" ht="12.75" x14ac:dyDescent="0.2">
      <c r="A71" s="294"/>
      <c r="B71" s="294"/>
      <c r="C71" s="294"/>
      <c r="D71" s="294"/>
      <c r="E71" s="294"/>
      <c r="F71" s="294"/>
      <c r="G71" s="294"/>
      <c r="H71" s="294"/>
      <c r="I71" s="294"/>
      <c r="J71" s="118"/>
      <c r="K71" s="118"/>
      <c r="L71" s="118"/>
      <c r="M71" s="294"/>
      <c r="N71" s="294"/>
      <c r="O71" s="294"/>
      <c r="P71" s="294"/>
      <c r="Q71" s="294"/>
      <c r="R71" s="294"/>
      <c r="S71" s="294"/>
    </row>
    <row r="72" spans="1:19" ht="12.75" x14ac:dyDescent="0.2">
      <c r="A72" s="294"/>
      <c r="B72" s="294"/>
      <c r="C72" s="294"/>
      <c r="D72" s="294"/>
      <c r="E72" s="294"/>
      <c r="F72" s="294"/>
      <c r="G72" s="297"/>
      <c r="H72" s="297"/>
      <c r="I72" s="297"/>
      <c r="J72" s="294"/>
      <c r="K72" s="294"/>
      <c r="L72" s="294"/>
      <c r="M72" s="294"/>
      <c r="N72" s="294"/>
      <c r="O72" s="294"/>
      <c r="P72" s="294"/>
      <c r="Q72" s="294"/>
      <c r="R72" s="294"/>
      <c r="S72" s="294"/>
    </row>
    <row r="73" spans="1:19" ht="12.75" x14ac:dyDescent="0.2">
      <c r="A73" s="294"/>
      <c r="B73" s="294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</row>
    <row r="74" spans="1:19" ht="12.75" x14ac:dyDescent="0.2">
      <c r="A74" s="294"/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</row>
  </sheetData>
  <protectedRanges>
    <protectedRange sqref="C8:D32" name="Range1"/>
  </protectedRanges>
  <mergeCells count="31">
    <mergeCell ref="Q40:Q42"/>
    <mergeCell ref="R40:R42"/>
    <mergeCell ref="S40:S42"/>
    <mergeCell ref="M40:N41"/>
    <mergeCell ref="H40:L40"/>
    <mergeCell ref="K41:L41"/>
    <mergeCell ref="J41:J42"/>
    <mergeCell ref="O40:P41"/>
    <mergeCell ref="H39:J39"/>
    <mergeCell ref="A5:B5"/>
    <mergeCell ref="E5:F5"/>
    <mergeCell ref="C41:C42"/>
    <mergeCell ref="D41:D42"/>
    <mergeCell ref="C40:D40"/>
    <mergeCell ref="H5:L5"/>
    <mergeCell ref="C6:C7"/>
    <mergeCell ref="K39:L39"/>
    <mergeCell ref="J6:J7"/>
    <mergeCell ref="C5:D5"/>
    <mergeCell ref="D6:D7"/>
    <mergeCell ref="A2:S2"/>
    <mergeCell ref="A3:S3"/>
    <mergeCell ref="H6:I6"/>
    <mergeCell ref="K6:L6"/>
    <mergeCell ref="H4:J4"/>
    <mergeCell ref="K4:L4"/>
    <mergeCell ref="R5:R7"/>
    <mergeCell ref="Q5:Q7"/>
    <mergeCell ref="S5:S7"/>
    <mergeCell ref="M5:N6"/>
    <mergeCell ref="O5:P6"/>
  </mergeCells>
  <phoneticPr fontId="5" type="noConversion"/>
  <printOptions horizontalCentered="1" verticalCentered="1"/>
  <pageMargins left="0.74803149606299213" right="0.74803149606299213" top="0.79" bottom="0.79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62"/>
  <sheetViews>
    <sheetView showGridLines="0" showZeros="0" workbookViewId="0">
      <selection activeCell="B2" sqref="B2:L2"/>
    </sheetView>
  </sheetViews>
  <sheetFormatPr defaultColWidth="9.33203125" defaultRowHeight="12.75" x14ac:dyDescent="0.2"/>
  <cols>
    <col min="1" max="1" width="5.1640625" style="1" customWidth="1"/>
    <col min="2" max="12" width="12" style="112" customWidth="1"/>
    <col min="13" max="14" width="9.33203125" style="1"/>
    <col min="15" max="15" width="12.5" style="1" hidden="1" customWidth="1"/>
    <col min="16" max="17" width="0" style="1" hidden="1" customWidth="1"/>
    <col min="18" max="16384" width="9.33203125" style="1"/>
  </cols>
  <sheetData>
    <row r="1" spans="2:17" ht="15.75" customHeight="1" x14ac:dyDescent="0.2">
      <c r="B1" s="67">
        <f>'Pradiniai duomenys'!A1</f>
        <v>0</v>
      </c>
    </row>
    <row r="2" spans="2:17" ht="15.75" x14ac:dyDescent="0.25">
      <c r="B2" s="584" t="s">
        <v>314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</row>
    <row r="3" spans="2:17" x14ac:dyDescent="0.2">
      <c r="B3" s="113"/>
    </row>
    <row r="4" spans="2:17" x14ac:dyDescent="0.2">
      <c r="B4" s="253" t="s">
        <v>279</v>
      </c>
    </row>
    <row r="5" spans="2:17" ht="12.75" customHeight="1" x14ac:dyDescent="0.2">
      <c r="B5" s="585" t="s">
        <v>94</v>
      </c>
      <c r="C5" s="586"/>
      <c r="D5" s="587" t="s">
        <v>188</v>
      </c>
      <c r="E5" s="590" t="s">
        <v>187</v>
      </c>
      <c r="F5" s="580" t="s">
        <v>315</v>
      </c>
      <c r="G5" s="581"/>
      <c r="H5" s="580" t="s">
        <v>315</v>
      </c>
      <c r="I5" s="581"/>
      <c r="J5" s="153" t="s">
        <v>318</v>
      </c>
      <c r="K5" s="153" t="s">
        <v>319</v>
      </c>
      <c r="L5" s="153" t="s">
        <v>138</v>
      </c>
    </row>
    <row r="6" spans="2:17" x14ac:dyDescent="0.2">
      <c r="B6" s="160" t="s">
        <v>31</v>
      </c>
      <c r="C6" s="160" t="s">
        <v>32</v>
      </c>
      <c r="D6" s="588"/>
      <c r="E6" s="591"/>
      <c r="F6" s="582" t="s">
        <v>316</v>
      </c>
      <c r="G6" s="583"/>
      <c r="H6" s="582" t="s">
        <v>317</v>
      </c>
      <c r="I6" s="583"/>
      <c r="J6" s="76" t="s">
        <v>44</v>
      </c>
      <c r="K6" s="76" t="s">
        <v>44</v>
      </c>
      <c r="L6" s="76" t="s">
        <v>44</v>
      </c>
    </row>
    <row r="7" spans="2:17" ht="13.5" customHeight="1" x14ac:dyDescent="0.2">
      <c r="B7" s="156" t="s">
        <v>0</v>
      </c>
      <c r="C7" s="156" t="s">
        <v>0</v>
      </c>
      <c r="D7" s="589"/>
      <c r="E7" s="592"/>
      <c r="F7" s="116">
        <f>'Pradiniai duomenys'!C13</f>
        <v>71.482161285566846</v>
      </c>
      <c r="G7" s="116">
        <f>'Pradiniai duomenys'!D13</f>
        <v>43.67489901223648</v>
      </c>
      <c r="H7" s="116">
        <f>'Pradiniai duomenys'!C13</f>
        <v>71.482161285566846</v>
      </c>
      <c r="I7" s="116">
        <f>'Pradiniai duomenys'!D13</f>
        <v>43.67489901223648</v>
      </c>
      <c r="J7" s="155" t="s">
        <v>3</v>
      </c>
      <c r="K7" s="156" t="s">
        <v>3</v>
      </c>
      <c r="L7" s="156" t="s">
        <v>3</v>
      </c>
    </row>
    <row r="8" spans="2:17" x14ac:dyDescent="0.2">
      <c r="B8" s="157">
        <v>25</v>
      </c>
      <c r="C8" s="157">
        <v>32</v>
      </c>
      <c r="D8" s="117">
        <v>50</v>
      </c>
      <c r="E8" s="157">
        <f t="shared" ref="E8:E29" si="0">$C8+2*$D8</f>
        <v>132</v>
      </c>
      <c r="F8" s="108">
        <f t="shared" ref="F8:G29" si="1">3.14*(F$7-$P$12)/(0.5/$P$15*LN($E8/$C8)+1/$P$13*($E8/1000))</f>
        <v>15.545629223341658</v>
      </c>
      <c r="G8" s="108">
        <f t="shared" si="1"/>
        <v>9.3862094919018624</v>
      </c>
      <c r="H8" s="108">
        <f t="shared" ref="H8:I29" si="2">3.14*(H$7-$P$12)/(0.5/$P$16*LN($E8/$C8)+1/$P$13*($E8/1000))</f>
        <v>9.6396225027765237</v>
      </c>
      <c r="I8" s="108">
        <f t="shared" si="2"/>
        <v>5.8202543579295849</v>
      </c>
      <c r="J8" s="109">
        <f>(F8+G8)*'TV tinklas'!E9*'Pradiniai duomenys'!E$13*0.0000012</f>
        <v>0</v>
      </c>
      <c r="K8" s="109">
        <f>(H8+I8)*'TV tinklas'!J9*'Pradiniai duomenys'!E$13*0.0000012</f>
        <v>0</v>
      </c>
      <c r="L8" s="109">
        <f>SUM(J8:K8)</f>
        <v>0</v>
      </c>
    </row>
    <row r="9" spans="2:17" x14ac:dyDescent="0.2">
      <c r="B9" s="157">
        <v>32</v>
      </c>
      <c r="C9" s="157">
        <v>38</v>
      </c>
      <c r="D9" s="117">
        <v>50</v>
      </c>
      <c r="E9" s="157">
        <f t="shared" si="0"/>
        <v>138</v>
      </c>
      <c r="F9" s="110">
        <f t="shared" si="1"/>
        <v>17.080364377157892</v>
      </c>
      <c r="G9" s="108">
        <f t="shared" si="1"/>
        <v>10.312858742398323</v>
      </c>
      <c r="H9" s="108">
        <f t="shared" si="2"/>
        <v>10.591507508193732</v>
      </c>
      <c r="I9" s="108">
        <f t="shared" si="2"/>
        <v>6.394987740842824</v>
      </c>
      <c r="J9" s="109">
        <f>(F9+G9)*'TV tinklas'!E10*'Pradiniai duomenys'!E$13*0.0000012</f>
        <v>0</v>
      </c>
      <c r="K9" s="109">
        <f>(H9+I9)*'TV tinklas'!J10*'Pradiniai duomenys'!E$13*0.0000012</f>
        <v>0</v>
      </c>
      <c r="L9" s="109">
        <f t="shared" ref="L9:L29" si="3">SUM(J9:K9)</f>
        <v>0</v>
      </c>
    </row>
    <row r="10" spans="2:17" x14ac:dyDescent="0.2">
      <c r="B10" s="157">
        <v>40</v>
      </c>
      <c r="C10" s="157">
        <v>45</v>
      </c>
      <c r="D10" s="117">
        <v>50</v>
      </c>
      <c r="E10" s="157">
        <f t="shared" si="0"/>
        <v>145</v>
      </c>
      <c r="F10" s="110">
        <f t="shared" si="1"/>
        <v>18.824952773491543</v>
      </c>
      <c r="G10" s="108">
        <f t="shared" si="1"/>
        <v>11.366214121577293</v>
      </c>
      <c r="H10" s="108">
        <f t="shared" si="2"/>
        <v>11.673617040117932</v>
      </c>
      <c r="I10" s="108">
        <f t="shared" si="2"/>
        <v>7.0483486703942555</v>
      </c>
      <c r="J10" s="109">
        <f>(F10+G10)*'TV tinklas'!E11*'Pradiniai duomenys'!E$13*0.0000012</f>
        <v>0</v>
      </c>
      <c r="K10" s="109">
        <f>(H10+I10)*'TV tinklas'!J11*'Pradiniai duomenys'!E$13*0.0000012</f>
        <v>0</v>
      </c>
      <c r="L10" s="109">
        <f t="shared" si="3"/>
        <v>0</v>
      </c>
    </row>
    <row r="11" spans="2:17" x14ac:dyDescent="0.2">
      <c r="B11" s="157">
        <v>50</v>
      </c>
      <c r="C11" s="157">
        <v>57</v>
      </c>
      <c r="D11" s="117">
        <v>50</v>
      </c>
      <c r="E11" s="157">
        <f t="shared" si="0"/>
        <v>157</v>
      </c>
      <c r="F11" s="110">
        <f t="shared" si="1"/>
        <v>21.737057296066482</v>
      </c>
      <c r="G11" s="108">
        <f t="shared" si="1"/>
        <v>13.124497605539588</v>
      </c>
      <c r="H11" s="108">
        <f t="shared" si="2"/>
        <v>13.480074226407154</v>
      </c>
      <c r="I11" s="108">
        <f t="shared" si="2"/>
        <v>8.1390594640881666</v>
      </c>
      <c r="J11" s="109">
        <f>(F11+G11)*'TV tinklas'!E12*'Pradiniai duomenys'!E$13*0.0000012</f>
        <v>0</v>
      </c>
      <c r="K11" s="109">
        <f>(H11+I11)*'TV tinklas'!J12*'Pradiniai duomenys'!E$13*0.0000012</f>
        <v>0</v>
      </c>
      <c r="L11" s="109">
        <f t="shared" si="3"/>
        <v>0</v>
      </c>
    </row>
    <row r="12" spans="2:17" x14ac:dyDescent="0.2">
      <c r="B12" s="157">
        <v>70</v>
      </c>
      <c r="C12" s="157">
        <v>76</v>
      </c>
      <c r="D12" s="117">
        <v>50</v>
      </c>
      <c r="E12" s="157">
        <f t="shared" si="0"/>
        <v>176</v>
      </c>
      <c r="F12" s="110">
        <f t="shared" si="1"/>
        <v>26.221083037544286</v>
      </c>
      <c r="G12" s="108">
        <f t="shared" si="1"/>
        <v>15.831882708575264</v>
      </c>
      <c r="H12" s="108">
        <f t="shared" si="2"/>
        <v>16.262126561441338</v>
      </c>
      <c r="I12" s="108">
        <f t="shared" si="2"/>
        <v>9.8188194570035527</v>
      </c>
      <c r="J12" s="109">
        <f>(F12+G12)*'TV tinklas'!E14*'Pradiniai duomenys'!E$13*0.0000012</f>
        <v>0</v>
      </c>
      <c r="K12" s="158">
        <f>(H12+I12)*'TV tinklas'!J14*'Pradiniai duomenys'!E$13*0.0000012</f>
        <v>0</v>
      </c>
      <c r="L12" s="109">
        <f t="shared" si="3"/>
        <v>0</v>
      </c>
      <c r="O12" s="82" t="s">
        <v>204</v>
      </c>
      <c r="P12" s="87">
        <f>'Pradiniai duomenys'!K13</f>
        <v>1.2999999999999994</v>
      </c>
      <c r="Q12" s="24" t="s">
        <v>195</v>
      </c>
    </row>
    <row r="13" spans="2:17" x14ac:dyDescent="0.2">
      <c r="B13" s="157">
        <v>80</v>
      </c>
      <c r="C13" s="157">
        <v>89</v>
      </c>
      <c r="D13" s="117">
        <v>60</v>
      </c>
      <c r="E13" s="157">
        <f t="shared" si="0"/>
        <v>209</v>
      </c>
      <c r="F13" s="110">
        <f t="shared" si="1"/>
        <v>25.789151732967053</v>
      </c>
      <c r="G13" s="108">
        <f t="shared" si="1"/>
        <v>15.571089295029479</v>
      </c>
      <c r="H13" s="108">
        <f t="shared" si="2"/>
        <v>15.995081144103237</v>
      </c>
      <c r="I13" s="108">
        <f t="shared" si="2"/>
        <v>9.6575815813938455</v>
      </c>
      <c r="J13" s="109">
        <f>(F13+G13)*'TV tinklas'!E15*'Pradiniai duomenys'!E$13*0.0000012</f>
        <v>0</v>
      </c>
      <c r="K13" s="158">
        <f>(H13+I13)*'TV tinklas'!J15*'Pradiniai duomenys'!E$13*0.0000012</f>
        <v>0</v>
      </c>
      <c r="L13" s="109">
        <f t="shared" si="3"/>
        <v>0</v>
      </c>
      <c r="O13" s="82" t="s">
        <v>234</v>
      </c>
      <c r="P13" s="88">
        <f>11.6+7*SQRT($P$14)</f>
        <v>25.6</v>
      </c>
      <c r="Q13" s="24" t="s">
        <v>205</v>
      </c>
    </row>
    <row r="14" spans="2:17" x14ac:dyDescent="0.2">
      <c r="B14" s="157">
        <v>100</v>
      </c>
      <c r="C14" s="157">
        <v>108</v>
      </c>
      <c r="D14" s="117">
        <v>60</v>
      </c>
      <c r="E14" s="157">
        <f t="shared" si="0"/>
        <v>228</v>
      </c>
      <c r="F14" s="110">
        <f t="shared" si="1"/>
        <v>29.457359399175953</v>
      </c>
      <c r="G14" s="108">
        <f t="shared" si="1"/>
        <v>17.785896114372623</v>
      </c>
      <c r="H14" s="108">
        <f t="shared" si="2"/>
        <v>18.271828875521489</v>
      </c>
      <c r="I14" s="108">
        <f t="shared" si="2"/>
        <v>11.032246502336195</v>
      </c>
      <c r="J14" s="109">
        <f>(F14+G14)*'TV tinklas'!E16*'Pradiniai duomenys'!E$13*0.0000012</f>
        <v>0</v>
      </c>
      <c r="K14" s="158">
        <f>(H14+I14)*'TV tinklas'!J16*'Pradiniai duomenys'!E$13*0.0000012</f>
        <v>0</v>
      </c>
      <c r="L14" s="109">
        <f t="shared" si="3"/>
        <v>0</v>
      </c>
      <c r="O14" s="84" t="s">
        <v>206</v>
      </c>
      <c r="P14" s="88">
        <f>'Pradiniai duomenys'!J40</f>
        <v>4</v>
      </c>
      <c r="Q14" s="1" t="s">
        <v>159</v>
      </c>
    </row>
    <row r="15" spans="2:17" x14ac:dyDescent="0.2">
      <c r="B15" s="157">
        <v>125</v>
      </c>
      <c r="C15" s="157">
        <v>133</v>
      </c>
      <c r="D15" s="117">
        <v>60</v>
      </c>
      <c r="E15" s="157">
        <f t="shared" si="0"/>
        <v>253</v>
      </c>
      <c r="F15" s="110">
        <f t="shared" si="1"/>
        <v>34.217730726369012</v>
      </c>
      <c r="G15" s="108">
        <f t="shared" si="1"/>
        <v>20.660134390246814</v>
      </c>
      <c r="H15" s="108">
        <f t="shared" si="2"/>
        <v>21.227371184481246</v>
      </c>
      <c r="I15" s="108">
        <f t="shared" si="2"/>
        <v>12.816757047102191</v>
      </c>
      <c r="J15" s="109">
        <f>(F15+G15)*'TV tinklas'!E17*'Pradiniai duomenys'!E$13*0.0000012</f>
        <v>0</v>
      </c>
      <c r="K15" s="158">
        <f>(H15+I15)*'TV tinklas'!J17*'Pradiniai duomenys'!E$13*0.0000012</f>
        <v>0</v>
      </c>
      <c r="L15" s="109">
        <f t="shared" si="3"/>
        <v>0</v>
      </c>
      <c r="O15" s="82" t="s">
        <v>192</v>
      </c>
      <c r="P15" s="88">
        <f>'Pradiniai duomenys'!J34</f>
        <v>0.05</v>
      </c>
      <c r="Q15" s="24" t="s">
        <v>194</v>
      </c>
    </row>
    <row r="16" spans="2:17" x14ac:dyDescent="0.2">
      <c r="B16" s="157">
        <v>150</v>
      </c>
      <c r="C16" s="157">
        <v>159</v>
      </c>
      <c r="D16" s="117">
        <v>60</v>
      </c>
      <c r="E16" s="157">
        <f t="shared" si="0"/>
        <v>279</v>
      </c>
      <c r="F16" s="110">
        <f t="shared" si="1"/>
        <v>39.114837466932187</v>
      </c>
      <c r="G16" s="108">
        <f t="shared" si="1"/>
        <v>23.616931385129085</v>
      </c>
      <c r="H16" s="108">
        <f t="shared" si="2"/>
        <v>24.269038847678569</v>
      </c>
      <c r="I16" s="108">
        <f t="shared" si="2"/>
        <v>14.653268743177282</v>
      </c>
      <c r="J16" s="109">
        <f>(F16+G16)*'TV tinklas'!E18*'Pradiniai duomenys'!E$13*0.00000115</f>
        <v>0</v>
      </c>
      <c r="K16" s="158">
        <f>(H16+I16)*'TV tinklas'!J18*'Pradiniai duomenys'!E$13*0.00000115</f>
        <v>0</v>
      </c>
      <c r="L16" s="109">
        <f t="shared" si="3"/>
        <v>0</v>
      </c>
      <c r="O16" s="82" t="s">
        <v>193</v>
      </c>
      <c r="P16" s="88">
        <f>'Pradiniai duomenys'!J35</f>
        <v>3.1E-2</v>
      </c>
      <c r="Q16" s="24" t="s">
        <v>194</v>
      </c>
    </row>
    <row r="17" spans="2:12" x14ac:dyDescent="0.2">
      <c r="B17" s="157">
        <v>175</v>
      </c>
      <c r="C17" s="157">
        <v>194</v>
      </c>
      <c r="D17" s="117">
        <v>70</v>
      </c>
      <c r="E17" s="157">
        <f t="shared" si="0"/>
        <v>334</v>
      </c>
      <c r="F17" s="110">
        <f t="shared" si="1"/>
        <v>40.465853103785179</v>
      </c>
      <c r="G17" s="108">
        <f t="shared" si="1"/>
        <v>24.432653644559863</v>
      </c>
      <c r="H17" s="108">
        <f t="shared" si="2"/>
        <v>25.111690089196351</v>
      </c>
      <c r="I17" s="108">
        <f t="shared" si="2"/>
        <v>15.162048475915363</v>
      </c>
      <c r="J17" s="109">
        <f>(F17+G17)*'TV tinklas'!E19*'Pradiniai duomenys'!E$13*0.00000115</f>
        <v>0</v>
      </c>
      <c r="K17" s="158">
        <f>(H17+I17)*'TV tinklas'!J19*'Pradiniai duomenys'!E$13*0.00000115</f>
        <v>0</v>
      </c>
      <c r="L17" s="109">
        <f>SUM(J17:K17)</f>
        <v>0</v>
      </c>
    </row>
    <row r="18" spans="2:12" x14ac:dyDescent="0.2">
      <c r="B18" s="157">
        <v>200</v>
      </c>
      <c r="C18" s="157">
        <v>219</v>
      </c>
      <c r="D18" s="117">
        <v>70</v>
      </c>
      <c r="E18" s="157">
        <f t="shared" si="0"/>
        <v>359</v>
      </c>
      <c r="F18" s="110">
        <f t="shared" si="1"/>
        <v>44.460940488594773</v>
      </c>
      <c r="G18" s="108">
        <f t="shared" si="1"/>
        <v>26.844825361351688</v>
      </c>
      <c r="H18" s="108">
        <f t="shared" si="2"/>
        <v>27.595451757132736</v>
      </c>
      <c r="I18" s="108">
        <f t="shared" si="2"/>
        <v>16.661705196674021</v>
      </c>
      <c r="J18" s="109">
        <f>(F18+G18)*'TV tinklas'!E20*'Pradiniai duomenys'!E$13*0.00000115</f>
        <v>0</v>
      </c>
      <c r="K18" s="109">
        <f>(H18+I18)*'TV tinklas'!J20*'Pradiniai duomenys'!E$13*0.00000115</f>
        <v>0</v>
      </c>
      <c r="L18" s="109">
        <f t="shared" si="3"/>
        <v>0</v>
      </c>
    </row>
    <row r="19" spans="2:12" x14ac:dyDescent="0.2">
      <c r="B19" s="157">
        <v>250</v>
      </c>
      <c r="C19" s="157">
        <v>273</v>
      </c>
      <c r="D19" s="117">
        <v>70</v>
      </c>
      <c r="E19" s="157">
        <f t="shared" si="0"/>
        <v>413</v>
      </c>
      <c r="F19" s="110">
        <f t="shared" si="1"/>
        <v>53.026414205377684</v>
      </c>
      <c r="G19" s="108">
        <f t="shared" si="1"/>
        <v>32.016525364487464</v>
      </c>
      <c r="H19" s="108">
        <f t="shared" si="2"/>
        <v>32.924945299250645</v>
      </c>
      <c r="I19" s="108">
        <f t="shared" si="2"/>
        <v>19.879570627102943</v>
      </c>
      <c r="J19" s="109">
        <f>(F19+G19)*'TV tinklas'!E21*'Pradiniai duomenys'!E$13*0.00000115</f>
        <v>0</v>
      </c>
      <c r="K19" s="109">
        <f>(H19+I19)*'TV tinklas'!J21*'Pradiniai duomenys'!E$13*0.00000115</f>
        <v>0</v>
      </c>
      <c r="L19" s="109">
        <f t="shared" si="3"/>
        <v>0</v>
      </c>
    </row>
    <row r="20" spans="2:12" x14ac:dyDescent="0.2">
      <c r="B20" s="157">
        <v>300</v>
      </c>
      <c r="C20" s="157">
        <v>325</v>
      </c>
      <c r="D20" s="117">
        <v>70</v>
      </c>
      <c r="E20" s="157">
        <f t="shared" si="0"/>
        <v>465</v>
      </c>
      <c r="F20" s="110">
        <f t="shared" si="1"/>
        <v>61.209572899262014</v>
      </c>
      <c r="G20" s="108">
        <f t="shared" si="1"/>
        <v>36.957389494383762</v>
      </c>
      <c r="H20" s="108">
        <f t="shared" si="2"/>
        <v>38.022831248054111</v>
      </c>
      <c r="I20" s="108">
        <f t="shared" si="2"/>
        <v>22.957594989696517</v>
      </c>
      <c r="J20" s="109">
        <f>(F20+G20)*'TV tinklas'!E22*'Pradiniai duomenys'!E$13*0.00000115</f>
        <v>0</v>
      </c>
      <c r="K20" s="109">
        <f>(H20+I20)*'TV tinklas'!J22*'Pradiniai duomenys'!E$13*0.00000115</f>
        <v>0</v>
      </c>
      <c r="L20" s="109">
        <f t="shared" si="3"/>
        <v>0</v>
      </c>
    </row>
    <row r="21" spans="2:12" x14ac:dyDescent="0.2">
      <c r="B21" s="157">
        <v>350</v>
      </c>
      <c r="C21" s="157">
        <v>377</v>
      </c>
      <c r="D21" s="117">
        <v>80</v>
      </c>
      <c r="E21" s="157">
        <f t="shared" si="0"/>
        <v>537</v>
      </c>
      <c r="F21" s="110">
        <f t="shared" si="1"/>
        <v>61.92823874896429</v>
      </c>
      <c r="G21" s="108">
        <f t="shared" si="1"/>
        <v>37.391308773112783</v>
      </c>
      <c r="H21" s="108">
        <f t="shared" si="2"/>
        <v>38.481707493944299</v>
      </c>
      <c r="I21" s="108">
        <f t="shared" si="2"/>
        <v>23.234657340335609</v>
      </c>
      <c r="J21" s="109">
        <f>(F21+G21)*'TV tinklas'!E23*'Pradiniai duomenys'!E$13*0.00000115</f>
        <v>0</v>
      </c>
      <c r="K21" s="109">
        <f>(H21+I21)*'TV tinklas'!J23*'Pradiniai duomenys'!E$13*0.00000115</f>
        <v>0</v>
      </c>
      <c r="L21" s="109">
        <f t="shared" si="3"/>
        <v>0</v>
      </c>
    </row>
    <row r="22" spans="2:12" x14ac:dyDescent="0.2">
      <c r="B22" s="157">
        <v>400</v>
      </c>
      <c r="C22" s="157">
        <v>426</v>
      </c>
      <c r="D22" s="117">
        <v>80</v>
      </c>
      <c r="E22" s="157">
        <f t="shared" si="0"/>
        <v>586</v>
      </c>
      <c r="F22" s="110">
        <f t="shared" si="1"/>
        <v>68.61547639229083</v>
      </c>
      <c r="G22" s="108">
        <f t="shared" si="1"/>
        <v>41.428959005253247</v>
      </c>
      <c r="H22" s="108">
        <f t="shared" si="2"/>
        <v>42.657126365045322</v>
      </c>
      <c r="I22" s="108">
        <f t="shared" si="2"/>
        <v>25.755710407891666</v>
      </c>
      <c r="J22" s="109">
        <f>(F22+G22)*'TV tinklas'!E24*'Pradiniai duomenys'!E$13*0.00000115</f>
        <v>0</v>
      </c>
      <c r="K22" s="109">
        <f>(H22+I22)*'TV tinklas'!J24*'Pradiniai duomenys'!E$13*0.00000115</f>
        <v>0</v>
      </c>
      <c r="L22" s="109">
        <f t="shared" si="3"/>
        <v>0</v>
      </c>
    </row>
    <row r="23" spans="2:12" x14ac:dyDescent="0.2">
      <c r="B23" s="157">
        <v>450</v>
      </c>
      <c r="C23" s="157">
        <v>478</v>
      </c>
      <c r="D23" s="117">
        <v>80</v>
      </c>
      <c r="E23" s="157">
        <f t="shared" si="0"/>
        <v>638</v>
      </c>
      <c r="F23" s="110">
        <f t="shared" si="1"/>
        <v>75.672063879579781</v>
      </c>
      <c r="G23" s="108">
        <f t="shared" si="1"/>
        <v>45.68961693694871</v>
      </c>
      <c r="H23" s="108">
        <f t="shared" si="2"/>
        <v>47.06974794640356</v>
      </c>
      <c r="I23" s="108">
        <f t="shared" si="2"/>
        <v>28.419982787997526</v>
      </c>
      <c r="J23" s="109">
        <f>(F23+G23)*'TV tinklas'!E25*'Pradiniai duomenys'!E$13*0.00000115</f>
        <v>0</v>
      </c>
      <c r="K23" s="109">
        <f>(H23+I23)*'TV tinklas'!J25*'Pradiniai duomenys'!E$13*0.00000115</f>
        <v>0</v>
      </c>
      <c r="L23" s="109">
        <f t="shared" si="3"/>
        <v>0</v>
      </c>
    </row>
    <row r="24" spans="2:12" x14ac:dyDescent="0.2">
      <c r="B24" s="157">
        <v>500</v>
      </c>
      <c r="C24" s="157">
        <v>529</v>
      </c>
      <c r="D24" s="117">
        <v>80</v>
      </c>
      <c r="E24" s="157">
        <f t="shared" si="0"/>
        <v>689</v>
      </c>
      <c r="F24" s="110">
        <f t="shared" si="1"/>
        <v>82.553563236413467</v>
      </c>
      <c r="G24" s="108">
        <f t="shared" si="1"/>
        <v>49.844559374701284</v>
      </c>
      <c r="H24" s="108">
        <f t="shared" si="2"/>
        <v>51.380059876067328</v>
      </c>
      <c r="I24" s="108">
        <f t="shared" si="2"/>
        <v>31.022482189341876</v>
      </c>
      <c r="J24" s="109">
        <f>(F24+G24)*'TV tinklas'!E26*'Pradiniai duomenys'!E$13*0.00000115</f>
        <v>0</v>
      </c>
      <c r="K24" s="109">
        <f>(H24+I24)*'TV tinklas'!J26*'Pradiniai duomenys'!E$13*0.00000115</f>
        <v>0</v>
      </c>
      <c r="L24" s="109">
        <f t="shared" si="3"/>
        <v>0</v>
      </c>
    </row>
    <row r="25" spans="2:12" x14ac:dyDescent="0.2">
      <c r="B25" s="157">
        <v>600</v>
      </c>
      <c r="C25" s="157">
        <v>630</v>
      </c>
      <c r="D25" s="117">
        <v>90</v>
      </c>
      <c r="E25" s="157">
        <f t="shared" si="0"/>
        <v>810</v>
      </c>
      <c r="F25" s="110">
        <f t="shared" si="1"/>
        <v>86.59749032636698</v>
      </c>
      <c r="G25" s="108">
        <f t="shared" si="1"/>
        <v>52.286219746948454</v>
      </c>
      <c r="H25" s="108">
        <f t="shared" si="2"/>
        <v>53.945321417918258</v>
      </c>
      <c r="I25" s="108">
        <f t="shared" si="2"/>
        <v>32.571347268227136</v>
      </c>
      <c r="J25" s="109">
        <f>(F25+G25)*'TV tinklas'!E27*'Pradiniai duomenys'!E$13*0.00000115</f>
        <v>0</v>
      </c>
      <c r="K25" s="109">
        <f>(H25+I25)*'TV tinklas'!J27*'Pradiniai duomenys'!E$13*0.00000115</f>
        <v>0</v>
      </c>
      <c r="L25" s="109">
        <f t="shared" si="3"/>
        <v>0</v>
      </c>
    </row>
    <row r="26" spans="2:12" x14ac:dyDescent="0.2">
      <c r="B26" s="157">
        <v>700</v>
      </c>
      <c r="C26" s="157">
        <v>720</v>
      </c>
      <c r="D26" s="117">
        <v>100</v>
      </c>
      <c r="E26" s="157">
        <f t="shared" si="0"/>
        <v>920</v>
      </c>
      <c r="F26" s="110">
        <f t="shared" si="1"/>
        <v>88.603789909604131</v>
      </c>
      <c r="G26" s="108">
        <f t="shared" si="1"/>
        <v>53.497592276244589</v>
      </c>
      <c r="H26" s="108">
        <f t="shared" si="2"/>
        <v>55.237642828810905</v>
      </c>
      <c r="I26" s="108">
        <f t="shared" si="2"/>
        <v>33.351630865580361</v>
      </c>
      <c r="J26" s="109">
        <f>(F26+G26)*'TV tinklas'!E28*'Pradiniai duomenys'!E$13*0.00000115</f>
        <v>0</v>
      </c>
      <c r="K26" s="109">
        <f>(H26+I26)*'TV tinklas'!J28*'Pradiniai duomenys'!E$13*0.00000115</f>
        <v>0</v>
      </c>
      <c r="L26" s="109">
        <f t="shared" si="3"/>
        <v>0</v>
      </c>
    </row>
    <row r="27" spans="2:12" x14ac:dyDescent="0.2">
      <c r="B27" s="157">
        <v>800</v>
      </c>
      <c r="C27" s="157">
        <v>820</v>
      </c>
      <c r="D27" s="117">
        <v>100</v>
      </c>
      <c r="E27" s="157">
        <f t="shared" si="0"/>
        <v>1020</v>
      </c>
      <c r="F27" s="110">
        <f t="shared" si="1"/>
        <v>99.160379827686583</v>
      </c>
      <c r="G27" s="108">
        <f t="shared" si="1"/>
        <v>59.8714973184698</v>
      </c>
      <c r="H27" s="108">
        <f t="shared" si="2"/>
        <v>61.901155646080305</v>
      </c>
      <c r="I27" s="108">
        <f t="shared" si="2"/>
        <v>37.374956416208619</v>
      </c>
      <c r="J27" s="109">
        <f>(F27+G27)*'TV tinklas'!E29*'Pradiniai duomenys'!E$13*0.00000115</f>
        <v>0</v>
      </c>
      <c r="K27" s="109">
        <f>(H27+I27)*'TV tinklas'!J29*'Pradiniai duomenys'!E$13*0.00000115</f>
        <v>0</v>
      </c>
      <c r="L27" s="109">
        <f t="shared" si="3"/>
        <v>0</v>
      </c>
    </row>
    <row r="28" spans="2:12" x14ac:dyDescent="0.2">
      <c r="B28" s="157">
        <v>900</v>
      </c>
      <c r="C28" s="157">
        <v>920</v>
      </c>
      <c r="D28" s="117">
        <v>110</v>
      </c>
      <c r="E28" s="157">
        <f t="shared" si="0"/>
        <v>1140</v>
      </c>
      <c r="F28" s="110">
        <f t="shared" si="1"/>
        <v>100.68946789380651</v>
      </c>
      <c r="G28" s="108">
        <f t="shared" si="1"/>
        <v>60.794736945117954</v>
      </c>
      <c r="H28" s="108">
        <f t="shared" si="2"/>
        <v>62.913902801721278</v>
      </c>
      <c r="I28" s="108">
        <f t="shared" si="2"/>
        <v>37.986437420200467</v>
      </c>
      <c r="J28" s="109">
        <f>(F28+G28)*'TV tinklas'!E30*'Pradiniai duomenys'!E$13*0.00000115</f>
        <v>0</v>
      </c>
      <c r="K28" s="109">
        <f>(H28+I28)*'TV tinklas'!J30*'Pradiniai duomenys'!E$13*0.00000115</f>
        <v>0</v>
      </c>
      <c r="L28" s="109">
        <f t="shared" si="3"/>
        <v>0</v>
      </c>
    </row>
    <row r="29" spans="2:12" x14ac:dyDescent="0.2">
      <c r="B29" s="157">
        <v>1000</v>
      </c>
      <c r="C29" s="157">
        <v>1020</v>
      </c>
      <c r="D29" s="117">
        <v>120</v>
      </c>
      <c r="E29" s="157">
        <f t="shared" si="0"/>
        <v>1260</v>
      </c>
      <c r="F29" s="110">
        <f t="shared" si="1"/>
        <v>101.91509005162266</v>
      </c>
      <c r="G29" s="108">
        <f t="shared" si="1"/>
        <v>61.534748569343883</v>
      </c>
      <c r="H29" s="108">
        <f t="shared" si="2"/>
        <v>63.738670161639206</v>
      </c>
      <c r="I29" s="108">
        <f t="shared" si="2"/>
        <v>38.484419142976201</v>
      </c>
      <c r="J29" s="109">
        <f>(F29+G29)*'TV tinklas'!E31*'Pradiniai duomenys'!E$13*0.00000115</f>
        <v>0</v>
      </c>
      <c r="K29" s="109">
        <f>(H29+I29)*'TV tinklas'!J31*'Pradiniai duomenys'!E$13*0.00000115</f>
        <v>0</v>
      </c>
      <c r="L29" s="159">
        <f t="shared" si="3"/>
        <v>0</v>
      </c>
    </row>
    <row r="30" spans="2:12" x14ac:dyDescent="0.2">
      <c r="I30" s="113" t="s">
        <v>138</v>
      </c>
      <c r="J30" s="162">
        <f>SUM(J8:J29)</f>
        <v>0</v>
      </c>
      <c r="K30" s="163">
        <f>SUM(K8:K29)</f>
        <v>0</v>
      </c>
      <c r="L30" s="162">
        <f>SUM(L8:L29)</f>
        <v>0</v>
      </c>
    </row>
    <row r="31" spans="2:12" x14ac:dyDescent="0.2">
      <c r="B31" s="111"/>
      <c r="C31" s="111"/>
      <c r="D31" s="111"/>
      <c r="E31" s="111"/>
      <c r="F31" s="111"/>
      <c r="G31" s="111"/>
    </row>
    <row r="32" spans="2:12" x14ac:dyDescent="0.2">
      <c r="B32" s="111"/>
      <c r="C32" s="111"/>
      <c r="D32" s="111"/>
      <c r="E32" s="111"/>
      <c r="F32" s="111"/>
      <c r="G32" s="111"/>
    </row>
    <row r="34" spans="2:17" x14ac:dyDescent="0.2">
      <c r="B34" s="253" t="s">
        <v>280</v>
      </c>
    </row>
    <row r="35" spans="2:17" ht="11.25" customHeight="1" x14ac:dyDescent="0.2">
      <c r="B35" s="585" t="s">
        <v>94</v>
      </c>
      <c r="C35" s="586"/>
      <c r="D35" s="577" t="s">
        <v>188</v>
      </c>
      <c r="E35" s="575" t="s">
        <v>187</v>
      </c>
      <c r="F35" s="580" t="s">
        <v>315</v>
      </c>
      <c r="G35" s="581"/>
      <c r="H35" s="580" t="s">
        <v>315</v>
      </c>
      <c r="I35" s="581"/>
      <c r="J35" s="153" t="s">
        <v>318</v>
      </c>
      <c r="K35" s="153" t="s">
        <v>319</v>
      </c>
      <c r="L35" s="153" t="s">
        <v>138</v>
      </c>
    </row>
    <row r="36" spans="2:17" x14ac:dyDescent="0.2">
      <c r="B36" s="160" t="s">
        <v>31</v>
      </c>
      <c r="C36" s="160" t="s">
        <v>32</v>
      </c>
      <c r="D36" s="578"/>
      <c r="E36" s="575"/>
      <c r="F36" s="582" t="s">
        <v>316</v>
      </c>
      <c r="G36" s="583"/>
      <c r="H36" s="582" t="s">
        <v>317</v>
      </c>
      <c r="I36" s="583"/>
      <c r="J36" s="76" t="s">
        <v>44</v>
      </c>
      <c r="K36" s="76" t="s">
        <v>44</v>
      </c>
      <c r="L36" s="76" t="s">
        <v>44</v>
      </c>
    </row>
    <row r="37" spans="2:17" x14ac:dyDescent="0.2">
      <c r="B37" s="156" t="s">
        <v>0</v>
      </c>
      <c r="C37" s="156" t="s">
        <v>0</v>
      </c>
      <c r="D37" s="579"/>
      <c r="E37" s="576"/>
      <c r="F37" s="116">
        <f>'Pradiniai duomenys'!C25</f>
        <v>68.068996019460414</v>
      </c>
      <c r="G37" s="116">
        <f>'Pradiniai duomenys'!D25</f>
        <v>45.639436827362523</v>
      </c>
      <c r="H37" s="116">
        <f>'Pradiniai duomenys'!C25</f>
        <v>68.068996019460414</v>
      </c>
      <c r="I37" s="116">
        <f>'Pradiniai duomenys'!D25</f>
        <v>45.639436827362523</v>
      </c>
      <c r="J37" s="155" t="s">
        <v>3</v>
      </c>
      <c r="K37" s="156" t="s">
        <v>3</v>
      </c>
      <c r="L37" s="156" t="s">
        <v>3</v>
      </c>
    </row>
    <row r="38" spans="2:17" x14ac:dyDescent="0.2">
      <c r="B38" s="157">
        <v>25</v>
      </c>
      <c r="C38" s="157">
        <v>32</v>
      </c>
      <c r="D38" s="114">
        <f>D8</f>
        <v>50</v>
      </c>
      <c r="E38" s="157">
        <f t="shared" ref="E38:E59" si="4">$C38+2*$D38</f>
        <v>132</v>
      </c>
      <c r="F38" s="108">
        <f t="shared" ref="F38:I59" si="5">3.14*(F$37-$P$42)/(0.5/$P$45*LN($E38/$C38)+1/$P$43*($E38/1000))</f>
        <v>11.739173006283259</v>
      </c>
      <c r="G38" s="108">
        <f t="shared" si="5"/>
        <v>6.7709360005207175</v>
      </c>
      <c r="H38" s="108">
        <f t="shared" si="5"/>
        <v>11.739173006283259</v>
      </c>
      <c r="I38" s="108">
        <f t="shared" si="5"/>
        <v>6.7709360005207175</v>
      </c>
      <c r="J38" s="109">
        <f>(F38+G38)*'TV tinklas'!E42*'Pradiniai duomenys'!E$25*0.0000012</f>
        <v>0</v>
      </c>
      <c r="K38" s="109">
        <f>(H38+I38)*'TV tinklas'!J42*'Pradiniai duomenys'!E$25*0.0000012</f>
        <v>0</v>
      </c>
      <c r="L38" s="109">
        <f>SUM(J38:K38)</f>
        <v>0</v>
      </c>
    </row>
    <row r="39" spans="2:17" x14ac:dyDescent="0.2">
      <c r="B39" s="157">
        <v>32</v>
      </c>
      <c r="C39" s="157">
        <v>38</v>
      </c>
      <c r="D39" s="114">
        <f t="shared" ref="D39:D59" si="6">D9</f>
        <v>50</v>
      </c>
      <c r="E39" s="157">
        <f t="shared" si="4"/>
        <v>138</v>
      </c>
      <c r="F39" s="110">
        <f t="shared" si="5"/>
        <v>12.898117506414643</v>
      </c>
      <c r="G39" s="108">
        <f t="shared" si="5"/>
        <v>7.4393935685576631</v>
      </c>
      <c r="H39" s="108">
        <f t="shared" si="5"/>
        <v>12.898117506414643</v>
      </c>
      <c r="I39" s="108">
        <f t="shared" si="5"/>
        <v>7.4393935685576631</v>
      </c>
      <c r="J39" s="109">
        <f>(F39+G39)*'TV tinklas'!E43*'Pradiniai duomenys'!E$25*0.0000012</f>
        <v>0</v>
      </c>
      <c r="K39" s="109">
        <f>(H39+I39)*'TV tinklas'!J43*'Pradiniai duomenys'!E$25*0.0000012</f>
        <v>0</v>
      </c>
      <c r="L39" s="109">
        <f t="shared" ref="L39:L59" si="7">SUM(J39:K39)</f>
        <v>0</v>
      </c>
    </row>
    <row r="40" spans="2:17" x14ac:dyDescent="0.2">
      <c r="B40" s="157">
        <v>40</v>
      </c>
      <c r="C40" s="157">
        <v>45</v>
      </c>
      <c r="D40" s="114">
        <f t="shared" si="6"/>
        <v>50</v>
      </c>
      <c r="E40" s="157">
        <f t="shared" si="4"/>
        <v>145</v>
      </c>
      <c r="F40" s="110">
        <f t="shared" si="5"/>
        <v>14.21553121254912</v>
      </c>
      <c r="G40" s="108">
        <f t="shared" si="5"/>
        <v>8.1992532184385336</v>
      </c>
      <c r="H40" s="108">
        <f t="shared" si="5"/>
        <v>14.21553121254912</v>
      </c>
      <c r="I40" s="108">
        <f t="shared" si="5"/>
        <v>8.1992532184385336</v>
      </c>
      <c r="J40" s="109">
        <f>(F40+G40)*'TV tinklas'!E44*'Pradiniai duomenys'!E$25*0.0000012</f>
        <v>0</v>
      </c>
      <c r="K40" s="109">
        <f>(H40+I40)*'TV tinklas'!J44*'Pradiniai duomenys'!E$25*0.0000012</f>
        <v>0</v>
      </c>
      <c r="L40" s="109">
        <f t="shared" si="7"/>
        <v>0</v>
      </c>
    </row>
    <row r="41" spans="2:17" x14ac:dyDescent="0.2">
      <c r="B41" s="157">
        <v>50</v>
      </c>
      <c r="C41" s="157">
        <v>57</v>
      </c>
      <c r="D41" s="114">
        <f t="shared" si="6"/>
        <v>50</v>
      </c>
      <c r="E41" s="157">
        <f t="shared" si="4"/>
        <v>157</v>
      </c>
      <c r="F41" s="110">
        <f t="shared" si="5"/>
        <v>16.414586542619489</v>
      </c>
      <c r="G41" s="108">
        <f t="shared" si="5"/>
        <v>9.4676273103392905</v>
      </c>
      <c r="H41" s="108">
        <f t="shared" si="5"/>
        <v>16.414586542619489</v>
      </c>
      <c r="I41" s="108">
        <f t="shared" si="5"/>
        <v>9.4676273103392905</v>
      </c>
      <c r="J41" s="109">
        <f>(F41+G41)*'TV tinklas'!E45*'Pradiniai duomenys'!E$25*0.0000012</f>
        <v>0</v>
      </c>
      <c r="K41" s="109">
        <f>(H41+I41)*'TV tinklas'!J45*'Pradiniai duomenys'!E$25*0.0000012</f>
        <v>0</v>
      </c>
      <c r="L41" s="109">
        <f t="shared" si="7"/>
        <v>0</v>
      </c>
    </row>
    <row r="42" spans="2:17" x14ac:dyDescent="0.2">
      <c r="B42" s="157">
        <v>70</v>
      </c>
      <c r="C42" s="157">
        <v>76</v>
      </c>
      <c r="D42" s="114">
        <f t="shared" si="6"/>
        <v>50</v>
      </c>
      <c r="E42" s="157">
        <f t="shared" si="4"/>
        <v>176</v>
      </c>
      <c r="F42" s="110">
        <f t="shared" si="5"/>
        <v>19.800667169372041</v>
      </c>
      <c r="G42" s="108">
        <f t="shared" si="5"/>
        <v>11.420655449891646</v>
      </c>
      <c r="H42" s="108">
        <f t="shared" si="5"/>
        <v>19.800667169372041</v>
      </c>
      <c r="I42" s="108">
        <f t="shared" si="5"/>
        <v>11.420655449891646</v>
      </c>
      <c r="J42" s="109">
        <f>(F42+G42)*'TV tinklas'!E47*'Pradiniai duomenys'!E$25*0.0000012</f>
        <v>0</v>
      </c>
      <c r="K42" s="158">
        <f>(H42+I42)*'TV tinklas'!J47*'Pradiniai duomenys'!E$25*0.0000012</f>
        <v>0</v>
      </c>
      <c r="L42" s="109">
        <f t="shared" si="7"/>
        <v>0</v>
      </c>
      <c r="O42" s="82" t="s">
        <v>204</v>
      </c>
      <c r="P42" s="85">
        <f>'Pradiniai duomenys'!K25</f>
        <v>15.071428571428571</v>
      </c>
      <c r="Q42" s="24" t="s">
        <v>195</v>
      </c>
    </row>
    <row r="43" spans="2:17" x14ac:dyDescent="0.2">
      <c r="B43" s="157">
        <v>80</v>
      </c>
      <c r="C43" s="157">
        <v>89</v>
      </c>
      <c r="D43" s="114">
        <f t="shared" si="6"/>
        <v>60</v>
      </c>
      <c r="E43" s="157">
        <f t="shared" si="4"/>
        <v>209</v>
      </c>
      <c r="F43" s="110">
        <f t="shared" si="5"/>
        <v>19.474497270526875</v>
      </c>
      <c r="G43" s="108">
        <f t="shared" si="5"/>
        <v>11.232526736804713</v>
      </c>
      <c r="H43" s="108">
        <f t="shared" si="5"/>
        <v>19.474497270526875</v>
      </c>
      <c r="I43" s="108">
        <f t="shared" si="5"/>
        <v>11.232526736804713</v>
      </c>
      <c r="J43" s="109">
        <f>(F43+G43)*'TV tinklas'!E48*'Pradiniai duomenys'!E$25*0.0000012</f>
        <v>0</v>
      </c>
      <c r="K43" s="109">
        <f>(H43+I43)*'TV tinklas'!J48*'Pradiniai duomenys'!E$25*0.0000012</f>
        <v>0</v>
      </c>
      <c r="L43" s="109">
        <f t="shared" si="7"/>
        <v>0</v>
      </c>
      <c r="O43" s="82" t="s">
        <v>234</v>
      </c>
      <c r="P43" s="89">
        <f>11.6+7*SQRT($P$14)</f>
        <v>25.6</v>
      </c>
      <c r="Q43" s="24" t="s">
        <v>205</v>
      </c>
    </row>
    <row r="44" spans="2:17" x14ac:dyDescent="0.2">
      <c r="B44" s="157">
        <v>100</v>
      </c>
      <c r="C44" s="157">
        <v>108</v>
      </c>
      <c r="D44" s="114">
        <f t="shared" si="6"/>
        <v>60</v>
      </c>
      <c r="E44" s="157">
        <f t="shared" si="4"/>
        <v>228</v>
      </c>
      <c r="F44" s="110">
        <f t="shared" si="5"/>
        <v>22.244518592786637</v>
      </c>
      <c r="G44" s="108">
        <f t="shared" si="5"/>
        <v>12.83022336186168</v>
      </c>
      <c r="H44" s="108">
        <f t="shared" si="5"/>
        <v>22.244518592786637</v>
      </c>
      <c r="I44" s="108">
        <f t="shared" si="5"/>
        <v>12.83022336186168</v>
      </c>
      <c r="J44" s="109">
        <f>(F44+G44)*'TV tinklas'!E49*'Pradiniai duomenys'!E$25*0.0000012</f>
        <v>0</v>
      </c>
      <c r="K44" s="109">
        <f>(H44+I44)*'TV tinklas'!J49*'Pradiniai duomenys'!E$25*0.0000012</f>
        <v>0</v>
      </c>
      <c r="L44" s="109">
        <f t="shared" si="7"/>
        <v>0</v>
      </c>
      <c r="O44" s="84" t="s">
        <v>206</v>
      </c>
      <c r="P44" s="86">
        <f>'Pradiniai duomenys'!J40</f>
        <v>4</v>
      </c>
      <c r="Q44" s="1" t="s">
        <v>159</v>
      </c>
    </row>
    <row r="45" spans="2:17" x14ac:dyDescent="0.2">
      <c r="B45" s="157">
        <v>125</v>
      </c>
      <c r="C45" s="157">
        <v>133</v>
      </c>
      <c r="D45" s="114">
        <f t="shared" si="6"/>
        <v>60</v>
      </c>
      <c r="E45" s="157">
        <f t="shared" si="4"/>
        <v>253</v>
      </c>
      <c r="F45" s="110">
        <f t="shared" si="5"/>
        <v>25.839279652709635</v>
      </c>
      <c r="G45" s="108">
        <f t="shared" si="5"/>
        <v>14.903614482418043</v>
      </c>
      <c r="H45" s="108">
        <f t="shared" si="5"/>
        <v>25.839279652709635</v>
      </c>
      <c r="I45" s="108">
        <f t="shared" si="5"/>
        <v>14.903614482418043</v>
      </c>
      <c r="J45" s="109">
        <f>(F45+G45)*'TV tinklas'!E50*'Pradiniai duomenys'!E$25*0.0000012</f>
        <v>0</v>
      </c>
      <c r="K45" s="109">
        <f>(H45+I45)*'TV tinklas'!J50*'Pradiniai duomenys'!E$25*0.0000012</f>
        <v>0</v>
      </c>
      <c r="L45" s="109">
        <f t="shared" si="7"/>
        <v>0</v>
      </c>
      <c r="O45" s="82" t="s">
        <v>192</v>
      </c>
      <c r="P45" s="86">
        <f>'Pradiniai duomenys'!J34</f>
        <v>0.05</v>
      </c>
      <c r="Q45" s="24" t="s">
        <v>194</v>
      </c>
    </row>
    <row r="46" spans="2:17" x14ac:dyDescent="0.2">
      <c r="B46" s="157">
        <v>150</v>
      </c>
      <c r="C46" s="157">
        <v>159</v>
      </c>
      <c r="D46" s="114">
        <f t="shared" si="6"/>
        <v>60</v>
      </c>
      <c r="E46" s="157">
        <f t="shared" si="4"/>
        <v>279</v>
      </c>
      <c r="F46" s="110">
        <f t="shared" si="5"/>
        <v>29.537295502167126</v>
      </c>
      <c r="G46" s="108">
        <f t="shared" si="5"/>
        <v>17.036561039401747</v>
      </c>
      <c r="H46" s="108">
        <f t="shared" si="5"/>
        <v>29.537295502167126</v>
      </c>
      <c r="I46" s="108">
        <f t="shared" si="5"/>
        <v>17.036561039401747</v>
      </c>
      <c r="J46" s="109">
        <f>(F46+G46)*'TV tinklas'!E51*'Pradiniai duomenys'!E$25*0.00000115</f>
        <v>0</v>
      </c>
      <c r="K46" s="158">
        <f>(H46+I46)*'TV tinklas'!J51*'Pradiniai duomenys'!E$25*0.00000115</f>
        <v>0</v>
      </c>
      <c r="L46" s="109">
        <f t="shared" si="7"/>
        <v>0</v>
      </c>
      <c r="O46" s="82" t="s">
        <v>193</v>
      </c>
      <c r="P46" s="86">
        <f>'Pradiniai duomenys'!J35</f>
        <v>3.1E-2</v>
      </c>
      <c r="Q46" s="24" t="s">
        <v>194</v>
      </c>
    </row>
    <row r="47" spans="2:17" x14ac:dyDescent="0.2">
      <c r="B47" s="157">
        <v>175</v>
      </c>
      <c r="C47" s="157">
        <v>194</v>
      </c>
      <c r="D47" s="114">
        <f t="shared" si="6"/>
        <v>70</v>
      </c>
      <c r="E47" s="157">
        <f t="shared" si="4"/>
        <v>334</v>
      </c>
      <c r="F47" s="110">
        <f t="shared" si="5"/>
        <v>30.55750549607318</v>
      </c>
      <c r="G47" s="108">
        <f t="shared" si="5"/>
        <v>17.624999132283776</v>
      </c>
      <c r="H47" s="108">
        <f t="shared" si="5"/>
        <v>30.55750549607318</v>
      </c>
      <c r="I47" s="108">
        <f t="shared" si="5"/>
        <v>17.624999132283776</v>
      </c>
      <c r="J47" s="109">
        <f>(F47+G47)*'TV tinklas'!E52*'Pradiniai duomenys'!E$25*0.00000115</f>
        <v>0</v>
      </c>
      <c r="K47" s="158">
        <f>(H47+I47)*'TV tinklas'!J52*'Pradiniai duomenys'!E$25*0.00000115</f>
        <v>0</v>
      </c>
      <c r="L47" s="109">
        <f>SUM(J47:K47)</f>
        <v>0</v>
      </c>
    </row>
    <row r="48" spans="2:17" x14ac:dyDescent="0.2">
      <c r="B48" s="157">
        <v>200</v>
      </c>
      <c r="C48" s="157">
        <v>219</v>
      </c>
      <c r="D48" s="114">
        <f t="shared" si="6"/>
        <v>70</v>
      </c>
      <c r="E48" s="157">
        <f t="shared" si="4"/>
        <v>359</v>
      </c>
      <c r="F48" s="110">
        <f t="shared" si="5"/>
        <v>33.574367747945303</v>
      </c>
      <c r="G48" s="108">
        <f t="shared" si="5"/>
        <v>19.36506900082389</v>
      </c>
      <c r="H48" s="108">
        <f t="shared" si="5"/>
        <v>33.574367747945303</v>
      </c>
      <c r="I48" s="108">
        <f t="shared" si="5"/>
        <v>19.36506900082389</v>
      </c>
      <c r="J48" s="109">
        <f>(F48+G48)*'TV tinklas'!E53*'Pradiniai duomenys'!E$25*0.00000115</f>
        <v>0</v>
      </c>
      <c r="K48" s="109">
        <f>(H48+I48)*'TV tinklas'!J53*'Pradiniai duomenys'!E$25*0.00000115</f>
        <v>0</v>
      </c>
      <c r="L48" s="109">
        <f t="shared" si="7"/>
        <v>0</v>
      </c>
    </row>
    <row r="49" spans="2:12" x14ac:dyDescent="0.2">
      <c r="B49" s="157">
        <v>250</v>
      </c>
      <c r="C49" s="157">
        <v>273</v>
      </c>
      <c r="D49" s="114">
        <f t="shared" si="6"/>
        <v>70</v>
      </c>
      <c r="E49" s="157">
        <f t="shared" si="4"/>
        <v>413</v>
      </c>
      <c r="F49" s="110">
        <f t="shared" si="5"/>
        <v>40.042525221501229</v>
      </c>
      <c r="G49" s="108">
        <f t="shared" si="5"/>
        <v>23.095781570720927</v>
      </c>
      <c r="H49" s="108">
        <f t="shared" si="5"/>
        <v>40.042525221501229</v>
      </c>
      <c r="I49" s="108">
        <f t="shared" si="5"/>
        <v>23.095781570720927</v>
      </c>
      <c r="J49" s="109">
        <f>(F49+G49)*'TV tinklas'!E54*'Pradiniai duomenys'!E$25*0.00000115</f>
        <v>0</v>
      </c>
      <c r="K49" s="109">
        <f>(H49+I49)*'TV tinklas'!J54*'Pradiniai duomenys'!E$25*0.00000115</f>
        <v>0</v>
      </c>
      <c r="L49" s="109">
        <f t="shared" si="7"/>
        <v>0</v>
      </c>
    </row>
    <row r="50" spans="2:12" x14ac:dyDescent="0.2">
      <c r="B50" s="157">
        <v>300</v>
      </c>
      <c r="C50" s="157">
        <v>325</v>
      </c>
      <c r="D50" s="114">
        <f t="shared" si="6"/>
        <v>70</v>
      </c>
      <c r="E50" s="157">
        <f t="shared" si="4"/>
        <v>465</v>
      </c>
      <c r="F50" s="110">
        <f t="shared" si="5"/>
        <v>46.221980183744918</v>
      </c>
      <c r="G50" s="108">
        <f t="shared" si="5"/>
        <v>26.65997591772113</v>
      </c>
      <c r="H50" s="108">
        <f t="shared" si="5"/>
        <v>46.221980183744918</v>
      </c>
      <c r="I50" s="108">
        <f t="shared" si="5"/>
        <v>26.65997591772113</v>
      </c>
      <c r="J50" s="109">
        <f>(F50+G50)*'TV tinklas'!E55*'Pradiniai duomenys'!E$25*0.00000115</f>
        <v>0</v>
      </c>
      <c r="K50" s="109">
        <f>(H50+I50)*'TV tinklas'!J55*'Pradiniai duomenys'!E$25*0.00000115</f>
        <v>0</v>
      </c>
      <c r="L50" s="109">
        <f t="shared" si="7"/>
        <v>0</v>
      </c>
    </row>
    <row r="51" spans="2:12" x14ac:dyDescent="0.2">
      <c r="B51" s="157">
        <v>350</v>
      </c>
      <c r="C51" s="157">
        <v>377</v>
      </c>
      <c r="D51" s="114">
        <f t="shared" si="6"/>
        <v>80</v>
      </c>
      <c r="E51" s="157">
        <f t="shared" si="4"/>
        <v>537</v>
      </c>
      <c r="F51" s="110">
        <f t="shared" si="5"/>
        <v>46.764675665681096</v>
      </c>
      <c r="G51" s="108">
        <f t="shared" si="5"/>
        <v>26.972992547938173</v>
      </c>
      <c r="H51" s="108">
        <f t="shared" si="5"/>
        <v>46.764675665681096</v>
      </c>
      <c r="I51" s="108">
        <f t="shared" si="5"/>
        <v>26.972992547938173</v>
      </c>
      <c r="J51" s="109">
        <f>(F51+G51)*'TV tinklas'!E56*'Pradiniai duomenys'!E$25*0.00000115</f>
        <v>0</v>
      </c>
      <c r="K51" s="109">
        <f>(H51+I51)*'TV tinklas'!J56*'Pradiniai duomenys'!E$25*0.00000115</f>
        <v>0</v>
      </c>
      <c r="L51" s="109">
        <f t="shared" si="7"/>
        <v>0</v>
      </c>
    </row>
    <row r="52" spans="2:12" x14ac:dyDescent="0.2">
      <c r="B52" s="157">
        <v>400</v>
      </c>
      <c r="C52" s="157">
        <v>426</v>
      </c>
      <c r="D52" s="114">
        <f t="shared" si="6"/>
        <v>80</v>
      </c>
      <c r="E52" s="157">
        <f t="shared" si="4"/>
        <v>586</v>
      </c>
      <c r="F52" s="110">
        <f t="shared" si="5"/>
        <v>51.814496325964761</v>
      </c>
      <c r="G52" s="108">
        <f t="shared" si="5"/>
        <v>29.885634902436831</v>
      </c>
      <c r="H52" s="108">
        <f t="shared" si="5"/>
        <v>51.814496325964761</v>
      </c>
      <c r="I52" s="108">
        <f t="shared" si="5"/>
        <v>29.885634902436831</v>
      </c>
      <c r="J52" s="109">
        <f>(F52+G52)*'TV tinklas'!E57*'Pradiniai duomenys'!E$25*0.00000115</f>
        <v>0</v>
      </c>
      <c r="K52" s="109">
        <f>(H52+I52)*'TV tinklas'!J57*'Pradiniai duomenys'!E$25*0.00000115</f>
        <v>0</v>
      </c>
      <c r="L52" s="109">
        <f t="shared" si="7"/>
        <v>0</v>
      </c>
    </row>
    <row r="53" spans="2:12" x14ac:dyDescent="0.2">
      <c r="B53" s="157">
        <v>450</v>
      </c>
      <c r="C53" s="157">
        <v>478</v>
      </c>
      <c r="D53" s="114">
        <f t="shared" si="6"/>
        <v>80</v>
      </c>
      <c r="E53" s="157">
        <f t="shared" si="4"/>
        <v>638</v>
      </c>
      <c r="F53" s="110">
        <f t="shared" si="5"/>
        <v>57.143228933511914</v>
      </c>
      <c r="G53" s="108">
        <f t="shared" si="5"/>
        <v>32.959148465128003</v>
      </c>
      <c r="H53" s="108">
        <f t="shared" si="5"/>
        <v>57.143228933511914</v>
      </c>
      <c r="I53" s="108">
        <f t="shared" si="5"/>
        <v>32.959148465128003</v>
      </c>
      <c r="J53" s="109">
        <f>(F53+G53)*'TV tinklas'!E58*'Pradiniai duomenys'!E$25*0.00000115</f>
        <v>0</v>
      </c>
      <c r="K53" s="109">
        <f>(H53+I53)*'TV tinklas'!J58*'Pradiniai duomenys'!E$25*0.00000115</f>
        <v>0</v>
      </c>
      <c r="L53" s="109">
        <f t="shared" si="7"/>
        <v>0</v>
      </c>
    </row>
    <row r="54" spans="2:12" x14ac:dyDescent="0.2">
      <c r="B54" s="157">
        <v>500</v>
      </c>
      <c r="C54" s="157">
        <v>529</v>
      </c>
      <c r="D54" s="114">
        <f t="shared" si="6"/>
        <v>80</v>
      </c>
      <c r="E54" s="157">
        <f t="shared" si="4"/>
        <v>689</v>
      </c>
      <c r="F54" s="110">
        <f t="shared" si="5"/>
        <v>62.339744965889828</v>
      </c>
      <c r="G54" s="108">
        <f t="shared" si="5"/>
        <v>35.956401973708047</v>
      </c>
      <c r="H54" s="108">
        <f t="shared" si="5"/>
        <v>62.339744965889828</v>
      </c>
      <c r="I54" s="108">
        <f t="shared" si="5"/>
        <v>35.956401973708047</v>
      </c>
      <c r="J54" s="109">
        <f>(F54+G54)*'TV tinklas'!E59*'Pradiniai duomenys'!E$25*0.00000115</f>
        <v>0</v>
      </c>
      <c r="K54" s="109">
        <f>(H54+I54)*'TV tinklas'!J59*'Pradiniai duomenys'!E$25*0.00000115</f>
        <v>0</v>
      </c>
      <c r="L54" s="109">
        <f t="shared" si="7"/>
        <v>0</v>
      </c>
    </row>
    <row r="55" spans="2:12" x14ac:dyDescent="0.2">
      <c r="B55" s="157">
        <v>600</v>
      </c>
      <c r="C55" s="157">
        <v>630</v>
      </c>
      <c r="D55" s="114">
        <f t="shared" si="6"/>
        <v>90</v>
      </c>
      <c r="E55" s="157">
        <f t="shared" si="4"/>
        <v>810</v>
      </c>
      <c r="F55" s="110">
        <f t="shared" si="5"/>
        <v>65.39348817896483</v>
      </c>
      <c r="G55" s="108">
        <f t="shared" si="5"/>
        <v>37.717744092670635</v>
      </c>
      <c r="H55" s="108">
        <f t="shared" si="5"/>
        <v>65.39348817896483</v>
      </c>
      <c r="I55" s="108">
        <f t="shared" si="5"/>
        <v>37.717744092670635</v>
      </c>
      <c r="J55" s="109">
        <f>(F55+G55)*'TV tinklas'!E60*'Pradiniai duomenys'!E$25*0.00000115</f>
        <v>0</v>
      </c>
      <c r="K55" s="109">
        <f>(H55+I55)*'TV tinklas'!J60*'Pradiniai duomenys'!E$25*0.00000115</f>
        <v>0</v>
      </c>
      <c r="L55" s="109">
        <f t="shared" si="7"/>
        <v>0</v>
      </c>
    </row>
    <row r="56" spans="2:12" x14ac:dyDescent="0.2">
      <c r="B56" s="157">
        <v>700</v>
      </c>
      <c r="C56" s="157">
        <v>720</v>
      </c>
      <c r="D56" s="114">
        <f t="shared" si="6"/>
        <v>100</v>
      </c>
      <c r="E56" s="157">
        <f t="shared" si="4"/>
        <v>920</v>
      </c>
      <c r="F56" s="110">
        <f t="shared" si="5"/>
        <v>66.908531254525343</v>
      </c>
      <c r="G56" s="108">
        <f t="shared" si="5"/>
        <v>38.591592676140841</v>
      </c>
      <c r="H56" s="108">
        <f t="shared" si="5"/>
        <v>66.908531254525343</v>
      </c>
      <c r="I56" s="108">
        <f t="shared" si="5"/>
        <v>38.591592676140841</v>
      </c>
      <c r="J56" s="109">
        <f>(F56+G56)*'TV tinklas'!E61*'Pradiniai duomenys'!E$25*0.00000115</f>
        <v>0</v>
      </c>
      <c r="K56" s="109">
        <f>(H56+I56)*'TV tinklas'!J61*'Pradiniai duomenys'!E$25*0.00000115</f>
        <v>0</v>
      </c>
      <c r="L56" s="109">
        <f t="shared" si="7"/>
        <v>0</v>
      </c>
    </row>
    <row r="57" spans="2:12" x14ac:dyDescent="0.2">
      <c r="B57" s="157">
        <v>800</v>
      </c>
      <c r="C57" s="157">
        <v>820</v>
      </c>
      <c r="D57" s="114">
        <f t="shared" si="6"/>
        <v>100</v>
      </c>
      <c r="E57" s="157">
        <f t="shared" si="4"/>
        <v>1020</v>
      </c>
      <c r="F57" s="110">
        <f t="shared" si="5"/>
        <v>74.88026617913566</v>
      </c>
      <c r="G57" s="108">
        <f t="shared" si="5"/>
        <v>43.189540671179522</v>
      </c>
      <c r="H57" s="108">
        <f t="shared" si="5"/>
        <v>74.88026617913566</v>
      </c>
      <c r="I57" s="108">
        <f t="shared" si="5"/>
        <v>43.189540671179522</v>
      </c>
      <c r="J57" s="109">
        <f>(F57+G57)*'TV tinklas'!E62*'Pradiniai duomenys'!E$25*0.00000115</f>
        <v>0</v>
      </c>
      <c r="K57" s="109">
        <f>(H57+I57)*'TV tinklas'!J62*'Pradiniai duomenys'!E$25*0.00000115</f>
        <v>0</v>
      </c>
      <c r="L57" s="109">
        <f t="shared" si="7"/>
        <v>0</v>
      </c>
    </row>
    <row r="58" spans="2:12" x14ac:dyDescent="0.2">
      <c r="B58" s="157">
        <v>900</v>
      </c>
      <c r="C58" s="157">
        <v>920</v>
      </c>
      <c r="D58" s="114">
        <f t="shared" si="6"/>
        <v>110</v>
      </c>
      <c r="E58" s="157">
        <f t="shared" si="4"/>
        <v>1140</v>
      </c>
      <c r="F58" s="110">
        <f t="shared" si="5"/>
        <v>76.034946320552692</v>
      </c>
      <c r="G58" s="108">
        <f t="shared" si="5"/>
        <v>43.855538636659908</v>
      </c>
      <c r="H58" s="108">
        <f t="shared" si="5"/>
        <v>76.034946320552692</v>
      </c>
      <c r="I58" s="108">
        <f t="shared" si="5"/>
        <v>43.855538636659908</v>
      </c>
      <c r="J58" s="109">
        <f>(F58+G58)*'TV tinklas'!E63*'Pradiniai duomenys'!E$25*0.00000115</f>
        <v>0</v>
      </c>
      <c r="K58" s="109">
        <f>(H58+I58)*'TV tinklas'!J63*'Pradiniai duomenys'!E$25*0.00000115</f>
        <v>0</v>
      </c>
      <c r="L58" s="109">
        <f t="shared" si="7"/>
        <v>0</v>
      </c>
    </row>
    <row r="59" spans="2:12" x14ac:dyDescent="0.2">
      <c r="B59" s="157">
        <v>1000</v>
      </c>
      <c r="C59" s="157">
        <v>1020</v>
      </c>
      <c r="D59" s="114">
        <f t="shared" si="6"/>
        <v>120</v>
      </c>
      <c r="E59" s="157">
        <f t="shared" si="4"/>
        <v>1260</v>
      </c>
      <c r="F59" s="110">
        <f t="shared" si="5"/>
        <v>76.960466307182429</v>
      </c>
      <c r="G59" s="108">
        <f t="shared" si="5"/>
        <v>44.389361299748572</v>
      </c>
      <c r="H59" s="108">
        <f t="shared" si="5"/>
        <v>76.960466307182429</v>
      </c>
      <c r="I59" s="108">
        <f t="shared" si="5"/>
        <v>44.389361299748572</v>
      </c>
      <c r="J59" s="109">
        <f>(F59+G59)*'TV tinklas'!E64*'Pradiniai duomenys'!E$25*0.00000115</f>
        <v>0</v>
      </c>
      <c r="K59" s="109">
        <f>(H59+I59)*'TV tinklas'!J64*'Pradiniai duomenys'!E$25*0.00000115</f>
        <v>0</v>
      </c>
      <c r="L59" s="159">
        <f t="shared" si="7"/>
        <v>0</v>
      </c>
    </row>
    <row r="60" spans="2:12" x14ac:dyDescent="0.2">
      <c r="B60" s="161"/>
      <c r="C60" s="161"/>
      <c r="D60" s="161"/>
      <c r="E60" s="161"/>
      <c r="F60" s="161"/>
      <c r="G60" s="161"/>
      <c r="H60" s="161"/>
      <c r="I60" s="164" t="s">
        <v>138</v>
      </c>
      <c r="J60" s="162">
        <f>SUM(J38:J59)</f>
        <v>0</v>
      </c>
      <c r="K60" s="163">
        <f>SUM(K38:K59)</f>
        <v>0</v>
      </c>
      <c r="L60" s="162">
        <f>SUM(L38:L59)</f>
        <v>0</v>
      </c>
    </row>
    <row r="61" spans="2:12" x14ac:dyDescent="0.2">
      <c r="B61" s="111"/>
      <c r="C61" s="111"/>
      <c r="D61" s="111"/>
      <c r="E61" s="111"/>
      <c r="F61" s="111"/>
      <c r="G61" s="111"/>
    </row>
    <row r="62" spans="2:12" x14ac:dyDescent="0.2">
      <c r="B62" s="111"/>
      <c r="C62" s="111"/>
      <c r="D62" s="111"/>
      <c r="E62" s="111"/>
      <c r="F62" s="111"/>
      <c r="G62" s="111"/>
    </row>
  </sheetData>
  <protectedRanges>
    <protectedRange sqref="D8:D29" name="Range1"/>
  </protectedRanges>
  <mergeCells count="15">
    <mergeCell ref="E35:E37"/>
    <mergeCell ref="D35:D37"/>
    <mergeCell ref="F35:G35"/>
    <mergeCell ref="F36:G36"/>
    <mergeCell ref="B2:L2"/>
    <mergeCell ref="B5:C5"/>
    <mergeCell ref="B35:C35"/>
    <mergeCell ref="H35:I35"/>
    <mergeCell ref="H36:I36"/>
    <mergeCell ref="F5:G5"/>
    <mergeCell ref="F6:G6"/>
    <mergeCell ref="H5:I5"/>
    <mergeCell ref="H6:I6"/>
    <mergeCell ref="D5:D7"/>
    <mergeCell ref="E5:E7"/>
  </mergeCells>
  <phoneticPr fontId="5" type="noConversion"/>
  <printOptions horizontalCentered="1" verticalCentered="1"/>
  <pageMargins left="0.18" right="0.3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1"/>
  <sheetViews>
    <sheetView workbookViewId="0">
      <selection activeCell="S26" sqref="S26"/>
    </sheetView>
  </sheetViews>
  <sheetFormatPr defaultColWidth="9.33203125" defaultRowHeight="11.25" x14ac:dyDescent="0.2"/>
  <cols>
    <col min="1" max="4" width="6.83203125" style="1" customWidth="1"/>
    <col min="5" max="5" width="6.83203125" style="28" customWidth="1"/>
    <col min="6" max="9" width="6.83203125" style="1" customWidth="1"/>
    <col min="10" max="10" width="6.6640625" style="1" customWidth="1"/>
    <col min="11" max="15" width="6.83203125" style="1" customWidth="1"/>
    <col min="16" max="18" width="7.5" style="1" bestFit="1" customWidth="1"/>
    <col min="19" max="16384" width="9.33203125" style="1"/>
  </cols>
  <sheetData>
    <row r="1" spans="1:23" ht="12.75" x14ac:dyDescent="0.2">
      <c r="A1" s="67" t="e">
        <f>'TV tinklas'!#REF!</f>
        <v>#REF!</v>
      </c>
    </row>
    <row r="2" spans="1:23" x14ac:dyDescent="0.2">
      <c r="A2" s="1" t="s">
        <v>51</v>
      </c>
      <c r="I2" s="2"/>
      <c r="J2" s="2"/>
      <c r="K2" s="2"/>
      <c r="L2" s="2"/>
    </row>
    <row r="3" spans="1:23" ht="12.75" x14ac:dyDescent="0.2">
      <c r="A3" s="68" t="s">
        <v>110</v>
      </c>
      <c r="J3" s="2"/>
      <c r="K3" s="2"/>
      <c r="L3" s="2"/>
      <c r="M3" s="2"/>
    </row>
    <row r="4" spans="1:23" x14ac:dyDescent="0.2">
      <c r="A4" s="3" t="s">
        <v>52</v>
      </c>
      <c r="B4" s="29"/>
      <c r="C4" s="29"/>
      <c r="D4" s="3" t="s">
        <v>53</v>
      </c>
      <c r="E4" s="4"/>
      <c r="F4" s="3" t="s">
        <v>54</v>
      </c>
      <c r="G4" s="4"/>
      <c r="H4" s="5" t="s">
        <v>29</v>
      </c>
      <c r="I4" s="6" t="s">
        <v>55</v>
      </c>
      <c r="J4" s="11"/>
      <c r="K4" s="7"/>
      <c r="L4" s="9" t="s">
        <v>56</v>
      </c>
      <c r="M4" s="11"/>
      <c r="N4" s="10"/>
      <c r="O4" s="10"/>
      <c r="P4" s="11"/>
      <c r="Q4" s="30"/>
      <c r="R4" s="62"/>
    </row>
    <row r="5" spans="1:23" x14ac:dyDescent="0.2">
      <c r="A5" s="12" t="s">
        <v>31</v>
      </c>
      <c r="B5" s="12" t="s">
        <v>57</v>
      </c>
      <c r="C5" s="13" t="s">
        <v>58</v>
      </c>
      <c r="D5" s="12" t="s">
        <v>57</v>
      </c>
      <c r="E5" s="13" t="s">
        <v>59</v>
      </c>
      <c r="F5" s="12" t="s">
        <v>57</v>
      </c>
      <c r="G5" s="13" t="s">
        <v>58</v>
      </c>
      <c r="H5" s="14" t="s">
        <v>81</v>
      </c>
      <c r="I5" s="6" t="s">
        <v>35</v>
      </c>
      <c r="J5" s="8"/>
      <c r="K5" s="5" t="s">
        <v>60</v>
      </c>
      <c r="L5" s="15" t="s">
        <v>61</v>
      </c>
      <c r="M5" s="16"/>
      <c r="N5" s="31"/>
      <c r="O5" s="17"/>
      <c r="P5" s="16"/>
      <c r="Q5" s="32"/>
      <c r="R5" s="63" t="s">
        <v>44</v>
      </c>
    </row>
    <row r="6" spans="1:23" x14ac:dyDescent="0.2">
      <c r="A6" s="27" t="s">
        <v>0</v>
      </c>
      <c r="B6" s="27" t="s">
        <v>62</v>
      </c>
      <c r="C6" s="27" t="s">
        <v>62</v>
      </c>
      <c r="D6" s="33" t="s">
        <v>37</v>
      </c>
      <c r="E6" s="33" t="s">
        <v>37</v>
      </c>
      <c r="F6" s="27" t="s">
        <v>37</v>
      </c>
      <c r="G6" s="27" t="s">
        <v>37</v>
      </c>
      <c r="H6" s="34" t="s">
        <v>38</v>
      </c>
      <c r="I6" s="12" t="s">
        <v>57</v>
      </c>
      <c r="J6" s="13" t="s">
        <v>59</v>
      </c>
      <c r="K6" s="34" t="s">
        <v>63</v>
      </c>
      <c r="L6" s="18">
        <v>65</v>
      </c>
      <c r="M6" s="35">
        <v>50</v>
      </c>
      <c r="N6" s="39">
        <v>55</v>
      </c>
      <c r="O6" s="18">
        <v>45</v>
      </c>
      <c r="P6" s="64">
        <f>'Pradiniai duomenys'!F13</f>
        <v>55</v>
      </c>
      <c r="Q6" s="64">
        <f>'Pradiniai duomenys'!G13</f>
        <v>45</v>
      </c>
      <c r="R6" s="48" t="s">
        <v>3</v>
      </c>
    </row>
    <row r="7" spans="1:23" x14ac:dyDescent="0.2">
      <c r="A7" s="27" t="s">
        <v>64</v>
      </c>
      <c r="B7" s="27">
        <v>25</v>
      </c>
      <c r="C7" s="27">
        <v>18</v>
      </c>
      <c r="D7" s="27">
        <v>30</v>
      </c>
      <c r="E7" s="33">
        <v>20</v>
      </c>
      <c r="F7" s="18">
        <f t="shared" ref="F7:G21" si="0">B7+2*D7</f>
        <v>85</v>
      </c>
      <c r="G7" s="18">
        <f t="shared" si="0"/>
        <v>58</v>
      </c>
      <c r="H7" s="19">
        <v>0.66878980891719741</v>
      </c>
      <c r="I7" s="19">
        <f>0.1592/$V$14*LN(F9/B9)+0.3183/(F9/1000)/$V$12</f>
        <v>3.2871253848244115</v>
      </c>
      <c r="J7" s="19">
        <f t="shared" ref="J7:J21" si="1">0.1592/$V$14*LN(G7/C7)+0.3183/(G7/1000)/$V$12</f>
        <v>4.1828344546453069</v>
      </c>
      <c r="K7" s="19">
        <f t="shared" ref="K7:K21" si="2">0.3183/H7/$V$12+0.1592/$V$15*LN(2*$V$16/H7+SQRT((2*$V$16/H7)^2-1))</f>
        <v>0.22252773854518024</v>
      </c>
      <c r="L7" s="20">
        <f t="shared" ref="L7:L21" si="3">(L$6-((L$6/I7+$M$6/J7+$V$11/K7)/(1/I7+1/J7+1/K7)))/I7</f>
        <v>16.559471476565193</v>
      </c>
      <c r="M7" s="20">
        <f t="shared" ref="M7:M21" si="4">(M$6-((L$6/I7+$M$6/J7+$V$11/K7)/(1/I7+1/J7+1/K7)))/J7</f>
        <v>9.4273535033403686</v>
      </c>
      <c r="N7" s="36">
        <f t="shared" ref="N7:N21" si="5">(N$6-((N$6/I7+$O$6/J7+$V$11/K7)/(1/I7+1/J7+1/K7)))/I7</f>
        <v>13.773226258779573</v>
      </c>
      <c r="O7" s="21">
        <f t="shared" ref="O7:O21" si="6">(O$6-((N$6/I7+$O$6/J7+$V$11/K7)/(1/I7+1/J7+1/K7)))/J7</f>
        <v>8.4331144463511087</v>
      </c>
      <c r="P7" s="37">
        <f t="shared" ref="P7:P21" si="7">(P$6-((P$6/I7+$Q$6/J7+$V$11/K7)/(1/I7+1/J7+1/K7)))/I7</f>
        <v>13.773226258779573</v>
      </c>
      <c r="Q7" s="20">
        <f t="shared" ref="Q7:Q21" si="8">(Q$6-((P$6/I7+$Q$6/J7+$V$11/K7)/(1/I7+1/J7+1/K7)))/J7</f>
        <v>8.4331144463511087</v>
      </c>
      <c r="R7" s="25">
        <f>(P7+Q7)*'KV tinklas'!B9*'Pradiniai duomenys'!H$13*0.0000012</f>
        <v>0</v>
      </c>
    </row>
    <row r="8" spans="1:23" x14ac:dyDescent="0.2">
      <c r="A8" s="27" t="s">
        <v>65</v>
      </c>
      <c r="B8" s="27">
        <v>32</v>
      </c>
      <c r="C8" s="27">
        <v>25</v>
      </c>
      <c r="D8" s="27">
        <v>30</v>
      </c>
      <c r="E8" s="33">
        <v>20</v>
      </c>
      <c r="F8" s="18">
        <f t="shared" si="0"/>
        <v>92</v>
      </c>
      <c r="G8" s="18">
        <f t="shared" si="0"/>
        <v>65</v>
      </c>
      <c r="H8" s="19">
        <v>0.66878980891719741</v>
      </c>
      <c r="I8" s="19">
        <f t="shared" ref="I8:I21" si="9">0.1592/$V$14*LN(F8/B8)+0.3183/(F8/1000)/$V$12</f>
        <v>3.6507869322011195</v>
      </c>
      <c r="J8" s="19">
        <f t="shared" si="1"/>
        <v>3.4504253640442806</v>
      </c>
      <c r="K8" s="19">
        <f t="shared" si="2"/>
        <v>0.22252773854518024</v>
      </c>
      <c r="L8" s="20">
        <f t="shared" si="3"/>
        <v>14.890910421159699</v>
      </c>
      <c r="M8" s="20">
        <f t="shared" si="4"/>
        <v>11.408315503456905</v>
      </c>
      <c r="N8" s="37">
        <f t="shared" si="5"/>
        <v>12.378606607493266</v>
      </c>
      <c r="O8" s="20">
        <f t="shared" si="6"/>
        <v>10.199222277987875</v>
      </c>
      <c r="P8" s="37">
        <f t="shared" si="7"/>
        <v>12.378606607493266</v>
      </c>
      <c r="Q8" s="20">
        <f t="shared" si="8"/>
        <v>10.199222277987875</v>
      </c>
      <c r="R8" s="25">
        <f>(P8+Q8)*'KV tinklas'!B10*'Pradiniai duomenys'!H$13*0.0000012</f>
        <v>0</v>
      </c>
    </row>
    <row r="9" spans="1:23" x14ac:dyDescent="0.2">
      <c r="A9" s="18" t="s">
        <v>66</v>
      </c>
      <c r="B9" s="18">
        <v>38</v>
      </c>
      <c r="C9" s="18">
        <v>32</v>
      </c>
      <c r="D9" s="27">
        <v>30</v>
      </c>
      <c r="E9" s="33">
        <v>20</v>
      </c>
      <c r="F9" s="18">
        <f t="shared" si="0"/>
        <v>98</v>
      </c>
      <c r="G9" s="18">
        <f t="shared" si="0"/>
        <v>72</v>
      </c>
      <c r="H9" s="19">
        <v>0.66878980891719741</v>
      </c>
      <c r="I9" s="19">
        <f t="shared" si="9"/>
        <v>3.2871253848244115</v>
      </c>
      <c r="J9" s="19">
        <f t="shared" si="1"/>
        <v>2.9504045862105688</v>
      </c>
      <c r="K9" s="19">
        <f t="shared" si="2"/>
        <v>0.22252773854518024</v>
      </c>
      <c r="L9" s="20">
        <f t="shared" si="3"/>
        <v>16.326261746748113</v>
      </c>
      <c r="M9" s="20">
        <f t="shared" si="4"/>
        <v>13.105480383178831</v>
      </c>
      <c r="N9" s="37">
        <f t="shared" si="5"/>
        <v>13.564611578015434</v>
      </c>
      <c r="O9" s="20">
        <f t="shared" si="6"/>
        <v>11.72333422169819</v>
      </c>
      <c r="P9" s="37">
        <f t="shared" si="7"/>
        <v>13.564611578015434</v>
      </c>
      <c r="Q9" s="20">
        <f t="shared" si="8"/>
        <v>11.72333422169819</v>
      </c>
      <c r="R9" s="25">
        <f>(P9+Q9)*'KV tinklas'!B11*'Pradiniai duomenys'!H$13*0.0000012</f>
        <v>0</v>
      </c>
    </row>
    <row r="10" spans="1:23" x14ac:dyDescent="0.2">
      <c r="A10" s="18" t="s">
        <v>67</v>
      </c>
      <c r="B10" s="18">
        <v>45</v>
      </c>
      <c r="C10" s="18">
        <v>32</v>
      </c>
      <c r="D10" s="18">
        <v>40</v>
      </c>
      <c r="E10" s="33">
        <v>20</v>
      </c>
      <c r="F10" s="18">
        <f t="shared" si="0"/>
        <v>125</v>
      </c>
      <c r="G10" s="18">
        <f t="shared" si="0"/>
        <v>72</v>
      </c>
      <c r="H10" s="19">
        <v>0.66878980891719741</v>
      </c>
      <c r="I10" s="19">
        <f t="shared" si="9"/>
        <v>3.4651375721418285</v>
      </c>
      <c r="J10" s="19">
        <f t="shared" si="1"/>
        <v>2.9504045862105688</v>
      </c>
      <c r="K10" s="19">
        <f t="shared" si="2"/>
        <v>0.22252773854518024</v>
      </c>
      <c r="L10" s="20">
        <f t="shared" si="3"/>
        <v>15.534805571755948</v>
      </c>
      <c r="M10" s="20">
        <f t="shared" si="4"/>
        <v>13.160987697786361</v>
      </c>
      <c r="N10" s="37">
        <f t="shared" si="5"/>
        <v>12.907033268827238</v>
      </c>
      <c r="O10" s="20">
        <f t="shared" si="6"/>
        <v>11.769452259866961</v>
      </c>
      <c r="P10" s="37">
        <f t="shared" si="7"/>
        <v>12.907033268827238</v>
      </c>
      <c r="Q10" s="20">
        <f t="shared" si="8"/>
        <v>11.769452259866961</v>
      </c>
      <c r="R10" s="25">
        <f>(P10+Q10)*'KV tinklas'!B12*'Pradiniai duomenys'!H$13*0.0000012</f>
        <v>0</v>
      </c>
    </row>
    <row r="11" spans="1:23" x14ac:dyDescent="0.2">
      <c r="A11" s="18" t="s">
        <v>68</v>
      </c>
      <c r="B11" s="18">
        <v>45</v>
      </c>
      <c r="C11" s="18">
        <v>38</v>
      </c>
      <c r="D11" s="18">
        <v>40</v>
      </c>
      <c r="E11" s="38">
        <v>30</v>
      </c>
      <c r="F11" s="18">
        <f t="shared" si="0"/>
        <v>125</v>
      </c>
      <c r="G11" s="18">
        <f t="shared" si="0"/>
        <v>98</v>
      </c>
      <c r="H11" s="19">
        <v>0.85987261146496818</v>
      </c>
      <c r="I11" s="19">
        <f t="shared" si="9"/>
        <v>3.4651375721418285</v>
      </c>
      <c r="J11" s="19">
        <f t="shared" si="1"/>
        <v>3.2871253848244115</v>
      </c>
      <c r="K11" s="19">
        <f t="shared" si="2"/>
        <v>0.19317338283126648</v>
      </c>
      <c r="L11" s="20">
        <f t="shared" si="3"/>
        <v>15.820354804916779</v>
      </c>
      <c r="M11" s="20">
        <f t="shared" si="4"/>
        <v>12.113838438584139</v>
      </c>
      <c r="N11" s="37">
        <f t="shared" si="5"/>
        <v>13.154902055227602</v>
      </c>
      <c r="O11" s="20">
        <f t="shared" si="6"/>
        <v>10.825125665632523</v>
      </c>
      <c r="P11" s="37">
        <f t="shared" si="7"/>
        <v>13.154902055227602</v>
      </c>
      <c r="Q11" s="20">
        <f t="shared" si="8"/>
        <v>10.825125665632523</v>
      </c>
      <c r="R11" s="25">
        <f>(P11+Q11)*'KV tinklas'!B13*'Pradiniai duomenys'!H$13*0.0000012</f>
        <v>0</v>
      </c>
      <c r="U11" s="82" t="s">
        <v>197</v>
      </c>
      <c r="V11" s="85">
        <f>'Pradiniai duomenys'!J13</f>
        <v>4.784151555358986</v>
      </c>
      <c r="W11" s="24" t="s">
        <v>195</v>
      </c>
    </row>
    <row r="12" spans="1:23" x14ac:dyDescent="0.2">
      <c r="A12" s="18" t="s">
        <v>69</v>
      </c>
      <c r="B12" s="18">
        <v>57</v>
      </c>
      <c r="C12" s="18">
        <v>38</v>
      </c>
      <c r="D12" s="18">
        <v>40</v>
      </c>
      <c r="E12" s="38">
        <v>30</v>
      </c>
      <c r="F12" s="18">
        <f t="shared" si="0"/>
        <v>137</v>
      </c>
      <c r="G12" s="18">
        <f t="shared" si="0"/>
        <v>98</v>
      </c>
      <c r="H12" s="19">
        <v>0.85987261146496818</v>
      </c>
      <c r="I12" s="19">
        <f t="shared" si="9"/>
        <v>2.9857571697376737</v>
      </c>
      <c r="J12" s="19">
        <f t="shared" si="1"/>
        <v>3.2871253848244115</v>
      </c>
      <c r="K12" s="19">
        <f t="shared" si="2"/>
        <v>0.19317338283126648</v>
      </c>
      <c r="L12" s="20">
        <f t="shared" si="3"/>
        <v>18.214126571858948</v>
      </c>
      <c r="M12" s="20">
        <f t="shared" si="4"/>
        <v>11.980972549527815</v>
      </c>
      <c r="N12" s="37">
        <f t="shared" si="5"/>
        <v>15.145365197489538</v>
      </c>
      <c r="O12" s="20">
        <f t="shared" si="6"/>
        <v>10.714645352228082</v>
      </c>
      <c r="P12" s="37">
        <f t="shared" si="7"/>
        <v>15.145365197489538</v>
      </c>
      <c r="Q12" s="20">
        <f t="shared" si="8"/>
        <v>10.714645352228082</v>
      </c>
      <c r="R12" s="25">
        <f>(P12+Q12)*'KV tinklas'!B14*'Pradiniai duomenys'!H$13*0.0000012</f>
        <v>0</v>
      </c>
      <c r="U12" s="82" t="s">
        <v>198</v>
      </c>
      <c r="V12" s="86">
        <v>12</v>
      </c>
      <c r="W12" s="24" t="s">
        <v>191</v>
      </c>
    </row>
    <row r="13" spans="1:23" x14ac:dyDescent="0.2">
      <c r="A13" s="18" t="s">
        <v>70</v>
      </c>
      <c r="B13" s="18">
        <v>73</v>
      </c>
      <c r="C13" s="18">
        <v>45</v>
      </c>
      <c r="D13" s="18">
        <v>40</v>
      </c>
      <c r="E13" s="38">
        <v>30</v>
      </c>
      <c r="F13" s="18">
        <f t="shared" si="0"/>
        <v>153</v>
      </c>
      <c r="G13" s="18">
        <f t="shared" si="0"/>
        <v>105</v>
      </c>
      <c r="H13" s="19">
        <v>0.85987261146496818</v>
      </c>
      <c r="I13" s="19">
        <f t="shared" si="9"/>
        <v>2.5294574941689327</v>
      </c>
      <c r="J13" s="19">
        <f t="shared" si="1"/>
        <v>2.9504154350919043</v>
      </c>
      <c r="K13" s="19">
        <f t="shared" si="2"/>
        <v>0.19317338283126648</v>
      </c>
      <c r="L13" s="20">
        <f t="shared" si="3"/>
        <v>21.188644005706635</v>
      </c>
      <c r="M13" s="20">
        <f t="shared" si="4"/>
        <v>13.081471142151221</v>
      </c>
      <c r="N13" s="37">
        <f t="shared" si="5"/>
        <v>17.612986672234321</v>
      </c>
      <c r="O13" s="20">
        <f t="shared" si="6"/>
        <v>11.710656310237333</v>
      </c>
      <c r="P13" s="37">
        <f t="shared" si="7"/>
        <v>17.612986672234321</v>
      </c>
      <c r="Q13" s="20">
        <f t="shared" si="8"/>
        <v>11.710656310237333</v>
      </c>
      <c r="R13" s="25">
        <f>(P13+Q13)*'KV tinklas'!B15*'Pradiniai duomenys'!H$13*0.0000012</f>
        <v>0</v>
      </c>
      <c r="U13" s="84" t="s">
        <v>202</v>
      </c>
      <c r="V13" s="92">
        <v>10</v>
      </c>
      <c r="W13" s="24" t="s">
        <v>191</v>
      </c>
    </row>
    <row r="14" spans="1:23" x14ac:dyDescent="0.2">
      <c r="A14" s="18" t="s">
        <v>71</v>
      </c>
      <c r="B14" s="18">
        <v>73</v>
      </c>
      <c r="C14" s="18">
        <v>57</v>
      </c>
      <c r="D14" s="18">
        <v>40</v>
      </c>
      <c r="E14" s="38">
        <v>30</v>
      </c>
      <c r="F14" s="18">
        <f t="shared" si="0"/>
        <v>153</v>
      </c>
      <c r="G14" s="18">
        <f t="shared" si="0"/>
        <v>117</v>
      </c>
      <c r="H14" s="19">
        <v>0.85987261146496818</v>
      </c>
      <c r="I14" s="19">
        <f t="shared" si="9"/>
        <v>2.5294574941689327</v>
      </c>
      <c r="J14" s="19">
        <f t="shared" si="1"/>
        <v>2.5163959733202499</v>
      </c>
      <c r="K14" s="19">
        <f t="shared" si="2"/>
        <v>0.19317338283126648</v>
      </c>
      <c r="L14" s="20">
        <f t="shared" si="3"/>
        <v>21.039217923222882</v>
      </c>
      <c r="M14" s="20">
        <f t="shared" si="4"/>
        <v>15.187517327379561</v>
      </c>
      <c r="N14" s="37">
        <f t="shared" si="5"/>
        <v>17.479219034272415</v>
      </c>
      <c r="O14" s="20">
        <f t="shared" si="6"/>
        <v>13.59600871293657</v>
      </c>
      <c r="P14" s="37">
        <f t="shared" si="7"/>
        <v>17.479219034272415</v>
      </c>
      <c r="Q14" s="20">
        <f t="shared" si="8"/>
        <v>13.59600871293657</v>
      </c>
      <c r="R14" s="25">
        <f>(P14+Q14)*'KV tinklas'!B16*'Pradiniai duomenys'!H$13*0.0000012</f>
        <v>0</v>
      </c>
      <c r="U14" s="82" t="s">
        <v>192</v>
      </c>
      <c r="V14" s="86">
        <f>'Pradiniai duomenys'!J36</f>
        <v>0.05</v>
      </c>
      <c r="W14" s="24" t="s">
        <v>194</v>
      </c>
    </row>
    <row r="15" spans="1:23" x14ac:dyDescent="0.2">
      <c r="A15" s="18" t="s">
        <v>72</v>
      </c>
      <c r="B15" s="18">
        <v>89</v>
      </c>
      <c r="C15" s="18">
        <v>57</v>
      </c>
      <c r="D15" s="18">
        <v>40</v>
      </c>
      <c r="E15" s="38">
        <v>30</v>
      </c>
      <c r="F15" s="18">
        <f t="shared" si="0"/>
        <v>169</v>
      </c>
      <c r="G15" s="18">
        <f t="shared" si="0"/>
        <v>117</v>
      </c>
      <c r="H15" s="19">
        <v>0.85987261146496818</v>
      </c>
      <c r="I15" s="19">
        <f t="shared" si="9"/>
        <v>2.1987319698098262</v>
      </c>
      <c r="J15" s="19">
        <f t="shared" si="1"/>
        <v>2.5163959733202499</v>
      </c>
      <c r="K15" s="19">
        <f t="shared" si="2"/>
        <v>0.19317338283126648</v>
      </c>
      <c r="L15" s="20">
        <f t="shared" si="3"/>
        <v>23.965128751590349</v>
      </c>
      <c r="M15" s="20">
        <f t="shared" si="4"/>
        <v>14.978920307600315</v>
      </c>
      <c r="N15" s="37">
        <f t="shared" si="5"/>
        <v>19.91004305208601</v>
      </c>
      <c r="O15" s="20">
        <f t="shared" si="6"/>
        <v>13.42270792714104</v>
      </c>
      <c r="P15" s="37">
        <f t="shared" si="7"/>
        <v>19.91004305208601</v>
      </c>
      <c r="Q15" s="20">
        <f t="shared" si="8"/>
        <v>13.42270792714104</v>
      </c>
      <c r="R15" s="25">
        <f>(P15+Q15)*'KV tinklas'!B17*'Pradiniai duomenys'!H$13*0.0000012</f>
        <v>0</v>
      </c>
      <c r="U15" s="84" t="s">
        <v>201</v>
      </c>
      <c r="V15" s="89">
        <f>'Pradiniai duomenys'!J31</f>
        <v>2</v>
      </c>
      <c r="W15" s="24" t="s">
        <v>194</v>
      </c>
    </row>
    <row r="16" spans="1:23" x14ac:dyDescent="0.2">
      <c r="A16" s="18" t="s">
        <v>73</v>
      </c>
      <c r="B16" s="18">
        <v>108</v>
      </c>
      <c r="C16" s="18">
        <v>73</v>
      </c>
      <c r="D16" s="18">
        <v>60</v>
      </c>
      <c r="E16" s="38">
        <v>40</v>
      </c>
      <c r="F16" s="18">
        <f t="shared" si="0"/>
        <v>228</v>
      </c>
      <c r="G16" s="18">
        <f t="shared" si="0"/>
        <v>153</v>
      </c>
      <c r="H16" s="19">
        <v>0.85987261146496818</v>
      </c>
      <c r="I16" s="19">
        <f t="shared" si="9"/>
        <v>2.4954683747256698</v>
      </c>
      <c r="J16" s="19">
        <f t="shared" si="1"/>
        <v>2.5294574941689327</v>
      </c>
      <c r="K16" s="19">
        <f t="shared" si="2"/>
        <v>0.19317338283126648</v>
      </c>
      <c r="L16" s="20">
        <f t="shared" si="3"/>
        <v>21.311814804690453</v>
      </c>
      <c r="M16" s="20">
        <f t="shared" si="4"/>
        <v>15.095315869563791</v>
      </c>
      <c r="N16" s="37">
        <f t="shared" si="5"/>
        <v>17.706029352256316</v>
      </c>
      <c r="O16" s="20">
        <f t="shared" si="6"/>
        <v>13.514690944332983</v>
      </c>
      <c r="P16" s="37">
        <f t="shared" si="7"/>
        <v>17.706029352256316</v>
      </c>
      <c r="Q16" s="20">
        <f t="shared" si="8"/>
        <v>13.514690944332983</v>
      </c>
      <c r="R16" s="25">
        <f>(P16+Q16)*'KV tinklas'!B18*'Pradiniai duomenys'!H$13*0.0000012</f>
        <v>0</v>
      </c>
      <c r="U16" s="84" t="s">
        <v>199</v>
      </c>
      <c r="V16" s="86">
        <v>1.68</v>
      </c>
      <c r="W16" s="1" t="s">
        <v>200</v>
      </c>
    </row>
    <row r="17" spans="1:18" x14ac:dyDescent="0.2">
      <c r="A17" s="18" t="s">
        <v>74</v>
      </c>
      <c r="B17" s="18">
        <v>108</v>
      </c>
      <c r="C17" s="18">
        <v>89</v>
      </c>
      <c r="D17" s="18">
        <v>60</v>
      </c>
      <c r="E17" s="38">
        <v>40</v>
      </c>
      <c r="F17" s="18">
        <f t="shared" si="0"/>
        <v>228</v>
      </c>
      <c r="G17" s="18">
        <f t="shared" si="0"/>
        <v>169</v>
      </c>
      <c r="H17" s="19">
        <v>0.85987261146496818</v>
      </c>
      <c r="I17" s="19">
        <f t="shared" si="9"/>
        <v>2.4954683747256698</v>
      </c>
      <c r="J17" s="19">
        <f t="shared" si="1"/>
        <v>2.1987319698098262</v>
      </c>
      <c r="K17" s="19">
        <f t="shared" si="2"/>
        <v>0.19317338283126648</v>
      </c>
      <c r="L17" s="20">
        <f t="shared" si="3"/>
        <v>21.160977896543276</v>
      </c>
      <c r="M17" s="20">
        <f t="shared" si="4"/>
        <v>17.194706602807369</v>
      </c>
      <c r="N17" s="37">
        <f t="shared" si="5"/>
        <v>17.57098652080964</v>
      </c>
      <c r="O17" s="20">
        <f t="shared" si="6"/>
        <v>15.394255252648676</v>
      </c>
      <c r="P17" s="37">
        <f t="shared" si="7"/>
        <v>17.57098652080964</v>
      </c>
      <c r="Q17" s="20">
        <f t="shared" si="8"/>
        <v>15.394255252648676</v>
      </c>
      <c r="R17" s="25">
        <f>(P17+Q17)*'KV tinklas'!B19*'Pradiniai duomenys'!H$13*0.0000012</f>
        <v>0</v>
      </c>
    </row>
    <row r="18" spans="1:18" x14ac:dyDescent="0.2">
      <c r="A18" s="18" t="s">
        <v>75</v>
      </c>
      <c r="B18" s="18">
        <v>133</v>
      </c>
      <c r="C18" s="18">
        <v>89</v>
      </c>
      <c r="D18" s="18">
        <v>60</v>
      </c>
      <c r="E18" s="38">
        <v>40</v>
      </c>
      <c r="F18" s="18">
        <f t="shared" si="0"/>
        <v>253</v>
      </c>
      <c r="G18" s="18">
        <f t="shared" si="0"/>
        <v>169</v>
      </c>
      <c r="H18" s="19">
        <v>0.85987261146496818</v>
      </c>
      <c r="I18" s="19">
        <f t="shared" si="9"/>
        <v>2.1522824050835618</v>
      </c>
      <c r="J18" s="19">
        <f t="shared" si="1"/>
        <v>2.1987319698098262</v>
      </c>
      <c r="K18" s="19">
        <f t="shared" si="2"/>
        <v>0.19317338283126648</v>
      </c>
      <c r="L18" s="20">
        <f t="shared" si="3"/>
        <v>24.277974950490361</v>
      </c>
      <c r="M18" s="20">
        <f t="shared" si="4"/>
        <v>16.942973872446114</v>
      </c>
      <c r="N18" s="37">
        <f t="shared" si="5"/>
        <v>20.159180388223216</v>
      </c>
      <c r="O18" s="20">
        <f t="shared" si="6"/>
        <v>15.18522935442935</v>
      </c>
      <c r="P18" s="37">
        <f t="shared" si="7"/>
        <v>20.159180388223216</v>
      </c>
      <c r="Q18" s="20">
        <f t="shared" si="8"/>
        <v>15.18522935442935</v>
      </c>
      <c r="R18" s="25">
        <f>(P18+Q18)*'KV tinklas'!B20*'Pradiniai duomenys'!H$13*0.0000012</f>
        <v>0</v>
      </c>
    </row>
    <row r="19" spans="1:18" x14ac:dyDescent="0.2">
      <c r="A19" s="18" t="s">
        <v>76</v>
      </c>
      <c r="B19" s="18">
        <v>159</v>
      </c>
      <c r="C19" s="18">
        <v>108</v>
      </c>
      <c r="D19" s="18">
        <v>60</v>
      </c>
      <c r="E19" s="38">
        <v>40</v>
      </c>
      <c r="F19" s="18">
        <f t="shared" si="0"/>
        <v>279</v>
      </c>
      <c r="G19" s="18">
        <f t="shared" si="0"/>
        <v>188</v>
      </c>
      <c r="H19" s="19">
        <v>0.85987261146496818</v>
      </c>
      <c r="I19" s="19">
        <f t="shared" si="9"/>
        <v>1.8854590180378248</v>
      </c>
      <c r="J19" s="19">
        <f t="shared" si="1"/>
        <v>1.906015808018958</v>
      </c>
      <c r="K19" s="19">
        <f t="shared" si="2"/>
        <v>0.19317338283126648</v>
      </c>
      <c r="L19" s="20">
        <f t="shared" si="3"/>
        <v>27.199841245911728</v>
      </c>
      <c r="M19" s="20">
        <f t="shared" si="4"/>
        <v>19.036665810245239</v>
      </c>
      <c r="N19" s="37">
        <f t="shared" si="5"/>
        <v>22.570752379969456</v>
      </c>
      <c r="O19" s="20">
        <f t="shared" si="6"/>
        <v>17.080775763633273</v>
      </c>
      <c r="P19" s="37">
        <f t="shared" si="7"/>
        <v>22.570752379969456</v>
      </c>
      <c r="Q19" s="20">
        <f t="shared" si="8"/>
        <v>17.080775763633273</v>
      </c>
      <c r="R19" s="25">
        <f>(P19+Q19)*'KV tinklas'!B21*'Pradiniai duomenys'!H$13*0.00000115</f>
        <v>0</v>
      </c>
    </row>
    <row r="20" spans="1:18" x14ac:dyDescent="0.2">
      <c r="A20" s="18" t="s">
        <v>77</v>
      </c>
      <c r="B20" s="18">
        <v>219</v>
      </c>
      <c r="C20" s="18">
        <v>108</v>
      </c>
      <c r="D20" s="18">
        <v>60</v>
      </c>
      <c r="E20" s="38">
        <v>40</v>
      </c>
      <c r="F20" s="18">
        <f t="shared" si="0"/>
        <v>339</v>
      </c>
      <c r="G20" s="18">
        <f t="shared" si="0"/>
        <v>188</v>
      </c>
      <c r="H20" s="19">
        <v>1.1464968152866242</v>
      </c>
      <c r="I20" s="19">
        <f t="shared" si="9"/>
        <v>1.4694247919217271</v>
      </c>
      <c r="J20" s="19">
        <f t="shared" si="1"/>
        <v>1.906015808018958</v>
      </c>
      <c r="K20" s="19">
        <f t="shared" si="2"/>
        <v>0.16147329146375394</v>
      </c>
      <c r="L20" s="20">
        <f t="shared" si="3"/>
        <v>35.027435936881083</v>
      </c>
      <c r="M20" s="20">
        <f t="shared" si="4"/>
        <v>19.134249889044138</v>
      </c>
      <c r="N20" s="37">
        <f t="shared" si="5"/>
        <v>29.089369816190384</v>
      </c>
      <c r="O20" s="20">
        <f t="shared" si="6"/>
        <v>17.179627289305269</v>
      </c>
      <c r="P20" s="37">
        <f t="shared" si="7"/>
        <v>29.089369816190384</v>
      </c>
      <c r="Q20" s="20">
        <f t="shared" si="8"/>
        <v>17.179627289305269</v>
      </c>
      <c r="R20" s="25">
        <f>(P20+Q20)*'KV tinklas'!B22*'Pradiniai duomenys'!H$13*0.00000115</f>
        <v>0</v>
      </c>
    </row>
    <row r="21" spans="1:18" x14ac:dyDescent="0.2">
      <c r="A21" s="18" t="s">
        <v>78</v>
      </c>
      <c r="B21" s="18">
        <v>273</v>
      </c>
      <c r="C21" s="18">
        <v>108</v>
      </c>
      <c r="D21" s="18">
        <v>60</v>
      </c>
      <c r="E21" s="38">
        <v>40</v>
      </c>
      <c r="F21" s="18">
        <f t="shared" si="0"/>
        <v>393</v>
      </c>
      <c r="G21" s="18">
        <f t="shared" si="0"/>
        <v>188</v>
      </c>
      <c r="H21" s="19">
        <v>1.1464968152866242</v>
      </c>
      <c r="I21" s="19">
        <f t="shared" si="9"/>
        <v>1.2275452469996608</v>
      </c>
      <c r="J21" s="19">
        <f t="shared" si="1"/>
        <v>1.906015808018958</v>
      </c>
      <c r="K21" s="19">
        <f t="shared" si="2"/>
        <v>0.16147329146375394</v>
      </c>
      <c r="L21" s="20">
        <f t="shared" si="3"/>
        <v>41.182896127348791</v>
      </c>
      <c r="M21" s="20">
        <f t="shared" si="4"/>
        <v>18.653501324189499</v>
      </c>
      <c r="N21" s="37">
        <f t="shared" si="5"/>
        <v>34.201318580924791</v>
      </c>
      <c r="O21" s="20">
        <f t="shared" si="6"/>
        <v>16.780378174501106</v>
      </c>
      <c r="P21" s="37">
        <f t="shared" si="7"/>
        <v>34.201318580924791</v>
      </c>
      <c r="Q21" s="20">
        <f t="shared" si="8"/>
        <v>16.780378174501106</v>
      </c>
      <c r="R21" s="25">
        <f>(P21+Q21)*'KV tinklas'!B23*'Pradiniai duomenys'!H$13*0.00000115</f>
        <v>0</v>
      </c>
    </row>
    <row r="22" spans="1:18" x14ac:dyDescent="0.2">
      <c r="A22" s="22" t="s">
        <v>40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Q22" s="1" t="s">
        <v>6</v>
      </c>
      <c r="R22" s="25">
        <f>SUM(R7:R21)</f>
        <v>0</v>
      </c>
    </row>
    <row r="23" spans="1:18" x14ac:dyDescent="0.2">
      <c r="A23" s="22" t="s">
        <v>41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8" x14ac:dyDescent="0.2">
      <c r="A24" s="22" t="s">
        <v>79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8" x14ac:dyDescent="0.2">
      <c r="A25" s="1" t="s">
        <v>80</v>
      </c>
      <c r="E25" s="1"/>
      <c r="J25" s="22"/>
      <c r="K25" s="22"/>
      <c r="L25" s="22"/>
      <c r="M25" s="22"/>
    </row>
    <row r="26" spans="1:18" x14ac:dyDescent="0.2">
      <c r="L26" s="22"/>
      <c r="M26" s="22"/>
    </row>
    <row r="29" spans="1:18" x14ac:dyDescent="0.2">
      <c r="A29" s="3" t="s">
        <v>52</v>
      </c>
      <c r="B29" s="29"/>
      <c r="C29" s="29"/>
      <c r="D29" s="3" t="s">
        <v>53</v>
      </c>
      <c r="E29" s="4"/>
      <c r="F29" s="3" t="s">
        <v>54</v>
      </c>
      <c r="G29" s="4"/>
      <c r="H29" s="5" t="s">
        <v>29</v>
      </c>
      <c r="I29" s="6" t="s">
        <v>55</v>
      </c>
      <c r="J29" s="11"/>
      <c r="K29" s="7"/>
      <c r="L29" s="9" t="s">
        <v>56</v>
      </c>
      <c r="M29" s="11"/>
      <c r="N29" s="10"/>
      <c r="O29" s="10"/>
      <c r="P29" s="11"/>
      <c r="Q29" s="30"/>
      <c r="R29" s="62"/>
    </row>
    <row r="30" spans="1:18" x14ac:dyDescent="0.2">
      <c r="A30" s="12" t="s">
        <v>31</v>
      </c>
      <c r="B30" s="12" t="s">
        <v>57</v>
      </c>
      <c r="C30" s="13" t="s">
        <v>58</v>
      </c>
      <c r="D30" s="12" t="s">
        <v>57</v>
      </c>
      <c r="E30" s="13" t="s">
        <v>59</v>
      </c>
      <c r="F30" s="12" t="s">
        <v>57</v>
      </c>
      <c r="G30" s="13" t="s">
        <v>58</v>
      </c>
      <c r="H30" s="14" t="s">
        <v>81</v>
      </c>
      <c r="I30" s="6" t="s">
        <v>35</v>
      </c>
      <c r="J30" s="8"/>
      <c r="K30" s="5" t="s">
        <v>60</v>
      </c>
      <c r="L30" s="15" t="s">
        <v>61</v>
      </c>
      <c r="M30" s="16"/>
      <c r="N30" s="31"/>
      <c r="O30" s="17"/>
      <c r="P30" s="16"/>
      <c r="Q30" s="32"/>
      <c r="R30" s="63" t="s">
        <v>44</v>
      </c>
    </row>
    <row r="31" spans="1:18" x14ac:dyDescent="0.2">
      <c r="A31" s="27" t="s">
        <v>0</v>
      </c>
      <c r="B31" s="27" t="s">
        <v>62</v>
      </c>
      <c r="C31" s="27" t="s">
        <v>62</v>
      </c>
      <c r="D31" s="33" t="s">
        <v>37</v>
      </c>
      <c r="E31" s="33" t="s">
        <v>37</v>
      </c>
      <c r="F31" s="27" t="s">
        <v>37</v>
      </c>
      <c r="G31" s="27" t="s">
        <v>37</v>
      </c>
      <c r="H31" s="34" t="s">
        <v>38</v>
      </c>
      <c r="I31" s="12" t="s">
        <v>57</v>
      </c>
      <c r="J31" s="13" t="s">
        <v>59</v>
      </c>
      <c r="K31" s="34" t="s">
        <v>63</v>
      </c>
      <c r="L31" s="18">
        <v>65</v>
      </c>
      <c r="M31" s="35">
        <v>50</v>
      </c>
      <c r="N31" s="39">
        <v>55</v>
      </c>
      <c r="O31" s="18">
        <v>45</v>
      </c>
      <c r="P31" s="64">
        <f>'Pradiniai duomenys'!F25</f>
        <v>55</v>
      </c>
      <c r="Q31" s="64">
        <f>'Pradiniai duomenys'!G25</f>
        <v>45</v>
      </c>
      <c r="R31" s="48" t="s">
        <v>3</v>
      </c>
    </row>
    <row r="32" spans="1:18" x14ac:dyDescent="0.2">
      <c r="A32" s="27" t="s">
        <v>64</v>
      </c>
      <c r="B32" s="27">
        <v>25</v>
      </c>
      <c r="C32" s="27">
        <v>18</v>
      </c>
      <c r="D32" s="27">
        <v>30</v>
      </c>
      <c r="E32" s="33">
        <v>20</v>
      </c>
      <c r="F32" s="18">
        <f t="shared" ref="F32:F46" si="10">B32+2*D32</f>
        <v>85</v>
      </c>
      <c r="G32" s="18">
        <f t="shared" ref="G32:G46" si="11">C32+2*E32</f>
        <v>58</v>
      </c>
      <c r="H32" s="19">
        <v>0.66878980891719741</v>
      </c>
      <c r="I32" s="19">
        <f>0.1592/$V$14*LN(F34/B34)+0.3183/(F34/1000)/$V$12</f>
        <v>3.2871253848244115</v>
      </c>
      <c r="J32" s="19">
        <f t="shared" ref="J32:J46" si="12">0.1592/$V$14*LN(G32/C32)+0.3183/(G32/1000)/$V$12</f>
        <v>4.1828344546453069</v>
      </c>
      <c r="K32" s="19">
        <f t="shared" ref="K32:K46" si="13">0.3183/H32/$V$12+0.1592/$V$15*LN(2*$V$16/H32+SQRT((2*$V$16/H32)^2-1))</f>
        <v>0.22252773854518024</v>
      </c>
      <c r="L32" s="20">
        <f t="shared" ref="L32:L46" si="14">(L$6-((L$6/I32+$M$6/J32+$V$11/K32)/(1/I32+1/J32+1/K32)))/I32</f>
        <v>16.559471476565193</v>
      </c>
      <c r="M32" s="20">
        <f t="shared" ref="M32:M46" si="15">(M$6-((L$6/I32+$M$6/J32+$V$11/K32)/(1/I32+1/J32+1/K32)))/J32</f>
        <v>9.4273535033403686</v>
      </c>
      <c r="N32" s="36">
        <f t="shared" ref="N32:N46" si="16">(N$6-((N$6/I32+$O$6/J32+$V$11/K32)/(1/I32+1/J32+1/K32)))/I32</f>
        <v>13.773226258779573</v>
      </c>
      <c r="O32" s="21">
        <f t="shared" ref="O32:O46" si="17">(O$6-((N$6/I32+$O$6/J32+$V$11/K32)/(1/I32+1/J32+1/K32)))/J32</f>
        <v>8.4331144463511087</v>
      </c>
      <c r="P32" s="37">
        <f t="shared" ref="P32:P46" si="18">(P$31-((P$31/I32+$Q$31/J32+$V$36/K32)/(1/I32+1/J32+1/K32)))/I32</f>
        <v>11.658957605450151</v>
      </c>
      <c r="Q32" s="20">
        <f t="shared" ref="Q32:Q46" si="19">(Q$31-((P$31/I32+$Q$31/J32+$V$36/K32)/(1/I32+1/J32+1/K32)))/J32</f>
        <v>6.7715937153598569</v>
      </c>
      <c r="R32" s="25">
        <f>(P32+Q32)*'KV tinklas'!B34*'Pradiniai duomenys'!H$25*0.0000012</f>
        <v>0</v>
      </c>
    </row>
    <row r="33" spans="1:23" x14ac:dyDescent="0.2">
      <c r="A33" s="27" t="s">
        <v>65</v>
      </c>
      <c r="B33" s="27">
        <v>32</v>
      </c>
      <c r="C33" s="27">
        <v>25</v>
      </c>
      <c r="D33" s="27">
        <v>30</v>
      </c>
      <c r="E33" s="33">
        <v>20</v>
      </c>
      <c r="F33" s="18">
        <f t="shared" si="10"/>
        <v>92</v>
      </c>
      <c r="G33" s="18">
        <f t="shared" si="11"/>
        <v>65</v>
      </c>
      <c r="H33" s="19">
        <v>0.66878980891719741</v>
      </c>
      <c r="I33" s="19">
        <f t="shared" ref="I33:I46" si="20">0.1592/$V$14*LN(F33/B33)+0.3183/(F33/1000)/$V$12</f>
        <v>3.6507869322011195</v>
      </c>
      <c r="J33" s="19">
        <f t="shared" si="12"/>
        <v>3.4504253640442806</v>
      </c>
      <c r="K33" s="19">
        <f t="shared" si="13"/>
        <v>0.22252773854518024</v>
      </c>
      <c r="L33" s="20">
        <f t="shared" si="14"/>
        <v>14.890910421159699</v>
      </c>
      <c r="M33" s="20">
        <f t="shared" si="15"/>
        <v>11.408315503456905</v>
      </c>
      <c r="N33" s="37">
        <f t="shared" si="16"/>
        <v>12.378606607493266</v>
      </c>
      <c r="O33" s="20">
        <f t="shared" si="17"/>
        <v>10.199222277987875</v>
      </c>
      <c r="P33" s="37">
        <f t="shared" si="18"/>
        <v>10.482638994883748</v>
      </c>
      <c r="Q33" s="20">
        <f t="shared" si="19"/>
        <v>8.1931583717458061</v>
      </c>
      <c r="R33" s="25">
        <f>(P33+Q33)*'KV tinklas'!B35*'Pradiniai duomenys'!H$25*0.0000012</f>
        <v>0</v>
      </c>
    </row>
    <row r="34" spans="1:23" x14ac:dyDescent="0.2">
      <c r="A34" s="18" t="s">
        <v>66</v>
      </c>
      <c r="B34" s="18">
        <v>38</v>
      </c>
      <c r="C34" s="18">
        <v>32</v>
      </c>
      <c r="D34" s="27">
        <v>30</v>
      </c>
      <c r="E34" s="33">
        <v>20</v>
      </c>
      <c r="F34" s="18">
        <f t="shared" si="10"/>
        <v>98</v>
      </c>
      <c r="G34" s="18">
        <f t="shared" si="11"/>
        <v>72</v>
      </c>
      <c r="H34" s="19">
        <v>0.66878980891719741</v>
      </c>
      <c r="I34" s="19">
        <f t="shared" si="20"/>
        <v>3.2871253848244115</v>
      </c>
      <c r="J34" s="19">
        <f t="shared" si="12"/>
        <v>2.9504045862105688</v>
      </c>
      <c r="K34" s="19">
        <f t="shared" si="13"/>
        <v>0.22252773854518024</v>
      </c>
      <c r="L34" s="20">
        <f t="shared" si="14"/>
        <v>16.326261746748113</v>
      </c>
      <c r="M34" s="20">
        <f t="shared" si="15"/>
        <v>13.105480383178831</v>
      </c>
      <c r="N34" s="37">
        <f t="shared" si="16"/>
        <v>13.564611578015434</v>
      </c>
      <c r="O34" s="20">
        <f t="shared" si="17"/>
        <v>11.72333422169819</v>
      </c>
      <c r="P34" s="37">
        <f t="shared" si="18"/>
        <v>11.491444894673947</v>
      </c>
      <c r="Q34" s="20">
        <f t="shared" si="19"/>
        <v>9.4135632622730121</v>
      </c>
      <c r="R34" s="25">
        <f>(P34+Q34)*'KV tinklas'!B36*'Pradiniai duomenys'!H$25*0.0000012</f>
        <v>0</v>
      </c>
    </row>
    <row r="35" spans="1:23" x14ac:dyDescent="0.2">
      <c r="A35" s="18" t="s">
        <v>67</v>
      </c>
      <c r="B35" s="18">
        <v>45</v>
      </c>
      <c r="C35" s="18">
        <v>32</v>
      </c>
      <c r="D35" s="18">
        <v>40</v>
      </c>
      <c r="E35" s="33">
        <v>20</v>
      </c>
      <c r="F35" s="18">
        <f t="shared" si="10"/>
        <v>125</v>
      </c>
      <c r="G35" s="18">
        <f t="shared" si="11"/>
        <v>72</v>
      </c>
      <c r="H35" s="19">
        <v>0.66878980891719741</v>
      </c>
      <c r="I35" s="19">
        <f t="shared" si="20"/>
        <v>3.4651375721418285</v>
      </c>
      <c r="J35" s="19">
        <f t="shared" si="12"/>
        <v>2.9504045862105688</v>
      </c>
      <c r="K35" s="19">
        <f t="shared" si="13"/>
        <v>0.22252773854518024</v>
      </c>
      <c r="L35" s="20">
        <f t="shared" si="14"/>
        <v>15.534805571755948</v>
      </c>
      <c r="M35" s="20">
        <f t="shared" si="15"/>
        <v>13.160987697786361</v>
      </c>
      <c r="N35" s="37">
        <f t="shared" si="16"/>
        <v>12.907033268827238</v>
      </c>
      <c r="O35" s="20">
        <f t="shared" si="17"/>
        <v>11.769452259866961</v>
      </c>
      <c r="P35" s="37">
        <f t="shared" si="18"/>
        <v>10.934368500668233</v>
      </c>
      <c r="Q35" s="20">
        <f t="shared" si="19"/>
        <v>9.4526327845530176</v>
      </c>
      <c r="R35" s="25">
        <f>(P35+Q35)*'KV tinklas'!B37*'Pradiniai duomenys'!H$25*0.0000012</f>
        <v>0</v>
      </c>
    </row>
    <row r="36" spans="1:23" x14ac:dyDescent="0.2">
      <c r="A36" s="18" t="s">
        <v>68</v>
      </c>
      <c r="B36" s="18">
        <v>45</v>
      </c>
      <c r="C36" s="18">
        <v>38</v>
      </c>
      <c r="D36" s="18">
        <v>40</v>
      </c>
      <c r="E36" s="38">
        <v>30</v>
      </c>
      <c r="F36" s="18">
        <f t="shared" si="10"/>
        <v>125</v>
      </c>
      <c r="G36" s="18">
        <f t="shared" si="11"/>
        <v>98</v>
      </c>
      <c r="H36" s="19">
        <v>0.85987261146496818</v>
      </c>
      <c r="I36" s="19">
        <f t="shared" si="20"/>
        <v>3.4651375721418285</v>
      </c>
      <c r="J36" s="19">
        <f t="shared" si="12"/>
        <v>3.2871253848244115</v>
      </c>
      <c r="K36" s="19">
        <f t="shared" si="13"/>
        <v>0.19317338283126648</v>
      </c>
      <c r="L36" s="20">
        <f t="shared" si="14"/>
        <v>15.820354804916779</v>
      </c>
      <c r="M36" s="20">
        <f t="shared" si="15"/>
        <v>12.113838438584139</v>
      </c>
      <c r="N36" s="37">
        <f t="shared" si="16"/>
        <v>13.154902055227602</v>
      </c>
      <c r="O36" s="20">
        <f t="shared" si="17"/>
        <v>10.825125665632523</v>
      </c>
      <c r="P36" s="37">
        <f t="shared" si="18"/>
        <v>11.137762249921961</v>
      </c>
      <c r="Q36" s="20">
        <f t="shared" si="19"/>
        <v>8.6987489354060337</v>
      </c>
      <c r="R36" s="25">
        <f>(P36+Q36)*'KV tinklas'!B38*'Pradiniai duomenys'!H$25*0.0000012</f>
        <v>0</v>
      </c>
      <c r="U36" s="82" t="s">
        <v>197</v>
      </c>
      <c r="V36" s="85">
        <f>'Pradiniai duomenys'!J25</f>
        <v>12.57423558897243</v>
      </c>
      <c r="W36" s="24" t="s">
        <v>196</v>
      </c>
    </row>
    <row r="37" spans="1:23" x14ac:dyDescent="0.2">
      <c r="A37" s="18" t="s">
        <v>69</v>
      </c>
      <c r="B37" s="18">
        <v>57</v>
      </c>
      <c r="C37" s="18">
        <v>38</v>
      </c>
      <c r="D37" s="18">
        <v>40</v>
      </c>
      <c r="E37" s="38">
        <v>30</v>
      </c>
      <c r="F37" s="18">
        <f t="shared" si="10"/>
        <v>137</v>
      </c>
      <c r="G37" s="18">
        <f t="shared" si="11"/>
        <v>98</v>
      </c>
      <c r="H37" s="19">
        <v>0.85987261146496818</v>
      </c>
      <c r="I37" s="19">
        <f t="shared" si="20"/>
        <v>2.9857571697376737</v>
      </c>
      <c r="J37" s="19">
        <f t="shared" si="12"/>
        <v>3.2871253848244115</v>
      </c>
      <c r="K37" s="19">
        <f t="shared" si="13"/>
        <v>0.19317338283126648</v>
      </c>
      <c r="L37" s="20">
        <f t="shared" si="14"/>
        <v>18.214126571858948</v>
      </c>
      <c r="M37" s="20">
        <f t="shared" si="15"/>
        <v>11.980972549527815</v>
      </c>
      <c r="N37" s="37">
        <f t="shared" si="16"/>
        <v>15.145365197489538</v>
      </c>
      <c r="O37" s="20">
        <f t="shared" si="17"/>
        <v>10.714645352228082</v>
      </c>
      <c r="P37" s="37">
        <f t="shared" si="18"/>
        <v>12.823012748380538</v>
      </c>
      <c r="Q37" s="20">
        <f t="shared" si="19"/>
        <v>8.6052093971540913</v>
      </c>
      <c r="R37" s="25">
        <f>(P37+Q37)*'KV tinklas'!B39*'Pradiniai duomenys'!H$25*0.0000012</f>
        <v>0</v>
      </c>
      <c r="U37" s="82" t="s">
        <v>198</v>
      </c>
      <c r="V37" s="86">
        <v>12</v>
      </c>
      <c r="W37" s="24" t="s">
        <v>191</v>
      </c>
    </row>
    <row r="38" spans="1:23" x14ac:dyDescent="0.2">
      <c r="A38" s="18" t="s">
        <v>70</v>
      </c>
      <c r="B38" s="18">
        <v>73</v>
      </c>
      <c r="C38" s="18">
        <v>45</v>
      </c>
      <c r="D38" s="18">
        <v>40</v>
      </c>
      <c r="E38" s="38">
        <v>30</v>
      </c>
      <c r="F38" s="18">
        <f t="shared" si="10"/>
        <v>153</v>
      </c>
      <c r="G38" s="18">
        <f t="shared" si="11"/>
        <v>105</v>
      </c>
      <c r="H38" s="19">
        <v>0.85987261146496818</v>
      </c>
      <c r="I38" s="19">
        <f t="shared" si="20"/>
        <v>2.5294574941689327</v>
      </c>
      <c r="J38" s="19">
        <f t="shared" si="12"/>
        <v>2.9504154350919043</v>
      </c>
      <c r="K38" s="19">
        <f t="shared" si="13"/>
        <v>0.19317338283126648</v>
      </c>
      <c r="L38" s="20">
        <f t="shared" si="14"/>
        <v>21.188644005706635</v>
      </c>
      <c r="M38" s="20">
        <f t="shared" si="15"/>
        <v>13.081471142151221</v>
      </c>
      <c r="N38" s="37">
        <f t="shared" si="16"/>
        <v>17.612986672234321</v>
      </c>
      <c r="O38" s="20">
        <f t="shared" si="17"/>
        <v>11.710656310237333</v>
      </c>
      <c r="P38" s="37">
        <f t="shared" si="18"/>
        <v>14.915815874511377</v>
      </c>
      <c r="Q38" s="20">
        <f t="shared" si="19"/>
        <v>9.398311138025548</v>
      </c>
      <c r="R38" s="25">
        <f>(P38+Q38)*'KV tinklas'!B40*'Pradiniai duomenys'!H$25*0.0000012</f>
        <v>0</v>
      </c>
      <c r="U38" s="84" t="s">
        <v>202</v>
      </c>
      <c r="V38" s="92">
        <v>10</v>
      </c>
      <c r="W38" s="24" t="s">
        <v>191</v>
      </c>
    </row>
    <row r="39" spans="1:23" x14ac:dyDescent="0.2">
      <c r="A39" s="18" t="s">
        <v>71</v>
      </c>
      <c r="B39" s="18">
        <v>73</v>
      </c>
      <c r="C39" s="18">
        <v>57</v>
      </c>
      <c r="D39" s="18">
        <v>40</v>
      </c>
      <c r="E39" s="38">
        <v>30</v>
      </c>
      <c r="F39" s="18">
        <f t="shared" si="10"/>
        <v>153</v>
      </c>
      <c r="G39" s="18">
        <f t="shared" si="11"/>
        <v>117</v>
      </c>
      <c r="H39" s="19">
        <v>0.85987261146496818</v>
      </c>
      <c r="I39" s="19">
        <f t="shared" si="20"/>
        <v>2.5294574941689327</v>
      </c>
      <c r="J39" s="19">
        <f t="shared" si="12"/>
        <v>2.5163959733202499</v>
      </c>
      <c r="K39" s="19">
        <f t="shared" si="13"/>
        <v>0.19317338283126648</v>
      </c>
      <c r="L39" s="20">
        <f t="shared" si="14"/>
        <v>21.039217923222882</v>
      </c>
      <c r="M39" s="20">
        <f t="shared" si="15"/>
        <v>15.187517327379561</v>
      </c>
      <c r="N39" s="37">
        <f t="shared" si="16"/>
        <v>17.479219034272415</v>
      </c>
      <c r="O39" s="20">
        <f t="shared" si="17"/>
        <v>13.59600871293657</v>
      </c>
      <c r="P39" s="37">
        <f t="shared" si="18"/>
        <v>14.80846152574907</v>
      </c>
      <c r="Q39" s="20">
        <f t="shared" si="19"/>
        <v>10.911388459738216</v>
      </c>
      <c r="R39" s="25">
        <f>(P39+Q39)*'KV tinklas'!B41*'Pradiniai duomenys'!H$25*0.0000012</f>
        <v>0</v>
      </c>
      <c r="U39" s="82" t="s">
        <v>192</v>
      </c>
      <c r="V39" s="86">
        <f>'Pradiniai duomenys'!J36</f>
        <v>0.05</v>
      </c>
      <c r="W39" s="24" t="s">
        <v>194</v>
      </c>
    </row>
    <row r="40" spans="1:23" x14ac:dyDescent="0.2">
      <c r="A40" s="18" t="s">
        <v>72</v>
      </c>
      <c r="B40" s="18">
        <v>89</v>
      </c>
      <c r="C40" s="18">
        <v>57</v>
      </c>
      <c r="D40" s="18">
        <v>40</v>
      </c>
      <c r="E40" s="38">
        <v>30</v>
      </c>
      <c r="F40" s="18">
        <f t="shared" si="10"/>
        <v>169</v>
      </c>
      <c r="G40" s="18">
        <f t="shared" si="11"/>
        <v>117</v>
      </c>
      <c r="H40" s="19">
        <v>0.85987261146496818</v>
      </c>
      <c r="I40" s="19">
        <f t="shared" si="20"/>
        <v>2.1987319698098262</v>
      </c>
      <c r="J40" s="19">
        <f t="shared" si="12"/>
        <v>2.5163959733202499</v>
      </c>
      <c r="K40" s="19">
        <f t="shared" si="13"/>
        <v>0.19317338283126648</v>
      </c>
      <c r="L40" s="20">
        <f t="shared" si="14"/>
        <v>23.965128751590349</v>
      </c>
      <c r="M40" s="20">
        <f t="shared" si="15"/>
        <v>14.978920307600315</v>
      </c>
      <c r="N40" s="37">
        <f t="shared" si="16"/>
        <v>19.91004305208601</v>
      </c>
      <c r="O40" s="20">
        <f t="shared" si="17"/>
        <v>13.42270792714104</v>
      </c>
      <c r="P40" s="37">
        <f t="shared" si="18"/>
        <v>16.867864973527752</v>
      </c>
      <c r="Q40" s="20">
        <f t="shared" si="19"/>
        <v>10.76456736814349</v>
      </c>
      <c r="R40" s="25">
        <f>(P40+Q40)*'KV tinklas'!B42*'Pradiniai duomenys'!H$25*0.0000012</f>
        <v>0</v>
      </c>
      <c r="U40" s="84" t="s">
        <v>201</v>
      </c>
      <c r="V40" s="89">
        <f>'Pradiniai duomenys'!J31</f>
        <v>2</v>
      </c>
      <c r="W40" s="24" t="s">
        <v>194</v>
      </c>
    </row>
    <row r="41" spans="1:23" x14ac:dyDescent="0.2">
      <c r="A41" s="18" t="s">
        <v>73</v>
      </c>
      <c r="B41" s="18">
        <v>108</v>
      </c>
      <c r="C41" s="18">
        <v>73</v>
      </c>
      <c r="D41" s="18">
        <v>60</v>
      </c>
      <c r="E41" s="38">
        <v>40</v>
      </c>
      <c r="F41" s="18">
        <f t="shared" si="10"/>
        <v>228</v>
      </c>
      <c r="G41" s="18">
        <f t="shared" si="11"/>
        <v>153</v>
      </c>
      <c r="H41" s="19">
        <v>0.85987261146496818</v>
      </c>
      <c r="I41" s="19">
        <f t="shared" si="20"/>
        <v>2.4954683747256698</v>
      </c>
      <c r="J41" s="19">
        <f t="shared" si="12"/>
        <v>2.5294574941689327</v>
      </c>
      <c r="K41" s="19">
        <f t="shared" si="13"/>
        <v>0.19317338283126648</v>
      </c>
      <c r="L41" s="20">
        <f t="shared" si="14"/>
        <v>21.311814804690453</v>
      </c>
      <c r="M41" s="20">
        <f t="shared" si="15"/>
        <v>15.095315869563791</v>
      </c>
      <c r="N41" s="37">
        <f t="shared" si="16"/>
        <v>17.706029352256316</v>
      </c>
      <c r="O41" s="20">
        <f t="shared" si="17"/>
        <v>13.514690944332983</v>
      </c>
      <c r="P41" s="37">
        <f t="shared" si="18"/>
        <v>15.000405734167353</v>
      </c>
      <c r="Q41" s="20">
        <f t="shared" si="19"/>
        <v>10.845423645547957</v>
      </c>
      <c r="R41" s="25">
        <f>(P41+Q41)*'KV tinklas'!B43*'Pradiniai duomenys'!H$25*0.0000012</f>
        <v>0</v>
      </c>
      <c r="U41" s="84" t="s">
        <v>199</v>
      </c>
      <c r="V41" s="86">
        <v>1.68</v>
      </c>
      <c r="W41" s="1" t="s">
        <v>200</v>
      </c>
    </row>
    <row r="42" spans="1:23" x14ac:dyDescent="0.2">
      <c r="A42" s="18" t="s">
        <v>74</v>
      </c>
      <c r="B42" s="18">
        <v>108</v>
      </c>
      <c r="C42" s="18">
        <v>89</v>
      </c>
      <c r="D42" s="18">
        <v>60</v>
      </c>
      <c r="E42" s="38">
        <v>40</v>
      </c>
      <c r="F42" s="18">
        <f t="shared" si="10"/>
        <v>228</v>
      </c>
      <c r="G42" s="18">
        <f t="shared" si="11"/>
        <v>169</v>
      </c>
      <c r="H42" s="19">
        <v>0.85987261146496818</v>
      </c>
      <c r="I42" s="19">
        <f t="shared" si="20"/>
        <v>2.4954683747256698</v>
      </c>
      <c r="J42" s="19">
        <f t="shared" si="12"/>
        <v>2.1987319698098262</v>
      </c>
      <c r="K42" s="19">
        <f t="shared" si="13"/>
        <v>0.19317338283126648</v>
      </c>
      <c r="L42" s="20">
        <f t="shared" si="14"/>
        <v>21.160977896543276</v>
      </c>
      <c r="M42" s="20">
        <f t="shared" si="15"/>
        <v>17.194706602807369</v>
      </c>
      <c r="N42" s="37">
        <f t="shared" si="16"/>
        <v>17.57098652080964</v>
      </c>
      <c r="O42" s="20">
        <f t="shared" si="17"/>
        <v>15.394255252648676</v>
      </c>
      <c r="P42" s="37">
        <f t="shared" si="18"/>
        <v>14.892035019412114</v>
      </c>
      <c r="Q42" s="20">
        <f t="shared" si="19"/>
        <v>12.353757892827415</v>
      </c>
      <c r="R42" s="25">
        <f>(P42+Q42)*'KV tinklas'!B44*'Pradiniai duomenys'!H$25*0.0000012</f>
        <v>0</v>
      </c>
    </row>
    <row r="43" spans="1:23" x14ac:dyDescent="0.2">
      <c r="A43" s="18" t="s">
        <v>75</v>
      </c>
      <c r="B43" s="18">
        <v>133</v>
      </c>
      <c r="C43" s="18">
        <v>89</v>
      </c>
      <c r="D43" s="18">
        <v>60</v>
      </c>
      <c r="E43" s="38">
        <v>40</v>
      </c>
      <c r="F43" s="18">
        <f t="shared" si="10"/>
        <v>253</v>
      </c>
      <c r="G43" s="18">
        <f t="shared" si="11"/>
        <v>169</v>
      </c>
      <c r="H43" s="19">
        <v>0.85987261146496818</v>
      </c>
      <c r="I43" s="19">
        <f t="shared" si="20"/>
        <v>2.1522824050835618</v>
      </c>
      <c r="J43" s="19">
        <f t="shared" si="12"/>
        <v>2.1987319698098262</v>
      </c>
      <c r="K43" s="19">
        <f t="shared" si="13"/>
        <v>0.19317338283126648</v>
      </c>
      <c r="L43" s="20">
        <f t="shared" si="14"/>
        <v>24.277974950490361</v>
      </c>
      <c r="M43" s="20">
        <f t="shared" si="15"/>
        <v>16.942973872446114</v>
      </c>
      <c r="N43" s="37">
        <f t="shared" si="16"/>
        <v>20.159180388223216</v>
      </c>
      <c r="O43" s="20">
        <f t="shared" si="17"/>
        <v>15.18522935442935</v>
      </c>
      <c r="P43" s="37">
        <f t="shared" si="18"/>
        <v>17.085621228410851</v>
      </c>
      <c r="Q43" s="20">
        <f t="shared" si="19"/>
        <v>12.176601021609075</v>
      </c>
      <c r="R43" s="25">
        <f>(P43+Q43)*'KV tinklas'!B45*'Pradiniai duomenys'!H$25*0.0000012</f>
        <v>0</v>
      </c>
    </row>
    <row r="44" spans="1:23" x14ac:dyDescent="0.2">
      <c r="A44" s="18" t="s">
        <v>76</v>
      </c>
      <c r="B44" s="18">
        <v>159</v>
      </c>
      <c r="C44" s="18">
        <v>108</v>
      </c>
      <c r="D44" s="18">
        <v>60</v>
      </c>
      <c r="E44" s="38">
        <v>40</v>
      </c>
      <c r="F44" s="18">
        <f t="shared" si="10"/>
        <v>279</v>
      </c>
      <c r="G44" s="18">
        <f t="shared" si="11"/>
        <v>188</v>
      </c>
      <c r="H44" s="19">
        <v>0.85987261146496818</v>
      </c>
      <c r="I44" s="19">
        <f t="shared" si="20"/>
        <v>1.8854590180378248</v>
      </c>
      <c r="J44" s="19">
        <f t="shared" si="12"/>
        <v>1.906015808018958</v>
      </c>
      <c r="K44" s="19">
        <f t="shared" si="13"/>
        <v>0.19317338283126648</v>
      </c>
      <c r="L44" s="20">
        <f t="shared" si="14"/>
        <v>27.199841245911728</v>
      </c>
      <c r="M44" s="20">
        <f t="shared" si="15"/>
        <v>19.036665810245239</v>
      </c>
      <c r="N44" s="37">
        <f t="shared" si="16"/>
        <v>22.570752379969456</v>
      </c>
      <c r="O44" s="20">
        <f t="shared" si="17"/>
        <v>17.080775763633273</v>
      </c>
      <c r="P44" s="37">
        <f t="shared" si="18"/>
        <v>19.138577526354634</v>
      </c>
      <c r="Q44" s="20">
        <f t="shared" si="19"/>
        <v>13.685617653188917</v>
      </c>
      <c r="R44" s="25">
        <f>(P44+Q44)*'KV tinklas'!B46*'Pradiniai duomenys'!H$25*0.00000115</f>
        <v>0</v>
      </c>
    </row>
    <row r="45" spans="1:23" x14ac:dyDescent="0.2">
      <c r="A45" s="18" t="s">
        <v>77</v>
      </c>
      <c r="B45" s="18">
        <v>219</v>
      </c>
      <c r="C45" s="18">
        <v>108</v>
      </c>
      <c r="D45" s="18">
        <v>60</v>
      </c>
      <c r="E45" s="38">
        <v>40</v>
      </c>
      <c r="F45" s="18">
        <f t="shared" si="10"/>
        <v>339</v>
      </c>
      <c r="G45" s="18">
        <f t="shared" si="11"/>
        <v>188</v>
      </c>
      <c r="H45" s="19">
        <v>1.1464968152866242</v>
      </c>
      <c r="I45" s="19">
        <f t="shared" si="20"/>
        <v>1.4694247919217271</v>
      </c>
      <c r="J45" s="19">
        <f t="shared" si="12"/>
        <v>1.906015808018958</v>
      </c>
      <c r="K45" s="19">
        <f t="shared" si="13"/>
        <v>0.16147329146375394</v>
      </c>
      <c r="L45" s="20">
        <f t="shared" si="14"/>
        <v>35.027435936881083</v>
      </c>
      <c r="M45" s="20">
        <f t="shared" si="15"/>
        <v>19.134249889044138</v>
      </c>
      <c r="N45" s="37">
        <f t="shared" si="16"/>
        <v>29.089369816190384</v>
      </c>
      <c r="O45" s="20">
        <f t="shared" si="17"/>
        <v>17.179627289305269</v>
      </c>
      <c r="P45" s="37">
        <f t="shared" si="18"/>
        <v>24.651547477890411</v>
      </c>
      <c r="Q45" s="20">
        <f t="shared" si="19"/>
        <v>13.758330289245357</v>
      </c>
      <c r="R45" s="25">
        <f>(P45+Q45)*'KV tinklas'!B47*'Pradiniai duomenys'!H$25*0.00000115</f>
        <v>0</v>
      </c>
    </row>
    <row r="46" spans="1:23" x14ac:dyDescent="0.2">
      <c r="A46" s="18" t="s">
        <v>78</v>
      </c>
      <c r="B46" s="18">
        <v>273</v>
      </c>
      <c r="C46" s="18">
        <v>108</v>
      </c>
      <c r="D46" s="18">
        <v>60</v>
      </c>
      <c r="E46" s="38">
        <v>40</v>
      </c>
      <c r="F46" s="18">
        <f t="shared" si="10"/>
        <v>393</v>
      </c>
      <c r="G46" s="18">
        <f t="shared" si="11"/>
        <v>188</v>
      </c>
      <c r="H46" s="19">
        <v>1.1464968152866242</v>
      </c>
      <c r="I46" s="19">
        <f t="shared" si="20"/>
        <v>1.2275452469996608</v>
      </c>
      <c r="J46" s="19">
        <f t="shared" si="12"/>
        <v>1.906015808018958</v>
      </c>
      <c r="K46" s="19">
        <f t="shared" si="13"/>
        <v>0.16147329146375394</v>
      </c>
      <c r="L46" s="20">
        <f t="shared" si="14"/>
        <v>41.182896127348791</v>
      </c>
      <c r="M46" s="20">
        <f t="shared" si="15"/>
        <v>18.653501324189499</v>
      </c>
      <c r="N46" s="37">
        <f t="shared" si="16"/>
        <v>34.201318580924791</v>
      </c>
      <c r="O46" s="20">
        <f t="shared" si="17"/>
        <v>16.780378174501106</v>
      </c>
      <c r="P46" s="37">
        <f t="shared" si="18"/>
        <v>28.98362646326105</v>
      </c>
      <c r="Q46" s="20">
        <f t="shared" si="19"/>
        <v>13.419989906786375</v>
      </c>
      <c r="R46" s="25">
        <f>(P46+Q46)*'KV tinklas'!B48*'Pradiniai duomenys'!H$25*0.00000115</f>
        <v>0</v>
      </c>
    </row>
    <row r="47" spans="1:23" x14ac:dyDescent="0.2">
      <c r="A47" s="22" t="s">
        <v>40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Q47" s="1" t="s">
        <v>6</v>
      </c>
      <c r="R47" s="25">
        <f>SUM(R32:R46)</f>
        <v>0</v>
      </c>
    </row>
    <row r="48" spans="1:23" x14ac:dyDescent="0.2">
      <c r="A48" s="22" t="s">
        <v>41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3" x14ac:dyDescent="0.2">
      <c r="A49" s="22" t="s">
        <v>79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2">
      <c r="A50" s="1" t="s">
        <v>80</v>
      </c>
      <c r="E50" s="1"/>
      <c r="J50" s="22"/>
      <c r="K50" s="22"/>
      <c r="L50" s="22"/>
      <c r="M50" s="22"/>
    </row>
    <row r="51" spans="1:13" x14ac:dyDescent="0.2">
      <c r="L51" s="22"/>
      <c r="M51" s="22"/>
    </row>
    <row r="52" spans="1:13" x14ac:dyDescent="0.2">
      <c r="E52" s="2"/>
      <c r="F52" s="2"/>
      <c r="G52" s="2"/>
    </row>
    <row r="57" spans="1:13" x14ac:dyDescent="0.2">
      <c r="A57" s="1" t="s">
        <v>45</v>
      </c>
      <c r="E57" s="1"/>
    </row>
    <row r="58" spans="1:13" x14ac:dyDescent="0.2">
      <c r="D58" s="1" t="s">
        <v>46</v>
      </c>
      <c r="E58" s="26" t="s">
        <v>46</v>
      </c>
      <c r="F58" s="1" t="s">
        <v>49</v>
      </c>
      <c r="G58" s="1" t="s">
        <v>45</v>
      </c>
      <c r="H58" s="1" t="s">
        <v>43</v>
      </c>
    </row>
    <row r="59" spans="1:13" x14ac:dyDescent="0.2">
      <c r="D59" s="1" t="s">
        <v>47</v>
      </c>
      <c r="E59" s="26" t="s">
        <v>48</v>
      </c>
      <c r="G59" s="1" t="s">
        <v>36</v>
      </c>
    </row>
    <row r="60" spans="1:13" x14ac:dyDescent="0.2">
      <c r="E60" s="40"/>
    </row>
    <row r="61" spans="1:13" x14ac:dyDescent="0.2">
      <c r="E61" s="33"/>
      <c r="F61" s="1" t="s">
        <v>50</v>
      </c>
    </row>
  </sheetData>
  <sheetProtection password="CF7A" sheet="1"/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0" ma:contentTypeDescription="Kurkite naują dokumentą." ma:contentTypeScope="" ma:versionID="a1d507024e19353baca74ae6c58a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FD0E1-4F14-40EC-BE52-129796B523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4548BF-1901-46B1-9199-69CADDF4E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9BD981-854C-4CC0-8966-B361C8F35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Pradiniai duomenys</vt:lpstr>
      <vt:lpstr>TV tinklas</vt:lpstr>
      <vt:lpstr>KV tinklas</vt:lpstr>
      <vt:lpstr>Galutiniai rezultatai</vt:lpstr>
      <vt:lpstr>TV m2,m3</vt:lpstr>
      <vt:lpstr>KV m2, m3</vt:lpstr>
      <vt:lpstr>Nepraeinami kanalai</vt:lpstr>
      <vt:lpstr>Orinės trasos</vt:lpstr>
      <vt:lpstr>KV 2x1 nepraein</vt:lpstr>
      <vt:lpstr>Patalpose</vt:lpstr>
      <vt:lpstr>Prijungimas prie CŠT</vt:lpstr>
      <vt:lpstr>Bekanalinės trasos</vt:lpstr>
      <vt:lpstr>Bekanalinės trasos (2)</vt:lpstr>
      <vt:lpstr>Bekanalinės trasos (3)</vt:lpstr>
      <vt:lpstr>Bekanalinės trasos (4)</vt:lpstr>
      <vt:lpstr>'Galutiniai rezultatai'!Print_Area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Gintautas</dc:creator>
  <cp:lastModifiedBy>Čepulis</cp:lastModifiedBy>
  <cp:lastPrinted>2015-10-26T14:07:14Z</cp:lastPrinted>
  <dcterms:created xsi:type="dcterms:W3CDTF">1998-08-26T10:06:45Z</dcterms:created>
  <dcterms:modified xsi:type="dcterms:W3CDTF">2020-06-03T11:42:13Z</dcterms:modified>
</cp:coreProperties>
</file>