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epul\Desktop\Modelings\CŠT ir dujinis palyginimas\"/>
    </mc:Choice>
  </mc:AlternateContent>
  <xr:revisionPtr revIDLastSave="0" documentId="8_{16A92E07-F301-4A72-80A6-DBAB4A591D9E}" xr6:coauthVersionLast="44" xr6:coauthVersionMax="44" xr10:uidLastSave="{00000000-0000-0000-0000-000000000000}"/>
  <bookViews>
    <workbookView xWindow="-120" yWindow="-120" windowWidth="29040" windowHeight="15840" xr2:uid="{B2ECC9E2-38BC-4755-BBDA-4A5C3605AF2C}"/>
  </bookViews>
  <sheets>
    <sheet name="Sheet1" sheetId="1" r:id="rId1"/>
  </sheets>
  <definedNames>
    <definedName name="Įrengimas">Table1[Column1]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C17" i="1" l="1"/>
  <c r="F26" i="1" l="1"/>
  <c r="S17" i="1"/>
  <c r="K36" i="1" s="1"/>
  <c r="S7" i="1"/>
  <c r="K26" i="1" s="1"/>
  <c r="S8" i="1"/>
  <c r="K27" i="1" s="1"/>
  <c r="S9" i="1"/>
  <c r="K28" i="1" s="1"/>
  <c r="S10" i="1"/>
  <c r="K29" i="1" s="1"/>
  <c r="S11" i="1"/>
  <c r="K30" i="1" s="1"/>
  <c r="S12" i="1"/>
  <c r="K31" i="1" s="1"/>
  <c r="S13" i="1"/>
  <c r="K32" i="1" s="1"/>
  <c r="S14" i="1"/>
  <c r="K33" i="1" s="1"/>
  <c r="S15" i="1"/>
  <c r="K34" i="1" s="1"/>
  <c r="S16" i="1"/>
  <c r="K35" i="1" s="1"/>
  <c r="S6" i="1"/>
  <c r="K25" i="1" s="1"/>
  <c r="S18" i="1" l="1"/>
  <c r="E26" i="1"/>
  <c r="B11" i="1"/>
  <c r="D17" i="1"/>
  <c r="C18" i="1"/>
  <c r="L6" i="1" l="1"/>
  <c r="J25" i="1" s="1"/>
  <c r="O6" i="1"/>
  <c r="AR23" i="1" s="1"/>
  <c r="L7" i="1"/>
  <c r="J26" i="1" s="1"/>
  <c r="O7" i="1"/>
  <c r="L8" i="1"/>
  <c r="J27" i="1" s="1"/>
  <c r="O8" i="1"/>
  <c r="L9" i="1"/>
  <c r="J28" i="1" s="1"/>
  <c r="O9" i="1"/>
  <c r="L10" i="1"/>
  <c r="J29" i="1" s="1"/>
  <c r="O10" i="1"/>
  <c r="L11" i="1"/>
  <c r="J30" i="1" s="1"/>
  <c r="O11" i="1"/>
  <c r="L12" i="1"/>
  <c r="J31" i="1" s="1"/>
  <c r="O12" i="1"/>
  <c r="L13" i="1"/>
  <c r="J32" i="1" s="1"/>
  <c r="O13" i="1"/>
  <c r="L14" i="1"/>
  <c r="J33" i="1" s="1"/>
  <c r="O14" i="1"/>
  <c r="L15" i="1"/>
  <c r="J34" i="1" s="1"/>
  <c r="O15" i="1"/>
  <c r="F30" i="1"/>
  <c r="L16" i="1"/>
  <c r="J35" i="1" s="1"/>
  <c r="O16" i="1"/>
  <c r="L17" i="1"/>
  <c r="J36" i="1" s="1"/>
  <c r="O17" i="1"/>
  <c r="G18" i="1"/>
  <c r="H18" i="1"/>
  <c r="I18" i="1"/>
  <c r="J18" i="1"/>
  <c r="K18" i="1"/>
  <c r="G19" i="1"/>
  <c r="H19" i="1"/>
  <c r="I19" i="1"/>
  <c r="J19" i="1"/>
  <c r="K19" i="1"/>
  <c r="AU22" i="1"/>
  <c r="AU25" i="1"/>
  <c r="J38" i="1" l="1"/>
  <c r="F25" i="1"/>
  <c r="AV25" i="1"/>
  <c r="F27" i="1"/>
  <c r="F35" i="1" s="1"/>
  <c r="AR22" i="1"/>
  <c r="E25" i="1" s="1"/>
  <c r="E30" i="1"/>
  <c r="L19" i="1"/>
  <c r="L18" i="1"/>
  <c r="F33" i="1" l="1"/>
  <c r="F32" i="1"/>
  <c r="F31" i="1"/>
  <c r="F34" i="1"/>
  <c r="Q8" i="1"/>
  <c r="R8" i="1" s="1"/>
  <c r="Q9" i="1"/>
  <c r="R9" i="1" s="1"/>
  <c r="Q12" i="1"/>
  <c r="R12" i="1" s="1"/>
  <c r="Q15" i="1"/>
  <c r="R15" i="1" s="1"/>
  <c r="Q14" i="1"/>
  <c r="R14" i="1" s="1"/>
  <c r="Q7" i="1"/>
  <c r="R7" i="1" s="1"/>
  <c r="Q10" i="1"/>
  <c r="R10" i="1" s="1"/>
  <c r="Q13" i="1"/>
  <c r="R13" i="1" s="1"/>
  <c r="E27" i="1"/>
  <c r="Q16" i="1"/>
  <c r="R16" i="1" s="1"/>
  <c r="Q11" i="1"/>
  <c r="R11" i="1" s="1"/>
  <c r="Q6" i="1"/>
  <c r="R6" i="1" s="1"/>
  <c r="Q17" i="1"/>
  <c r="R17" i="1" s="1"/>
  <c r="F36" i="1" l="1"/>
  <c r="M25" i="1" s="1"/>
  <c r="E34" i="1"/>
  <c r="E32" i="1"/>
  <c r="E31" i="1"/>
  <c r="E33" i="1"/>
  <c r="M18" i="1"/>
  <c r="E36" i="1" l="1"/>
  <c r="C36" i="1"/>
  <c r="C37" i="1" s="1"/>
  <c r="D36" i="1"/>
  <c r="D37" i="1" s="1"/>
  <c r="M32" i="1"/>
  <c r="M26" i="1"/>
  <c r="M28" i="1"/>
  <c r="M29" i="1"/>
  <c r="M36" i="1"/>
  <c r="M27" i="1"/>
  <c r="M33" i="1"/>
  <c r="M34" i="1"/>
  <c r="M35" i="1"/>
  <c r="M30" i="1"/>
  <c r="M31" i="1"/>
  <c r="L36" i="1" l="1"/>
  <c r="L25" i="1"/>
  <c r="L26" i="1"/>
  <c r="L30" i="1"/>
  <c r="L32" i="1"/>
  <c r="L27" i="1"/>
  <c r="L28" i="1"/>
  <c r="L29" i="1"/>
  <c r="L31" i="1"/>
  <c r="L33" i="1"/>
  <c r="L34" i="1"/>
  <c r="L35" i="1"/>
  <c r="M38" i="1"/>
  <c r="L38" i="1" l="1"/>
  <c r="K38" i="1"/>
</calcChain>
</file>

<file path=xl/sharedStrings.xml><?xml version="1.0" encoding="utf-8"?>
<sst xmlns="http://schemas.openxmlformats.org/spreadsheetml/2006/main" count="126" uniqueCount="78">
  <si>
    <t>Viso</t>
  </si>
  <si>
    <t>Šildymas</t>
  </si>
  <si>
    <t>Bendrų patalpų šildymas</t>
  </si>
  <si>
    <t>Cirkuliacija</t>
  </si>
  <si>
    <t>Šiluma su nepaskirstytu vandeniu</t>
  </si>
  <si>
    <t>Vidutinė lauko temperatūra</t>
  </si>
  <si>
    <t>Dienolaipsniai</t>
  </si>
  <si>
    <t>MWh</t>
  </si>
  <si>
    <t>Abonentinis mokestis</t>
  </si>
  <si>
    <t>Šilumos kaina</t>
  </si>
  <si>
    <t>Duju abonentinis mokestis</t>
  </si>
  <si>
    <t>Eur/mėn</t>
  </si>
  <si>
    <t>%</t>
  </si>
  <si>
    <t>Eur</t>
  </si>
  <si>
    <t>Šilumos kaina su PVM</t>
  </si>
  <si>
    <t>ct/kWh</t>
  </si>
  <si>
    <t>Dujinio katilo efektyvumas</t>
  </si>
  <si>
    <t>Žemutinis dujų kaloringumas</t>
  </si>
  <si>
    <t>kWh/m3</t>
  </si>
  <si>
    <t>Dujų kaina</t>
  </si>
  <si>
    <t>Column1</t>
  </si>
  <si>
    <t>Katilai butuose</t>
  </si>
  <si>
    <t>Dujinė įranga</t>
  </si>
  <si>
    <t>Namo katilinė</t>
  </si>
  <si>
    <t>Namo galios poreikis</t>
  </si>
  <si>
    <t>kW</t>
  </si>
  <si>
    <t>Namo galios poreikis po renovacijos</t>
  </si>
  <si>
    <t>Elektros kaina</t>
  </si>
  <si>
    <t>kWh</t>
  </si>
  <si>
    <t>katilo kaina pagal vert</t>
  </si>
  <si>
    <t>skaičiuotina temp</t>
  </si>
  <si>
    <t>šildymui galia</t>
  </si>
  <si>
    <t>sumažėjusi</t>
  </si>
  <si>
    <t>kv galia</t>
  </si>
  <si>
    <t>dujinis apvalinimas</t>
  </si>
  <si>
    <t>Šiluminės galios poreikis</t>
  </si>
  <si>
    <t>Šilumos poreikis</t>
  </si>
  <si>
    <t>Poreikio šildymui sumažėjimas po renovacijos</t>
  </si>
  <si>
    <t>Mėn.</t>
  </si>
  <si>
    <t>Laikotarpis</t>
  </si>
  <si>
    <t>Dienų skaičius mėnesyje</t>
  </si>
  <si>
    <t>Rezultatai</t>
  </si>
  <si>
    <t xml:space="preserve">&lt;--keisti </t>
  </si>
  <si>
    <t>Prieš Renovaciją</t>
  </si>
  <si>
    <t>d.</t>
  </si>
  <si>
    <t>Bendras šilumos suvartojimas</t>
  </si>
  <si>
    <t>Faktinių namo realizacijos duomenų įvedimas</t>
  </si>
  <si>
    <t>Po renovacijos</t>
  </si>
  <si>
    <t>°C</t>
  </si>
  <si>
    <t>Karšto vandens šildymui</t>
  </si>
  <si>
    <t>Vatotojų (butų) skaičius</t>
  </si>
  <si>
    <t>metai</t>
  </si>
  <si>
    <t>Išlaidų dujiniam katilui susigrąžinimo laikotarpis</t>
  </si>
  <si>
    <t>Išlaidų šildymo sistemos pritaikymui susigrąžinimo laikotarpis</t>
  </si>
  <si>
    <t>Dujinio šildymo duomenų įvedimas</t>
  </si>
  <si>
    <r>
      <t xml:space="preserve">Duomenų įvedimas </t>
    </r>
    <r>
      <rPr>
        <b/>
        <sz val="16"/>
        <color theme="8" tint="-0.249977111117893"/>
        <rFont val="Calibri"/>
        <family val="2"/>
        <scheme val="minor"/>
      </rPr>
      <t>(mėlynai pažymeti skaitmenys)</t>
    </r>
  </si>
  <si>
    <t>Šiose lentelėse esančius duomenis galima keisti pagal poreikį</t>
  </si>
  <si>
    <t>Įrengiama šiluminė galia</t>
  </si>
  <si>
    <t>Renovacija</t>
  </si>
  <si>
    <t>Šilumos kainų palyginimas</t>
  </si>
  <si>
    <t>kWh_el/MWh_š</t>
  </si>
  <si>
    <t>Elektros suvartojimo faktorius</t>
  </si>
  <si>
    <t>Amortizacija (katilo įsigijimo kaštai)</t>
  </si>
  <si>
    <t>Patalpų ir šildymo sistemos rekonstrukcija pritaikant dujiniam šildymui ir karšto vandens ruošimui</t>
  </si>
  <si>
    <t>Elektros suvartojimo dedamoji</t>
  </si>
  <si>
    <t>Kuro suvartojimo dedamoji</t>
  </si>
  <si>
    <t>Išlaidos dujiniam katilui</t>
  </si>
  <si>
    <t>Eur/m3</t>
  </si>
  <si>
    <t>Šilumos kainos dedamosios dalys (su PVM)</t>
  </si>
  <si>
    <t>Eksploatacinių išlaidų dedamoji</t>
  </si>
  <si>
    <t>Viso per metus:</t>
  </si>
  <si>
    <t>Lygi poreikiui</t>
  </si>
  <si>
    <t>Vidutinio buto mėnesinio mokėščio palyginimas</t>
  </si>
  <si>
    <t>CŠT po renovacijos</t>
  </si>
  <si>
    <t>Dujinis šildymas po renovacijos</t>
  </si>
  <si>
    <t>CŠT prieš renovaciją</t>
  </si>
  <si>
    <t>Dujinis šildymas prieš renovaciją</t>
  </si>
  <si>
    <t>Išlaidos vieno buto šildymo sistemos pritaikymui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</si>
</sst>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6"/>
      <color rgb="FFFF0000"/>
      <name val="Calibri"/>
      <family val="2"/>
      <scheme val="minor"/>
    </font>
    <font>
      <b/>
      <sz val="16"/>
      <color theme="6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color theme="6"/>
      <name val="Calibri"/>
      <family val="2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4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NumberFormat="1" applyFont="1" applyFill="1" applyBorder="1"/>
    <xf numFmtId="0" fontId="9" fillId="2" borderId="0" xfId="0" applyFont="1" applyFill="1" applyBorder="1"/>
    <xf numFmtId="0" fontId="7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4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" fontId="17" fillId="6" borderId="8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1" fontId="7" fillId="6" borderId="13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6" borderId="4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2" fillId="6" borderId="9" xfId="0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1" fontId="17" fillId="5" borderId="6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7" fillId="4" borderId="18" xfId="0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2" fontId="7" fillId="6" borderId="15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2" fontId="7" fillId="6" borderId="13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2" fontId="15" fillId="5" borderId="18" xfId="0" applyNumberFormat="1" applyFont="1" applyFill="1" applyBorder="1" applyAlignment="1">
      <alignment horizontal="center" vertical="center"/>
    </xf>
    <xf numFmtId="2" fontId="16" fillId="5" borderId="18" xfId="0" applyNumberFormat="1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2" fontId="25" fillId="2" borderId="0" xfId="0" applyNumberFormat="1" applyFont="1" applyFill="1" applyBorder="1" applyAlignment="1">
      <alignment vertical="center"/>
    </xf>
    <xf numFmtId="0" fontId="26" fillId="5" borderId="7" xfId="0" applyFont="1" applyFill="1" applyBorder="1" applyAlignment="1">
      <alignment horizontal="center" vertical="center" wrapText="1"/>
    </xf>
    <xf numFmtId="1" fontId="26" fillId="5" borderId="8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26" fillId="5" borderId="9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2">
    <cellStyle name="Įprastas 7" xfId="1" xr:uid="{E5A4A13D-434E-43C5-903B-431772E95A75}"/>
    <cellStyle name="Normal" xfId="0" builtinId="0"/>
  </cellStyles>
  <dxfs count="3"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fill>
        <patternFill patternType="solid">
          <fgColor indexed="64"/>
          <bgColor theme="6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fill>
        <patternFill patternType="solid">
          <fgColor indexed="64"/>
          <bgColor theme="6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6"/>
        <name val="Calibri"/>
        <family val="2"/>
        <scheme val="minor"/>
      </font>
      <fill>
        <patternFill patternType="solid">
          <fgColor indexed="64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/>
              <a:t>Vidutinio buto mėnesinio mokėščio</a:t>
            </a:r>
            <a:r>
              <a:rPr lang="lt-LT" sz="1400" b="1" baseline="0"/>
              <a:t> už šilumą palyginimas </a:t>
            </a:r>
            <a:endParaRPr lang="en-US" sz="1400" b="1"/>
          </a:p>
        </c:rich>
      </c:tx>
      <c:layout>
        <c:manualLayout>
          <c:xMode val="edge"/>
          <c:yMode val="edge"/>
          <c:x val="0.28564106316094073"/>
          <c:y val="1.597026601496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178459745093912E-2"/>
          <c:y val="7.8239393774898955E-2"/>
          <c:w val="0.90452982782659019"/>
          <c:h val="0.758304470339087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Sheet1!$L$23</c:f>
              <c:strCache>
                <c:ptCount val="1"/>
                <c:pt idx="0">
                  <c:v>Dujinis šildymas prieš renovaciją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Sheet1!$L$25:$L$36</c:f>
              <c:numCache>
                <c:formatCode>0</c:formatCode>
                <c:ptCount val="12"/>
                <c:pt idx="0">
                  <c:v>107.57084731567801</c:v>
                </c:pt>
                <c:pt idx="1">
                  <c:v>106.54570259814761</c:v>
                </c:pt>
                <c:pt idx="2">
                  <c:v>126.06566407253446</c:v>
                </c:pt>
                <c:pt idx="3">
                  <c:v>35.017737498228101</c:v>
                </c:pt>
                <c:pt idx="4">
                  <c:v>21.268737757232735</c:v>
                </c:pt>
                <c:pt idx="5">
                  <c:v>20.421485799509121</c:v>
                </c:pt>
                <c:pt idx="6">
                  <c:v>20.882800922397777</c:v>
                </c:pt>
                <c:pt idx="7">
                  <c:v>14.279662888893432</c:v>
                </c:pt>
                <c:pt idx="8">
                  <c:v>23.487874557533747</c:v>
                </c:pt>
                <c:pt idx="9">
                  <c:v>47.286307661848753</c:v>
                </c:pt>
                <c:pt idx="10">
                  <c:v>84.453833935368451</c:v>
                </c:pt>
                <c:pt idx="11">
                  <c:v>106.11755392200259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2-4A7D-AFD6-0F24E43A7417}"/>
            </c:ext>
          </c:extLst>
        </c:ser>
        <c:ser>
          <c:idx val="0"/>
          <c:order val="1"/>
          <c:tx>
            <c:strRef>
              <c:f>Sheet1!$J$23</c:f>
              <c:strCache>
                <c:ptCount val="1"/>
                <c:pt idx="0">
                  <c:v>CŠT prieš renovaciją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Sheet1!$I$25:$I$36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Sheet1!$J$25:$J$36</c:f>
              <c:numCache>
                <c:formatCode>0</c:formatCode>
                <c:ptCount val="12"/>
                <c:pt idx="0">
                  <c:v>85.553446000000022</c:v>
                </c:pt>
                <c:pt idx="1">
                  <c:v>84.589982423076933</c:v>
                </c:pt>
                <c:pt idx="2">
                  <c:v>99.03578596153848</c:v>
                </c:pt>
                <c:pt idx="3">
                  <c:v>27.266098461538462</c:v>
                </c:pt>
                <c:pt idx="4">
                  <c:v>16.471903923076923</c:v>
                </c:pt>
                <c:pt idx="5">
                  <c:v>15.446608000000001</c:v>
                </c:pt>
                <c:pt idx="6">
                  <c:v>15.592290692307692</c:v>
                </c:pt>
                <c:pt idx="7">
                  <c:v>10.622301538461539</c:v>
                </c:pt>
                <c:pt idx="8">
                  <c:v>18.05991653846154</c:v>
                </c:pt>
                <c:pt idx="9">
                  <c:v>36.292874769230771</c:v>
                </c:pt>
                <c:pt idx="10">
                  <c:v>71.865041538461554</c:v>
                </c:pt>
                <c:pt idx="11">
                  <c:v>92.365216538461553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2-4A7D-AFD6-0F24E43A7417}"/>
            </c:ext>
          </c:extLst>
        </c:ser>
        <c:ser>
          <c:idx val="2"/>
          <c:order val="2"/>
          <c:tx>
            <c:strRef>
              <c:f>Sheet1!$M$23</c:f>
              <c:strCache>
                <c:ptCount val="1"/>
                <c:pt idx="0">
                  <c:v>Dujinis šildymas po renovacijos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Sheet1!$I$25:$I$36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Sheet1!$M$25:$M$36</c:f>
              <c:numCache>
                <c:formatCode>0</c:formatCode>
                <c:ptCount val="12"/>
                <c:pt idx="0">
                  <c:v>69.490385572263008</c:v>
                </c:pt>
                <c:pt idx="1">
                  <c:v>67.802105782334792</c:v>
                </c:pt>
                <c:pt idx="2">
                  <c:v>78.622525987496374</c:v>
                </c:pt>
                <c:pt idx="3">
                  <c:v>33.008471386927994</c:v>
                </c:pt>
                <c:pt idx="4">
                  <c:v>25.311637913185127</c:v>
                </c:pt>
                <c:pt idx="5">
                  <c:v>24.303334786788049</c:v>
                </c:pt>
                <c:pt idx="6">
                  <c:v>24.852339691908163</c:v>
                </c:pt>
                <c:pt idx="7">
                  <c:v>16.994034187247632</c:v>
                </c:pt>
                <c:pt idx="8">
                  <c:v>27.952602685527673</c:v>
                </c:pt>
                <c:pt idx="9">
                  <c:v>35.753495912528585</c:v>
                </c:pt>
                <c:pt idx="10">
                  <c:v>54.213337313773401</c:v>
                </c:pt>
                <c:pt idx="11">
                  <c:v>64.999668979074571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2-4A7D-AFD6-0F24E43A7417}"/>
            </c:ext>
          </c:extLst>
        </c:ser>
        <c:ser>
          <c:idx val="1"/>
          <c:order val="3"/>
          <c:tx>
            <c:strRef>
              <c:f>Sheet1!$K$23</c:f>
              <c:strCache>
                <c:ptCount val="1"/>
                <c:pt idx="0">
                  <c:v>CŠT po renovacijos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Sheet1!$I$25:$I$36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Sheet1!$K$25:$K$36</c:f>
              <c:numCache>
                <c:formatCode>0</c:formatCode>
                <c:ptCount val="12"/>
                <c:pt idx="0">
                  <c:v>46.439668000000005</c:v>
                </c:pt>
                <c:pt idx="1">
                  <c:v>45.232193250000002</c:v>
                </c:pt>
                <c:pt idx="2">
                  <c:v>51.899574423076935</c:v>
                </c:pt>
                <c:pt idx="3">
                  <c:v>21.596421538461541</c:v>
                </c:pt>
                <c:pt idx="4">
                  <c:v>16.471903923076923</c:v>
                </c:pt>
                <c:pt idx="5">
                  <c:v>15.446608000000001</c:v>
                </c:pt>
                <c:pt idx="6">
                  <c:v>15.592290692307692</c:v>
                </c:pt>
                <c:pt idx="7">
                  <c:v>10.622301538461539</c:v>
                </c:pt>
                <c:pt idx="8">
                  <c:v>18.05991653846154</c:v>
                </c:pt>
                <c:pt idx="9">
                  <c:v>23.058228923076921</c:v>
                </c:pt>
                <c:pt idx="10">
                  <c:v>38.763762230769231</c:v>
                </c:pt>
                <c:pt idx="11">
                  <c:v>47.539415115384621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2-4A7D-AFD6-0F24E43A7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2948656"/>
        <c:axId val="935914352"/>
      </c:barChart>
      <c:catAx>
        <c:axId val="93294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t-LT" sz="1400" b="1"/>
                  <a:t>Mėnesis</a:t>
                </a:r>
              </a:p>
            </c:rich>
          </c:tx>
          <c:layout>
            <c:manualLayout>
              <c:xMode val="edge"/>
              <c:yMode val="edge"/>
              <c:x val="0.49468462688088599"/>
              <c:y val="0.88857923748730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914352"/>
        <c:crosses val="autoZero"/>
        <c:auto val="1"/>
        <c:lblAlgn val="ctr"/>
        <c:lblOffset val="100"/>
        <c:noMultiLvlLbl val="0"/>
      </c:catAx>
      <c:valAx>
        <c:axId val="9359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t-LT" sz="1400" b="1" baseline="0"/>
                  <a:t>Eurai</a:t>
                </a:r>
              </a:p>
            </c:rich>
          </c:tx>
          <c:layout>
            <c:manualLayout>
              <c:xMode val="edge"/>
              <c:yMode val="edge"/>
              <c:x val="1.0411357493291947E-2"/>
              <c:y val="0.40868386193385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79345381155101"/>
          <c:y val="0.9341795072623359"/>
          <c:w val="0.80885011466638101"/>
          <c:h val="6.4072322333084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/>
              <a:t>Vidutinio buto metinio mokėščio</a:t>
            </a:r>
            <a:r>
              <a:rPr lang="lt-LT" sz="1400" b="1" baseline="0"/>
              <a:t> už šilumą palyginimas </a:t>
            </a:r>
            <a:endParaRPr lang="en-US" sz="1400" b="1"/>
          </a:p>
        </c:rich>
      </c:tx>
      <c:layout>
        <c:manualLayout>
          <c:xMode val="edge"/>
          <c:yMode val="edge"/>
          <c:x val="0.29216620850213082"/>
          <c:y val="2.0144725553937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6898297337823"/>
          <c:y val="7.8239393774898955E-2"/>
          <c:w val="0.88103930459830593"/>
          <c:h val="0.812572518908329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Sheet1!$L$23</c:f>
              <c:strCache>
                <c:ptCount val="1"/>
                <c:pt idx="0">
                  <c:v>Dujinis šildymas prieš renovaciją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 algn="ctr"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Sheet1!$I$38</c:f>
              <c:strCache>
                <c:ptCount val="1"/>
                <c:pt idx="0">
                  <c:v>Viso per metus:</c:v>
                </c:pt>
              </c:strCache>
            </c:strRef>
          </c:cat>
          <c:val>
            <c:numRef>
              <c:f>Sheet1!$L$38</c:f>
              <c:numCache>
                <c:formatCode>0</c:formatCode>
                <c:ptCount val="1"/>
                <c:pt idx="0">
                  <c:v>713.39820892937473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9-4FEA-9407-23A971EA99E8}"/>
            </c:ext>
          </c:extLst>
        </c:ser>
        <c:ser>
          <c:idx val="0"/>
          <c:order val="1"/>
          <c:tx>
            <c:strRef>
              <c:f>Sheet1!$J$23</c:f>
              <c:strCache>
                <c:ptCount val="1"/>
                <c:pt idx="0">
                  <c:v>CŠT prieš renovaciją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Sheet1!$I$38</c:f>
              <c:strCache>
                <c:ptCount val="1"/>
                <c:pt idx="0">
                  <c:v>Viso per metus:</c:v>
                </c:pt>
              </c:strCache>
            </c:strRef>
          </c:cat>
          <c:val>
            <c:numRef>
              <c:f>Sheet1!$J$38</c:f>
              <c:numCache>
                <c:formatCode>0</c:formatCode>
                <c:ptCount val="1"/>
                <c:pt idx="0">
                  <c:v>573.16146638461555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FEA-9407-23A971EA99E8}"/>
            </c:ext>
          </c:extLst>
        </c:ser>
        <c:ser>
          <c:idx val="2"/>
          <c:order val="2"/>
          <c:tx>
            <c:strRef>
              <c:f>Sheet1!$M$23</c:f>
              <c:strCache>
                <c:ptCount val="1"/>
                <c:pt idx="0">
                  <c:v>Dujinis šildymas po renovacijos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Sheet1!$I$38</c:f>
              <c:strCache>
                <c:ptCount val="1"/>
                <c:pt idx="0">
                  <c:v>Viso per metus:</c:v>
                </c:pt>
              </c:strCache>
            </c:strRef>
          </c:cat>
          <c:val>
            <c:numRef>
              <c:f>Sheet1!$M$38</c:f>
              <c:numCache>
                <c:formatCode>0</c:formatCode>
                <c:ptCount val="1"/>
                <c:pt idx="0">
                  <c:v>523.30394019905543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9-4FEA-9407-23A971EA99E8}"/>
            </c:ext>
          </c:extLst>
        </c:ser>
        <c:ser>
          <c:idx val="1"/>
          <c:order val="3"/>
          <c:tx>
            <c:strRef>
              <c:f>Sheet1!$K$23</c:f>
              <c:strCache>
                <c:ptCount val="1"/>
                <c:pt idx="0">
                  <c:v>CŠT po renovacijos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Sheet1!$I$38</c:f>
              <c:strCache>
                <c:ptCount val="1"/>
                <c:pt idx="0">
                  <c:v>Viso per metus:</c:v>
                </c:pt>
              </c:strCache>
            </c:strRef>
          </c:cat>
          <c:val>
            <c:numRef>
              <c:f>Sheet1!$K$38</c:f>
              <c:numCache>
                <c:formatCode>0</c:formatCode>
                <c:ptCount val="1"/>
                <c:pt idx="0">
                  <c:v>350.7222841730769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FEA-9407-23A971EA99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2948656"/>
        <c:axId val="935914352"/>
        <c:extLst/>
      </c:barChart>
      <c:catAx>
        <c:axId val="932948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35914352"/>
        <c:crosses val="autoZero"/>
        <c:auto val="1"/>
        <c:lblAlgn val="ctr"/>
        <c:lblOffset val="100"/>
        <c:noMultiLvlLbl val="0"/>
      </c:catAx>
      <c:valAx>
        <c:axId val="9359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t-LT" sz="1400" b="1" baseline="0"/>
                  <a:t>Eurai per metus</a:t>
                </a:r>
              </a:p>
            </c:rich>
          </c:tx>
          <c:layout>
            <c:manualLayout>
              <c:xMode val="edge"/>
              <c:yMode val="edge"/>
              <c:x val="1.4326444698005997E-2"/>
              <c:y val="0.36067757723571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79345381155101"/>
          <c:y val="0.9341795072623359"/>
          <c:w val="0.82392800521778919"/>
          <c:h val="6.4072322333084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/>
              <a:t>Šilumos kainų palyginimas</a:t>
            </a:r>
            <a:endParaRPr lang="en-US" sz="1400" b="1"/>
          </a:p>
        </c:rich>
      </c:tx>
      <c:layout>
        <c:manualLayout>
          <c:xMode val="edge"/>
          <c:yMode val="edge"/>
          <c:x val="0.39703046856566665"/>
          <c:y val="2.7006852942250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95451162987658"/>
          <c:y val="9.8053485068567772E-2"/>
          <c:w val="0.83095464744716707"/>
          <c:h val="0.73244360173133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CŠT prieš renovaciją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DC-4721-8674-76DCC381C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Sheet1!$C$36</c:f>
              <c:numCache>
                <c:formatCode>0.00</c:formatCode>
                <c:ptCount val="1"/>
                <c:pt idx="0">
                  <c:v>6.298317931920578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C-4721-8674-76DCC381CED1}"/>
            </c:ext>
          </c:extLst>
        </c:ser>
        <c:ser>
          <c:idx val="3"/>
          <c:order val="1"/>
          <c:tx>
            <c:strRef>
              <c:f>Sheet1!$D$23</c:f>
              <c:strCache>
                <c:ptCount val="1"/>
                <c:pt idx="0">
                  <c:v>CŠT po renovacijos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Sheet1!$D$36</c:f>
              <c:numCache>
                <c:formatCode>0.00</c:formatCode>
                <c:ptCount val="1"/>
                <c:pt idx="0">
                  <c:v>6.298317931920578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C-4721-8674-76DCC381CED1}"/>
            </c:ext>
          </c:extLst>
        </c:ser>
        <c:ser>
          <c:idx val="1"/>
          <c:order val="2"/>
          <c:tx>
            <c:strRef>
              <c:f>Sheet1!$E$23</c:f>
              <c:strCache>
                <c:ptCount val="1"/>
                <c:pt idx="0">
                  <c:v>Dujinis šildymas prieš renovaciją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Sheet1!$E$36</c:f>
              <c:numCache>
                <c:formatCode>0.00</c:formatCode>
                <c:ptCount val="1"/>
                <c:pt idx="0">
                  <c:v>7.8393419575850753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C-4721-8674-76DCC381CED1}"/>
            </c:ext>
          </c:extLst>
        </c:ser>
        <c:ser>
          <c:idx val="2"/>
          <c:order val="3"/>
          <c:tx>
            <c:strRef>
              <c:f>Sheet1!$F$23</c:f>
              <c:strCache>
                <c:ptCount val="1"/>
                <c:pt idx="0">
                  <c:v>Dujinis šildymas po renovacijos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Sheet1!$F$36</c:f>
              <c:numCache>
                <c:formatCode>0.00</c:formatCode>
                <c:ptCount val="1"/>
                <c:pt idx="0">
                  <c:v>9.3294951196883105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DC-4721-8674-76DCC381CE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44688"/>
        <c:axId val="1128156240"/>
      </c:barChart>
      <c:catAx>
        <c:axId val="119664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8156240"/>
        <c:crosses val="autoZero"/>
        <c:auto val="1"/>
        <c:lblAlgn val="ctr"/>
        <c:lblOffset val="100"/>
        <c:noMultiLvlLbl val="0"/>
      </c:catAx>
      <c:valAx>
        <c:axId val="11281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t-LT" sz="1400" b="1"/>
                  <a:t>Šilumos kaina, ct/kWh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64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91893112095422"/>
          <c:y val="0.89040172297850884"/>
          <c:w val="0.71422267965534803"/>
          <c:h val="5.1908778397519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Šilumos kainų palyginimas</a:t>
            </a:r>
            <a:endParaRPr lang="en-US" b="1"/>
          </a:p>
        </c:rich>
      </c:tx>
      <c:layout>
        <c:manualLayout>
          <c:xMode val="edge"/>
          <c:yMode val="edge"/>
          <c:x val="0.4201847221131203"/>
          <c:y val="1.8765040352224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646618938927153E-2"/>
          <c:y val="7.9474132317996354E-2"/>
          <c:w val="0.65988551723048106"/>
          <c:h val="0.790541598794571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Kuro suvartojimo dedamoji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Sheet1!$C$30:$F$30</c:f>
              <c:numCache>
                <c:formatCode>General</c:formatCode>
                <c:ptCount val="4"/>
                <c:pt idx="2" formatCode="0.00">
                  <c:v>5.3801169590643276</c:v>
                </c:pt>
                <c:pt idx="3" formatCode="0.00">
                  <c:v>5.3801169590643276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F-4A61-8824-8B6AEC185118}"/>
            </c:ext>
          </c:extLst>
        </c:ser>
        <c:ser>
          <c:idx val="1"/>
          <c:order val="1"/>
          <c:tx>
            <c:strRef>
              <c:f>Sheet1!$B$31</c:f>
              <c:strCache>
                <c:ptCount val="1"/>
                <c:pt idx="0">
                  <c:v>Abonentinis mokestis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Sheet1!$C$31:$F$31</c:f>
              <c:numCache>
                <c:formatCode>General</c:formatCode>
                <c:ptCount val="4"/>
                <c:pt idx="2" formatCode="0.00">
                  <c:v>0.52614050362205533</c:v>
                </c:pt>
                <c:pt idx="3" formatCode="0.00">
                  <c:v>0.85360761121110829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F-4A61-8824-8B6AEC185118}"/>
            </c:ext>
          </c:extLst>
        </c:ser>
        <c:ser>
          <c:idx val="2"/>
          <c:order val="2"/>
          <c:tx>
            <c:strRef>
              <c:f>Sheet1!$B$32</c:f>
              <c:strCache>
                <c:ptCount val="1"/>
                <c:pt idx="0">
                  <c:v>Elektros suvartojimo dedamoji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Sheet1!$C$32:$F$32</c:f>
              <c:numCache>
                <c:formatCode>General</c:formatCode>
                <c:ptCount val="4"/>
                <c:pt idx="2" formatCode="0.00">
                  <c:v>6.4999999999999988E-2</c:v>
                </c:pt>
                <c:pt idx="3" formatCode="0.00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F-4A61-8824-8B6AEC185118}"/>
            </c:ext>
          </c:extLst>
        </c:ser>
        <c:ser>
          <c:idx val="3"/>
          <c:order val="3"/>
          <c:tx>
            <c:strRef>
              <c:f>Sheet1!$B$33</c:f>
              <c:strCache>
                <c:ptCount val="1"/>
                <c:pt idx="0">
                  <c:v>Amortizacija (katilo įsigijimo kaštai)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Sheet1!$C$33:$F$33</c:f>
              <c:numCache>
                <c:formatCode>General</c:formatCode>
                <c:ptCount val="4"/>
                <c:pt idx="2" formatCode="0.00">
                  <c:v>1.0988732322933485</c:v>
                </c:pt>
                <c:pt idx="3" formatCode="0.00">
                  <c:v>1.7828062055369847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AF-4A61-8824-8B6AEC185118}"/>
            </c:ext>
          </c:extLst>
        </c:ser>
        <c:ser>
          <c:idx val="4"/>
          <c:order val="4"/>
          <c:tx>
            <c:strRef>
              <c:f>Sheet1!$B$34</c:f>
              <c:strCache>
                <c:ptCount val="1"/>
                <c:pt idx="0">
                  <c:v>Eksploatacinių išlaidų dedamoji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Sheet1!$C$34:$F$34</c:f>
              <c:numCache>
                <c:formatCode>General</c:formatCode>
                <c:ptCount val="4"/>
                <c:pt idx="2" formatCode="0.00">
                  <c:v>0.3296619696880046</c:v>
                </c:pt>
                <c:pt idx="3" formatCode="0.00">
                  <c:v>0.53484186166109537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AF-4A61-8824-8B6AEC185118}"/>
            </c:ext>
          </c:extLst>
        </c:ser>
        <c:ser>
          <c:idx val="5"/>
          <c:order val="5"/>
          <c:tx>
            <c:strRef>
              <c:f>Sheet1!$B$35</c:f>
              <c:strCache>
                <c:ptCount val="1"/>
                <c:pt idx="0">
                  <c:v>Patalpų ir šildymo sistemos rekonstrukcija pritaikant dujiniam šildymui ir karšto vandens ruošimui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Sheet1!$C$35:$F$35</c:f>
              <c:numCache>
                <c:formatCode>General</c:formatCode>
                <c:ptCount val="4"/>
                <c:pt idx="2" formatCode="0.00">
                  <c:v>0.43954929291733946</c:v>
                </c:pt>
                <c:pt idx="3" formatCode="0.00">
                  <c:v>0.71312248221479391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AF-4A61-8824-8B6AEC185118}"/>
            </c:ext>
          </c:extLst>
        </c:ser>
        <c:ser>
          <c:idx val="6"/>
          <c:order val="6"/>
          <c:tx>
            <c:v>CŠT faktinė kaina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Sheet1!$C$29:$F$29</c:f>
              <c:strCache>
                <c:ptCount val="4"/>
                <c:pt idx="0">
                  <c:v>CŠT prieš renovaciją</c:v>
                </c:pt>
                <c:pt idx="1">
                  <c:v>CŠT po renovacijos</c:v>
                </c:pt>
                <c:pt idx="2">
                  <c:v>Dujinis šildymas prieš renovaciją</c:v>
                </c:pt>
                <c:pt idx="3">
                  <c:v>Dujinis šildymas po renovacijos</c:v>
                </c:pt>
              </c:strCache>
            </c:strRef>
          </c:cat>
          <c:val>
            <c:numRef>
              <c:f>Sheet1!$C$37:$F$37</c:f>
              <c:numCache>
                <c:formatCode>0.00</c:formatCode>
                <c:ptCount val="4"/>
                <c:pt idx="0">
                  <c:v>6.298317931920578</c:v>
                </c:pt>
                <c:pt idx="1">
                  <c:v>6.298317931920578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AF-4A61-8824-8B6AEC185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849104"/>
        <c:axId val="1190248416"/>
      </c:barChart>
      <c:catAx>
        <c:axId val="12918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248416"/>
        <c:crosses val="autoZero"/>
        <c:auto val="1"/>
        <c:lblAlgn val="ctr"/>
        <c:lblOffset val="100"/>
        <c:noMultiLvlLbl val="0"/>
      </c:catAx>
      <c:valAx>
        <c:axId val="11902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t-LT" sz="1400"/>
                  <a:t>Šilumos kaina,</a:t>
                </a:r>
                <a:r>
                  <a:rPr lang="lt-LT" sz="1400" baseline="0"/>
                  <a:t> </a:t>
                </a:r>
                <a:r>
                  <a:rPr lang="lt-LT" sz="1400"/>
                  <a:t>ct/kWh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84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8104738032426"/>
          <c:y val="9.1465534875886434E-2"/>
          <c:w val="0.25055453197114036"/>
          <c:h val="0.86876575374697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74221</xdr:colOff>
      <xdr:row>63</xdr:row>
      <xdr:rowOff>110660</xdr:rowOff>
    </xdr:from>
    <xdr:to>
      <xdr:col>4</xdr:col>
      <xdr:colOff>992083</xdr:colOff>
      <xdr:row>96</xdr:row>
      <xdr:rowOff>90621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F38A98-F299-41E8-8FA8-B0BD56B8E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1035380</xdr:colOff>
      <xdr:row>63</xdr:row>
      <xdr:rowOff>116597</xdr:rowOff>
    </xdr:from>
    <xdr:to>
      <xdr:col>12</xdr:col>
      <xdr:colOff>1061357</xdr:colOff>
      <xdr:row>96</xdr:row>
      <xdr:rowOff>107937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D2E951-2F18-4BBD-AAD0-ACF5DDA53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68036</xdr:colOff>
      <xdr:row>39</xdr:row>
      <xdr:rowOff>176930</xdr:rowOff>
    </xdr:from>
    <xdr:to>
      <xdr:col>4</xdr:col>
      <xdr:colOff>994557</xdr:colOff>
      <xdr:row>63</xdr:row>
      <xdr:rowOff>77042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5792262-B36E-453B-9E49-41190A394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1034966</xdr:colOff>
      <xdr:row>39</xdr:row>
      <xdr:rowOff>190784</xdr:rowOff>
    </xdr:from>
    <xdr:to>
      <xdr:col>15</xdr:col>
      <xdr:colOff>1020534</xdr:colOff>
      <xdr:row>63</xdr:row>
      <xdr:rowOff>77041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DFF8E14-2F29-4160-B7C0-FFF2B4D00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9B9556-349F-4C16-A366-159D3D58528B}" name="Table1" displayName="Table1" ref="V21:V23" totalsRowShown="0" headerRowDxfId="2" dataDxfId="1">
  <autoFilter ref="V21:V23" xr:uid="{0194670A-97C6-4AA8-9C74-3FE41694E637}"/>
  <tableColumns count="1">
    <tableColumn id="1" xr3:uid="{76EE5034-A85E-47D4-8B51-6D8F7F13D49C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993EB-3F8C-4B10-A594-B7152FB24594}">
  <sheetPr codeName="Sheet1"/>
  <dimension ref="A1:BC46"/>
  <sheetViews>
    <sheetView tabSelected="1" topLeftCell="A6" zoomScale="70" zoomScaleNormal="70" workbookViewId="0">
      <selection activeCell="L24" sqref="L24"/>
    </sheetView>
  </sheetViews>
  <sheetFormatPr defaultRowHeight="15" x14ac:dyDescent="0.25"/>
  <cols>
    <col min="1" max="1" width="5.5703125" style="1" customWidth="1"/>
    <col min="2" max="2" width="86.28515625" style="1" bestFit="1" customWidth="1"/>
    <col min="3" max="3" width="22.42578125" style="1" customWidth="1"/>
    <col min="4" max="5" width="18.5703125" style="1" customWidth="1"/>
    <col min="6" max="16" width="17.140625" style="1" customWidth="1"/>
    <col min="17" max="17" width="9.140625" style="1"/>
    <col min="18" max="18" width="9.140625" style="1" customWidth="1"/>
    <col min="19" max="21" width="9.140625" style="1"/>
    <col min="22" max="22" width="9.140625" style="1" hidden="1" customWidth="1"/>
    <col min="23" max="16384" width="9.140625" style="1"/>
  </cols>
  <sheetData>
    <row r="1" spans="1:53" ht="35.25" customHeight="1" x14ac:dyDescent="0.25">
      <c r="B1" s="134" t="s">
        <v>55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4"/>
      <c r="R1" s="4"/>
      <c r="S1" s="5"/>
      <c r="T1" s="5"/>
      <c r="U1" s="5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30" customHeight="1" thickBot="1" x14ac:dyDescent="0.3">
      <c r="A2" s="3"/>
      <c r="B2" s="140" t="s">
        <v>56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4"/>
      <c r="R2" s="4"/>
      <c r="S2" s="5"/>
      <c r="T2" s="5"/>
      <c r="U2" s="5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54" customHeight="1" thickBot="1" x14ac:dyDescent="0.3">
      <c r="B3" s="137" t="s">
        <v>54</v>
      </c>
      <c r="C3" s="138"/>
      <c r="D3" s="139"/>
      <c r="E3" s="8"/>
      <c r="F3" s="137" t="s">
        <v>46</v>
      </c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6"/>
      <c r="R3" s="5"/>
      <c r="S3" s="5"/>
      <c r="T3" s="5"/>
      <c r="U3" s="5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8" customFormat="1" ht="60.75" customHeight="1" thickBot="1" x14ac:dyDescent="0.3">
      <c r="A4" s="54"/>
      <c r="B4" s="12" t="s">
        <v>22</v>
      </c>
      <c r="C4" s="17" t="s">
        <v>21</v>
      </c>
      <c r="D4" s="9" t="s">
        <v>42</v>
      </c>
      <c r="E4" s="66"/>
      <c r="F4" s="51" t="s">
        <v>39</v>
      </c>
      <c r="G4" s="52" t="s">
        <v>1</v>
      </c>
      <c r="H4" s="52" t="s">
        <v>2</v>
      </c>
      <c r="I4" s="52" t="s">
        <v>3</v>
      </c>
      <c r="J4" s="52" t="s">
        <v>49</v>
      </c>
      <c r="K4" s="52" t="s">
        <v>4</v>
      </c>
      <c r="L4" s="52" t="s">
        <v>45</v>
      </c>
      <c r="M4" s="52" t="s">
        <v>14</v>
      </c>
      <c r="N4" s="52" t="s">
        <v>6</v>
      </c>
      <c r="O4" s="52" t="s">
        <v>5</v>
      </c>
      <c r="P4" s="53" t="s">
        <v>40</v>
      </c>
      <c r="Q4" s="10"/>
      <c r="R4" s="10"/>
      <c r="S4" s="10"/>
      <c r="T4" s="10"/>
      <c r="U4" s="1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3" s="8" customFormat="1" ht="24.75" customHeight="1" x14ac:dyDescent="0.25">
      <c r="B5" s="13" t="s">
        <v>50</v>
      </c>
      <c r="C5" s="56">
        <v>26</v>
      </c>
      <c r="D5" s="88"/>
      <c r="F5" s="95" t="s">
        <v>38</v>
      </c>
      <c r="G5" s="96" t="s">
        <v>7</v>
      </c>
      <c r="H5" s="96" t="s">
        <v>7</v>
      </c>
      <c r="I5" s="96" t="s">
        <v>7</v>
      </c>
      <c r="J5" s="96" t="s">
        <v>7</v>
      </c>
      <c r="K5" s="96" t="s">
        <v>7</v>
      </c>
      <c r="L5" s="96" t="s">
        <v>7</v>
      </c>
      <c r="M5" s="96" t="s">
        <v>15</v>
      </c>
      <c r="N5" s="97"/>
      <c r="O5" s="97" t="s">
        <v>48</v>
      </c>
      <c r="P5" s="98" t="s">
        <v>44</v>
      </c>
      <c r="Q5" s="10"/>
      <c r="R5" s="10"/>
      <c r="S5" s="10"/>
      <c r="T5" s="10"/>
      <c r="U5" s="10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8" customFormat="1" ht="24.75" customHeight="1" x14ac:dyDescent="0.25">
      <c r="B6" s="14" t="s">
        <v>37</v>
      </c>
      <c r="C6" s="57">
        <v>50</v>
      </c>
      <c r="D6" s="89" t="s">
        <v>12</v>
      </c>
      <c r="F6" s="14">
        <v>1</v>
      </c>
      <c r="G6" s="32">
        <v>22.67</v>
      </c>
      <c r="H6" s="32">
        <v>4.976</v>
      </c>
      <c r="I6" s="32">
        <v>5.43</v>
      </c>
      <c r="J6" s="32">
        <v>2.1419999999999999</v>
      </c>
      <c r="K6" s="32">
        <v>0.45900000000000002</v>
      </c>
      <c r="L6" s="103">
        <f>SUM(G6:K6)</f>
        <v>35.677000000000007</v>
      </c>
      <c r="M6" s="34">
        <v>6.2347999999999999</v>
      </c>
      <c r="N6" s="32">
        <v>610.69999999999993</v>
      </c>
      <c r="O6" s="33">
        <f t="shared" ref="O6:O17" si="0">18-(N6/P6)</f>
        <v>-1.6999999999999993</v>
      </c>
      <c r="P6" s="35">
        <v>31</v>
      </c>
      <c r="Q6" s="11">
        <f t="shared" ref="Q6:Q17" si="1">L6/$L$18</f>
        <v>0.15078653964819155</v>
      </c>
      <c r="R6" s="11">
        <f t="shared" ref="R6:R17" si="2">Q6*M6</f>
        <v>0.94012391739854473</v>
      </c>
      <c r="S6" s="10">
        <f>(G6*($C$6/100)+I6+J6+K6)*1000</f>
        <v>19366</v>
      </c>
      <c r="T6" s="10"/>
      <c r="U6" s="10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s="8" customFormat="1" ht="24.75" customHeight="1" x14ac:dyDescent="0.25">
      <c r="B7" s="13" t="s">
        <v>10</v>
      </c>
      <c r="C7" s="58">
        <v>3.99</v>
      </c>
      <c r="D7" s="88" t="s">
        <v>11</v>
      </c>
      <c r="F7" s="13">
        <v>2</v>
      </c>
      <c r="G7" s="36">
        <v>22.850999999999999</v>
      </c>
      <c r="H7" s="36">
        <v>5.016</v>
      </c>
      <c r="I7" s="36">
        <v>5.43</v>
      </c>
      <c r="J7" s="36">
        <v>1.508</v>
      </c>
      <c r="K7" s="36">
        <v>0.53200000000000003</v>
      </c>
      <c r="L7" s="104">
        <f t="shared" ref="L7:L17" si="3">SUM(G7:K7)</f>
        <v>35.337000000000003</v>
      </c>
      <c r="M7" s="37">
        <v>6.2239000000000004</v>
      </c>
      <c r="N7" s="36">
        <v>694.4</v>
      </c>
      <c r="O7" s="30">
        <f t="shared" si="0"/>
        <v>-6.8000000000000007</v>
      </c>
      <c r="P7" s="73">
        <v>28</v>
      </c>
      <c r="Q7" s="11">
        <f t="shared" si="1"/>
        <v>0.14934955157519256</v>
      </c>
      <c r="R7" s="11">
        <f t="shared" si="2"/>
        <v>0.92953667404884099</v>
      </c>
      <c r="S7" s="10">
        <f t="shared" ref="S7:S17" si="4">(G7*($C$6/100)+I7+J7+K7)*1000</f>
        <v>18895.5</v>
      </c>
      <c r="T7" s="10"/>
      <c r="U7" s="1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s="8" customFormat="1" ht="24.75" customHeight="1" x14ac:dyDescent="0.25">
      <c r="B8" s="14" t="s">
        <v>52</v>
      </c>
      <c r="C8" s="57">
        <v>10</v>
      </c>
      <c r="D8" s="89" t="s">
        <v>51</v>
      </c>
      <c r="F8" s="14">
        <v>3</v>
      </c>
      <c r="G8" s="32">
        <v>27.658000000000001</v>
      </c>
      <c r="H8" s="32">
        <v>6.0709999999999997</v>
      </c>
      <c r="I8" s="32">
        <v>5.43</v>
      </c>
      <c r="J8" s="32">
        <v>3.2410000000000001</v>
      </c>
      <c r="K8" s="32">
        <v>-0.58899999999999997</v>
      </c>
      <c r="L8" s="103">
        <f t="shared" si="3"/>
        <v>41.811</v>
      </c>
      <c r="M8" s="34">
        <v>6.158500000000001</v>
      </c>
      <c r="N8" s="32">
        <v>623.1</v>
      </c>
      <c r="O8" s="33">
        <f t="shared" si="0"/>
        <v>-2.1000000000000014</v>
      </c>
      <c r="P8" s="35">
        <v>31</v>
      </c>
      <c r="Q8" s="11">
        <f t="shared" si="1"/>
        <v>0.17671149505929692</v>
      </c>
      <c r="R8" s="11">
        <f t="shared" si="2"/>
        <v>1.0882777423226804</v>
      </c>
      <c r="S8" s="10">
        <f t="shared" si="4"/>
        <v>21911</v>
      </c>
      <c r="T8" s="10"/>
      <c r="U8" s="10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s="8" customFormat="1" ht="24.75" customHeight="1" x14ac:dyDescent="0.25">
      <c r="B9" s="13" t="s">
        <v>53</v>
      </c>
      <c r="C9" s="58">
        <v>25</v>
      </c>
      <c r="D9" s="88" t="s">
        <v>51</v>
      </c>
      <c r="F9" s="13">
        <v>4</v>
      </c>
      <c r="G9" s="36">
        <v>3.3559999999999999</v>
      </c>
      <c r="H9" s="36">
        <v>0.73699999999999999</v>
      </c>
      <c r="I9" s="36">
        <v>5.43</v>
      </c>
      <c r="J9" s="36">
        <v>1.704</v>
      </c>
      <c r="K9" s="36">
        <v>0.38700000000000001</v>
      </c>
      <c r="L9" s="104">
        <f t="shared" si="3"/>
        <v>11.614000000000001</v>
      </c>
      <c r="M9" s="37">
        <v>6.1040000000000001</v>
      </c>
      <c r="N9" s="36">
        <v>237</v>
      </c>
      <c r="O9" s="30">
        <f t="shared" si="0"/>
        <v>10.1</v>
      </c>
      <c r="P9" s="31">
        <v>30</v>
      </c>
      <c r="Q9" s="11">
        <f t="shared" si="1"/>
        <v>4.9085821999442121E-2</v>
      </c>
      <c r="R9" s="11">
        <f t="shared" si="2"/>
        <v>0.29961985748459469</v>
      </c>
      <c r="S9" s="10">
        <f t="shared" si="4"/>
        <v>9199</v>
      </c>
      <c r="T9" s="10"/>
      <c r="U9" s="10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8" customFormat="1" ht="24.75" customHeight="1" x14ac:dyDescent="0.25">
      <c r="B10" s="14" t="s">
        <v>77</v>
      </c>
      <c r="C10" s="57">
        <v>1000</v>
      </c>
      <c r="D10" s="89" t="s">
        <v>13</v>
      </c>
      <c r="F10" s="14">
        <v>5</v>
      </c>
      <c r="G10" s="32"/>
      <c r="H10" s="32"/>
      <c r="I10" s="32">
        <v>5.218</v>
      </c>
      <c r="J10" s="32">
        <v>3.254</v>
      </c>
      <c r="K10" s="32">
        <v>-1.4179999999999999</v>
      </c>
      <c r="L10" s="103">
        <f>SUM(G10:K10)</f>
        <v>7.0539999999999994</v>
      </c>
      <c r="M10" s="34">
        <v>6.0713000000000008</v>
      </c>
      <c r="N10" s="32">
        <v>43.399999999999956</v>
      </c>
      <c r="O10" s="33">
        <f t="shared" si="0"/>
        <v>16.600000000000001</v>
      </c>
      <c r="P10" s="35">
        <v>31</v>
      </c>
      <c r="Q10" s="11">
        <f t="shared" si="1"/>
        <v>2.9813276079220311E-2</v>
      </c>
      <c r="R10" s="11">
        <f t="shared" si="2"/>
        <v>0.18100534305977029</v>
      </c>
      <c r="S10" s="10">
        <f t="shared" si="4"/>
        <v>7053.9999999999991</v>
      </c>
      <c r="T10" s="10"/>
      <c r="U10" s="10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 s="8" customFormat="1" ht="24.75" customHeight="1" x14ac:dyDescent="0.25">
      <c r="B11" s="13" t="str">
        <f>IF(C5=V23,"Išlaidos buto šildymo sistemos pritaikymui","Išlaidos namo šildymo sistemos pritaikymui")</f>
        <v>Išlaidos namo šildymo sistemos pritaikymui</v>
      </c>
      <c r="C11" s="58">
        <v>10000</v>
      </c>
      <c r="D11" s="88" t="s">
        <v>13</v>
      </c>
      <c r="F11" s="13">
        <v>6</v>
      </c>
      <c r="G11" s="36"/>
      <c r="H11" s="36"/>
      <c r="I11" s="36">
        <v>5.09</v>
      </c>
      <c r="J11" s="36">
        <v>1.4279999999999999</v>
      </c>
      <c r="K11" s="36">
        <v>0.255</v>
      </c>
      <c r="L11" s="104">
        <f t="shared" si="3"/>
        <v>6.7729999999999997</v>
      </c>
      <c r="M11" s="37">
        <v>5.9296000000000006</v>
      </c>
      <c r="N11" s="36">
        <v>20.999999999999979</v>
      </c>
      <c r="O11" s="30">
        <f t="shared" si="0"/>
        <v>17.3</v>
      </c>
      <c r="P11" s="31">
        <v>30</v>
      </c>
      <c r="Q11" s="11">
        <f t="shared" si="1"/>
        <v>2.8625647701241728E-2</v>
      </c>
      <c r="R11" s="11">
        <f t="shared" si="2"/>
        <v>0.16973864060928298</v>
      </c>
      <c r="S11" s="10">
        <f t="shared" si="4"/>
        <v>6773</v>
      </c>
      <c r="T11" s="10"/>
      <c r="U11" s="10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</row>
    <row r="12" spans="1:53" s="8" customFormat="1" ht="24.75" customHeight="1" x14ac:dyDescent="0.25">
      <c r="B12" s="14" t="s">
        <v>16</v>
      </c>
      <c r="C12" s="59">
        <v>90</v>
      </c>
      <c r="D12" s="89" t="s">
        <v>12</v>
      </c>
      <c r="F12" s="14">
        <v>7</v>
      </c>
      <c r="G12" s="32"/>
      <c r="H12" s="32"/>
      <c r="I12" s="32">
        <v>5.2430000000000003</v>
      </c>
      <c r="J12" s="32">
        <v>1.6930000000000001</v>
      </c>
      <c r="K12" s="32">
        <v>-0.01</v>
      </c>
      <c r="L12" s="103">
        <f>SUM(G12:K12)</f>
        <v>6.9260000000000002</v>
      </c>
      <c r="M12" s="34">
        <v>5.8533000000000008</v>
      </c>
      <c r="N12" s="32">
        <v>-55.800000000000026</v>
      </c>
      <c r="O12" s="33">
        <f t="shared" si="0"/>
        <v>19.8</v>
      </c>
      <c r="P12" s="35">
        <v>31</v>
      </c>
      <c r="Q12" s="11">
        <f t="shared" si="1"/>
        <v>2.9272292334091277E-2</v>
      </c>
      <c r="R12" s="11">
        <f t="shared" si="2"/>
        <v>0.1713395087191365</v>
      </c>
      <c r="S12" s="10">
        <f t="shared" si="4"/>
        <v>6926</v>
      </c>
      <c r="T12" s="10"/>
      <c r="U12" s="1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spans="1:53" s="8" customFormat="1" ht="24.75" customHeight="1" x14ac:dyDescent="0.25">
      <c r="B13" s="13" t="s">
        <v>17</v>
      </c>
      <c r="C13" s="60">
        <v>9.5</v>
      </c>
      <c r="D13" s="88" t="s">
        <v>18</v>
      </c>
      <c r="F13" s="13">
        <v>8</v>
      </c>
      <c r="G13" s="36"/>
      <c r="H13" s="36"/>
      <c r="I13" s="36">
        <v>1.7270000000000001</v>
      </c>
      <c r="J13" s="36">
        <v>1.64</v>
      </c>
      <c r="K13" s="36">
        <v>1.369</v>
      </c>
      <c r="L13" s="104">
        <f t="shared" si="3"/>
        <v>4.7359999999999998</v>
      </c>
      <c r="M13" s="37">
        <v>5.8315000000000001</v>
      </c>
      <c r="N13" s="36">
        <v>-34.100000000000044</v>
      </c>
      <c r="O13" s="30">
        <f t="shared" si="0"/>
        <v>19.100000000000001</v>
      </c>
      <c r="P13" s="31">
        <v>31</v>
      </c>
      <c r="Q13" s="11">
        <f t="shared" si="1"/>
        <v>2.0016398569774226E-2</v>
      </c>
      <c r="R13" s="11">
        <f t="shared" si="2"/>
        <v>0.11672562825963839</v>
      </c>
      <c r="S13" s="10">
        <f t="shared" si="4"/>
        <v>4736</v>
      </c>
      <c r="T13" s="10"/>
      <c r="U13" s="10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1:53" s="8" customFormat="1" ht="24.75" customHeight="1" x14ac:dyDescent="0.25">
      <c r="B14" s="14" t="s">
        <v>19</v>
      </c>
      <c r="C14" s="59">
        <v>0.46</v>
      </c>
      <c r="D14" s="89" t="s">
        <v>67</v>
      </c>
      <c r="F14" s="14">
        <v>9</v>
      </c>
      <c r="G14" s="32"/>
      <c r="H14" s="32"/>
      <c r="I14" s="32">
        <v>6.0049999999999999</v>
      </c>
      <c r="J14" s="32">
        <v>1.5529999999999999</v>
      </c>
      <c r="K14" s="32">
        <v>0.23200000000000001</v>
      </c>
      <c r="L14" s="103">
        <f t="shared" si="3"/>
        <v>7.79</v>
      </c>
      <c r="M14" s="34">
        <v>6.0277000000000003</v>
      </c>
      <c r="N14" s="32">
        <v>102.00000000000001</v>
      </c>
      <c r="O14" s="33">
        <f t="shared" si="0"/>
        <v>14.6</v>
      </c>
      <c r="P14" s="35">
        <v>30</v>
      </c>
      <c r="Q14" s="11">
        <f t="shared" si="1"/>
        <v>3.2923932613712251E-2</v>
      </c>
      <c r="R14" s="11">
        <f t="shared" si="2"/>
        <v>0.19845558861567333</v>
      </c>
      <c r="S14" s="10">
        <f t="shared" si="4"/>
        <v>7790</v>
      </c>
      <c r="T14" s="10"/>
      <c r="U14" s="1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s="8" customFormat="1" ht="24.75" customHeight="1" thickBot="1" x14ac:dyDescent="0.3">
      <c r="B15" s="64" t="s">
        <v>27</v>
      </c>
      <c r="C15" s="65">
        <v>13</v>
      </c>
      <c r="D15" s="90" t="s">
        <v>15</v>
      </c>
      <c r="F15" s="13">
        <v>10</v>
      </c>
      <c r="G15" s="36">
        <v>7.9480000000000004</v>
      </c>
      <c r="H15" s="36">
        <v>1.7450000000000001</v>
      </c>
      <c r="I15" s="36">
        <v>4.2560000000000002</v>
      </c>
      <c r="J15" s="36">
        <v>1.34</v>
      </c>
      <c r="K15" s="36">
        <v>0.39400000000000002</v>
      </c>
      <c r="L15" s="104">
        <f t="shared" si="3"/>
        <v>15.683000000000002</v>
      </c>
      <c r="M15" s="37">
        <v>6.0167999999999999</v>
      </c>
      <c r="N15" s="36">
        <v>310</v>
      </c>
      <c r="O15" s="30">
        <f t="shared" si="0"/>
        <v>8</v>
      </c>
      <c r="P15" s="31">
        <v>31</v>
      </c>
      <c r="Q15" s="11">
        <f t="shared" si="1"/>
        <v>6.6283188084833036E-2</v>
      </c>
      <c r="R15" s="11">
        <f t="shared" si="2"/>
        <v>0.39881268606882342</v>
      </c>
      <c r="S15" s="10">
        <f t="shared" si="4"/>
        <v>9964</v>
      </c>
      <c r="T15" s="10"/>
      <c r="U15" s="1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</row>
    <row r="16" spans="1:53" s="8" customFormat="1" ht="24.75" customHeight="1" thickBot="1" x14ac:dyDescent="0.3">
      <c r="D16" s="91"/>
      <c r="F16" s="14">
        <v>11</v>
      </c>
      <c r="G16" s="32">
        <v>17.931000000000001</v>
      </c>
      <c r="H16" s="32">
        <v>3.9359999999999999</v>
      </c>
      <c r="I16" s="32">
        <v>4.2560000000000002</v>
      </c>
      <c r="J16" s="32">
        <v>2.44</v>
      </c>
      <c r="K16" s="32">
        <v>-0.55300000000000005</v>
      </c>
      <c r="L16" s="103">
        <f t="shared" si="3"/>
        <v>28.01</v>
      </c>
      <c r="M16" s="34">
        <v>6.6708000000000007</v>
      </c>
      <c r="N16" s="32">
        <v>459</v>
      </c>
      <c r="O16" s="33">
        <f t="shared" si="0"/>
        <v>2.6999999999999993</v>
      </c>
      <c r="P16" s="35">
        <v>30</v>
      </c>
      <c r="Q16" s="11">
        <f t="shared" si="1"/>
        <v>0.11838245860206421</v>
      </c>
      <c r="R16" s="11">
        <f t="shared" si="2"/>
        <v>0.78970570484265001</v>
      </c>
      <c r="S16" s="10">
        <f t="shared" si="4"/>
        <v>15108.5</v>
      </c>
      <c r="T16" s="10"/>
      <c r="U16" s="10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2:55" s="2" customFormat="1" ht="24.75" customHeight="1" thickBot="1" x14ac:dyDescent="0.3">
      <c r="B17" s="61" t="s">
        <v>66</v>
      </c>
      <c r="C17" s="74">
        <f>IF(C4=V22,1000,AU25)</f>
        <v>1000</v>
      </c>
      <c r="D17" s="92" t="str">
        <f>IF(C4=V22,"Eur","Eur/kW")</f>
        <v>Eur</v>
      </c>
      <c r="E17" s="8"/>
      <c r="F17" s="38">
        <v>12</v>
      </c>
      <c r="G17" s="39">
        <v>23.739000000000001</v>
      </c>
      <c r="H17" s="39">
        <v>5.2110000000000003</v>
      </c>
      <c r="I17" s="39">
        <v>4.2560000000000002</v>
      </c>
      <c r="J17" s="39">
        <v>2.0099999999999998</v>
      </c>
      <c r="K17" s="39">
        <v>-2.1000000000000001E-2</v>
      </c>
      <c r="L17" s="105">
        <f t="shared" si="3"/>
        <v>35.195</v>
      </c>
      <c r="M17" s="41">
        <v>6.8234000000000004</v>
      </c>
      <c r="N17" s="39">
        <v>592.1</v>
      </c>
      <c r="O17" s="40">
        <f t="shared" si="0"/>
        <v>-1.1000000000000014</v>
      </c>
      <c r="P17" s="42">
        <v>31</v>
      </c>
      <c r="Q17" s="11">
        <f t="shared" si="1"/>
        <v>0.14874939773294002</v>
      </c>
      <c r="R17" s="11">
        <f t="shared" si="2"/>
        <v>1.014976640490943</v>
      </c>
      <c r="S17" s="10">
        <f t="shared" si="4"/>
        <v>18114.5</v>
      </c>
      <c r="T17" s="7"/>
      <c r="U17" s="7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2:55" ht="24.75" customHeight="1" thickBot="1" x14ac:dyDescent="0.3">
      <c r="B18" s="71" t="s">
        <v>19</v>
      </c>
      <c r="C18" s="72">
        <f>C14*100/C13</f>
        <v>4.8421052631578947</v>
      </c>
      <c r="D18" s="93" t="s">
        <v>15</v>
      </c>
      <c r="E18" s="2"/>
      <c r="F18" s="43" t="s">
        <v>0</v>
      </c>
      <c r="G18" s="44">
        <f t="shared" ref="G18:L18" si="5">SUM(G6:G17)</f>
        <v>126.15300000000001</v>
      </c>
      <c r="H18" s="44">
        <f t="shared" si="5"/>
        <v>27.692</v>
      </c>
      <c r="I18" s="44">
        <f t="shared" si="5"/>
        <v>57.771000000000001</v>
      </c>
      <c r="J18" s="44">
        <f t="shared" si="5"/>
        <v>23.953000000000003</v>
      </c>
      <c r="K18" s="44">
        <f t="shared" si="5"/>
        <v>1.0370000000000004</v>
      </c>
      <c r="L18" s="106">
        <f t="shared" si="5"/>
        <v>236.60599999999997</v>
      </c>
      <c r="M18" s="45">
        <f>SUM(R6:R17)</f>
        <v>6.298317931920578</v>
      </c>
      <c r="N18" s="44"/>
      <c r="O18" s="44"/>
      <c r="P18" s="46"/>
      <c r="Q18" s="5"/>
      <c r="R18" s="5"/>
      <c r="S18" s="5">
        <f>SUM(S6:S17)</f>
        <v>145837.5</v>
      </c>
      <c r="T18" s="5"/>
      <c r="U18" s="5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2:55" ht="24.75" customHeight="1" thickBot="1" x14ac:dyDescent="0.3">
      <c r="B19" s="62" t="s">
        <v>61</v>
      </c>
      <c r="C19" s="63">
        <v>5</v>
      </c>
      <c r="D19" s="94" t="s">
        <v>60</v>
      </c>
      <c r="G19" s="5">
        <f t="shared" ref="G19:L19" si="6">MAX(G6:G17)</f>
        <v>27.658000000000001</v>
      </c>
      <c r="H19" s="5">
        <f t="shared" si="6"/>
        <v>6.0709999999999997</v>
      </c>
      <c r="I19" s="5">
        <f t="shared" si="6"/>
        <v>6.0049999999999999</v>
      </c>
      <c r="J19" s="5">
        <f t="shared" si="6"/>
        <v>3.254</v>
      </c>
      <c r="K19" s="5">
        <f t="shared" si="6"/>
        <v>1.369</v>
      </c>
      <c r="L19" s="5">
        <f t="shared" si="6"/>
        <v>41.811</v>
      </c>
      <c r="M19" s="5"/>
      <c r="N19" s="5"/>
      <c r="O19" s="5"/>
      <c r="P19" s="5"/>
      <c r="Q19" s="107"/>
      <c r="R19" s="107"/>
      <c r="S19" s="107"/>
      <c r="T19" s="107"/>
      <c r="U19" s="10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2:55" ht="28.5" customHeight="1" x14ac:dyDescent="0.25">
      <c r="G20" s="5"/>
      <c r="H20" s="47"/>
      <c r="I20" s="47"/>
      <c r="J20" s="47"/>
      <c r="K20" s="47"/>
      <c r="L20" s="47"/>
      <c r="M20" s="47"/>
      <c r="N20" s="47"/>
      <c r="O20" s="47"/>
      <c r="P20" s="47"/>
      <c r="Q20" s="5"/>
      <c r="R20" s="5"/>
      <c r="S20" s="5"/>
      <c r="T20" s="5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2:55" ht="16.5" customHeight="1" thickBot="1" x14ac:dyDescent="0.3">
      <c r="G21" s="19"/>
      <c r="H21" s="19"/>
      <c r="I21" s="19" t="s">
        <v>30</v>
      </c>
      <c r="J21" s="20">
        <v>-25</v>
      </c>
      <c r="K21" s="21" t="s">
        <v>48</v>
      </c>
      <c r="L21" s="19"/>
      <c r="M21" s="19"/>
      <c r="N21" s="19"/>
      <c r="O21" s="19" t="s">
        <v>24</v>
      </c>
      <c r="P21" s="19"/>
      <c r="Q21" s="19"/>
      <c r="R21" s="19"/>
      <c r="S21" s="19" t="s">
        <v>34</v>
      </c>
      <c r="T21" s="19"/>
      <c r="U21" s="5"/>
      <c r="V21" s="5" t="s">
        <v>20</v>
      </c>
      <c r="W21" s="5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2:55" s="8" customFormat="1" ht="70.5" customHeight="1" thickBot="1" x14ac:dyDescent="0.3">
      <c r="B22" s="128" t="s">
        <v>41</v>
      </c>
      <c r="C22" s="129"/>
      <c r="D22" s="129"/>
      <c r="E22" s="129"/>
      <c r="F22" s="129"/>
      <c r="G22" s="130"/>
      <c r="I22" s="125" t="s">
        <v>72</v>
      </c>
      <c r="J22" s="126"/>
      <c r="K22" s="126"/>
      <c r="L22" s="126"/>
      <c r="M22" s="127"/>
      <c r="V22" s="49" t="s">
        <v>21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25"/>
      <c r="AQ22" s="25" t="s">
        <v>31</v>
      </c>
      <c r="AR22" s="25">
        <f>(($G$6+$I$6+$H$6)/($P$6*24))*(18-$J$21)/(18-$O$6)*1000</f>
        <v>97.038098357076578</v>
      </c>
      <c r="AS22" s="25"/>
      <c r="AT22" s="25" t="s">
        <v>33</v>
      </c>
      <c r="AU22" s="25">
        <f>$J$6/(24*$P$6)*2.2*1000</f>
        <v>6.3338709677419365</v>
      </c>
      <c r="AV22" s="25"/>
      <c r="AW22" s="25" t="s">
        <v>26</v>
      </c>
      <c r="AX22" s="25"/>
      <c r="AY22" s="25"/>
      <c r="AZ22" s="25"/>
      <c r="BA22" s="25" t="s">
        <v>34</v>
      </c>
      <c r="BB22" s="25"/>
      <c r="BC22" s="10"/>
    </row>
    <row r="23" spans="2:55" s="8" customFormat="1" ht="51" customHeight="1" x14ac:dyDescent="0.25">
      <c r="B23" s="18"/>
      <c r="C23" s="109" t="s">
        <v>75</v>
      </c>
      <c r="D23" s="109" t="s">
        <v>73</v>
      </c>
      <c r="E23" s="110" t="s">
        <v>76</v>
      </c>
      <c r="F23" s="110" t="s">
        <v>74</v>
      </c>
      <c r="G23" s="111"/>
      <c r="I23" s="16" t="s">
        <v>39</v>
      </c>
      <c r="J23" s="109" t="s">
        <v>75</v>
      </c>
      <c r="K23" s="109" t="s">
        <v>73</v>
      </c>
      <c r="L23" s="110" t="s">
        <v>76</v>
      </c>
      <c r="M23" s="110" t="s">
        <v>74</v>
      </c>
      <c r="V23" s="49" t="s">
        <v>23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25"/>
      <c r="AQ23" s="25" t="s">
        <v>32</v>
      </c>
      <c r="AR23" s="25">
        <f>((($G$6/2)+$I$6)/($P$6*24))*(18-$J$21)/(18-$O$6)*1000</f>
        <v>49.185019922493318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10"/>
    </row>
    <row r="24" spans="2:55" s="8" customFormat="1" ht="51" customHeight="1" x14ac:dyDescent="0.25">
      <c r="B24" s="15" t="s">
        <v>58</v>
      </c>
      <c r="C24" s="108" t="s">
        <v>43</v>
      </c>
      <c r="D24" s="108" t="s">
        <v>47</v>
      </c>
      <c r="E24" s="108" t="s">
        <v>43</v>
      </c>
      <c r="F24" s="108" t="s">
        <v>47</v>
      </c>
      <c r="G24" s="24"/>
      <c r="I24" s="83" t="s">
        <v>38</v>
      </c>
      <c r="J24" s="84" t="s">
        <v>13</v>
      </c>
      <c r="K24" s="84" t="s">
        <v>13</v>
      </c>
      <c r="L24" s="84" t="s">
        <v>13</v>
      </c>
      <c r="M24" s="85" t="s">
        <v>13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10"/>
    </row>
    <row r="25" spans="2:55" ht="51" customHeight="1" x14ac:dyDescent="0.25">
      <c r="B25" s="16" t="s">
        <v>35</v>
      </c>
      <c r="C25" s="67" t="s">
        <v>71</v>
      </c>
      <c r="D25" s="67" t="s">
        <v>71</v>
      </c>
      <c r="E25" s="27">
        <f>$AR$22+$AU$22</f>
        <v>103.37196932481851</v>
      </c>
      <c r="F25" s="27">
        <f>$AR$23+$AU$22</f>
        <v>55.518890890235255</v>
      </c>
      <c r="G25" s="86" t="s">
        <v>25</v>
      </c>
      <c r="I25" s="82">
        <v>1</v>
      </c>
      <c r="J25" s="99">
        <f>($L6*1000/$C$5)*M6/100</f>
        <v>85.553446000000022</v>
      </c>
      <c r="K25" s="99">
        <f t="shared" ref="K25:K36" si="7">($S6/$C$5)*M6/100</f>
        <v>46.439668000000005</v>
      </c>
      <c r="L25" s="99">
        <f>($L6*1000/$C$5)*E$36/100</f>
        <v>107.57084731567801</v>
      </c>
      <c r="M25" s="100">
        <f t="shared" ref="M25:M36" si="8">($S6/$C$5)*F$36/100</f>
        <v>69.490385572263008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19"/>
      <c r="AQ25" s="19"/>
      <c r="AR25" s="19" t="s">
        <v>29</v>
      </c>
      <c r="AS25" s="19">
        <v>43.44</v>
      </c>
      <c r="AT25" s="19">
        <v>86.89</v>
      </c>
      <c r="AU25" s="19">
        <f>(AT25+AS25)/2</f>
        <v>65.164999999999992</v>
      </c>
      <c r="AV25" s="19">
        <f>AU25*1000</f>
        <v>65164.999999999993</v>
      </c>
      <c r="AW25" s="19"/>
      <c r="AX25" s="19"/>
      <c r="AY25" s="19"/>
      <c r="AZ25" s="19"/>
      <c r="BA25" s="19"/>
      <c r="BB25" s="19"/>
      <c r="BC25" s="5"/>
    </row>
    <row r="26" spans="2:55" s="8" customFormat="1" ht="51" customHeight="1" x14ac:dyDescent="0.25">
      <c r="B26" s="15" t="s">
        <v>57</v>
      </c>
      <c r="C26" s="55" t="s">
        <v>71</v>
      </c>
      <c r="D26" s="55" t="s">
        <v>71</v>
      </c>
      <c r="E26" s="23">
        <f>IF($C$4=$V$22,C5*10,IF($E$25&lt;100,CEILING(E25,25),CEILING(E25,25)))</f>
        <v>260</v>
      </c>
      <c r="F26" s="23">
        <f>IF($C$4=$V$22,10*C5,IF($F$25&lt;100,CEILING($F$25,25),CEILING($F$25,25)))</f>
        <v>260</v>
      </c>
      <c r="G26" s="85" t="s">
        <v>25</v>
      </c>
      <c r="I26" s="71">
        <v>2</v>
      </c>
      <c r="J26" s="101">
        <f t="shared" ref="J26:J35" si="9">($L7*1000/$C$5)*M7/100</f>
        <v>84.589982423076933</v>
      </c>
      <c r="K26" s="101">
        <f t="shared" si="7"/>
        <v>45.232193250000002</v>
      </c>
      <c r="L26" s="101">
        <f t="shared" ref="L26:L36" si="10">($L7*1000/$C$5)*E$36/100</f>
        <v>106.54570259814761</v>
      </c>
      <c r="M26" s="102">
        <f t="shared" si="8"/>
        <v>67.802105782334792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10"/>
    </row>
    <row r="27" spans="2:55" s="8" customFormat="1" ht="51" customHeight="1" thickBot="1" x14ac:dyDescent="0.3">
      <c r="B27" s="68" t="s">
        <v>36</v>
      </c>
      <c r="C27" s="124" t="s">
        <v>71</v>
      </c>
      <c r="D27" s="124" t="s">
        <v>71</v>
      </c>
      <c r="E27" s="69">
        <f>L18*1000</f>
        <v>236605.99999999997</v>
      </c>
      <c r="F27" s="70">
        <f>((G18*(1-(C6/100)))+I18+J18+K18)*1000</f>
        <v>145837.5</v>
      </c>
      <c r="G27" s="87" t="s">
        <v>28</v>
      </c>
      <c r="I27" s="82">
        <v>3</v>
      </c>
      <c r="J27" s="99">
        <f t="shared" si="9"/>
        <v>99.03578596153848</v>
      </c>
      <c r="K27" s="99">
        <f t="shared" si="7"/>
        <v>51.899574423076935</v>
      </c>
      <c r="L27" s="99">
        <f t="shared" si="10"/>
        <v>126.06566407253446</v>
      </c>
      <c r="M27" s="100">
        <f t="shared" si="8"/>
        <v>78.622525987496374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10"/>
    </row>
    <row r="28" spans="2:55" s="8" customFormat="1" ht="51" customHeight="1" thickBot="1" x14ac:dyDescent="0.3">
      <c r="B28" s="131" t="s">
        <v>59</v>
      </c>
      <c r="C28" s="132"/>
      <c r="D28" s="132"/>
      <c r="E28" s="132"/>
      <c r="F28" s="132"/>
      <c r="G28" s="133"/>
      <c r="I28" s="71">
        <v>4</v>
      </c>
      <c r="J28" s="101">
        <f t="shared" si="9"/>
        <v>27.266098461538462</v>
      </c>
      <c r="K28" s="101">
        <f t="shared" si="7"/>
        <v>21.596421538461541</v>
      </c>
      <c r="L28" s="101">
        <f t="shared" si="10"/>
        <v>35.017737498228101</v>
      </c>
      <c r="M28" s="102">
        <f t="shared" si="8"/>
        <v>33.008471386927994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10"/>
    </row>
    <row r="29" spans="2:55" s="8" customFormat="1" ht="51" customHeight="1" x14ac:dyDescent="0.25">
      <c r="B29" s="18" t="s">
        <v>68</v>
      </c>
      <c r="C29" s="109" t="s">
        <v>75</v>
      </c>
      <c r="D29" s="109" t="s">
        <v>73</v>
      </c>
      <c r="E29" s="110" t="s">
        <v>76</v>
      </c>
      <c r="F29" s="110" t="s">
        <v>74</v>
      </c>
      <c r="G29" s="111"/>
      <c r="I29" s="82">
        <v>5</v>
      </c>
      <c r="J29" s="99">
        <f t="shared" si="9"/>
        <v>16.471903923076923</v>
      </c>
      <c r="K29" s="99">
        <f t="shared" si="7"/>
        <v>16.471903923076923</v>
      </c>
      <c r="L29" s="99">
        <f t="shared" si="10"/>
        <v>21.268737757232735</v>
      </c>
      <c r="M29" s="100">
        <f t="shared" si="8"/>
        <v>25.311637913185127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10"/>
    </row>
    <row r="30" spans="2:55" s="8" customFormat="1" ht="51" customHeight="1" x14ac:dyDescent="0.25">
      <c r="B30" s="15" t="s">
        <v>65</v>
      </c>
      <c r="C30" s="22"/>
      <c r="D30" s="22"/>
      <c r="E30" s="28">
        <f>C18/(C12/100)</f>
        <v>5.3801169590643276</v>
      </c>
      <c r="F30" s="28">
        <f>C18/(C12/100)</f>
        <v>5.3801169590643276</v>
      </c>
      <c r="G30" s="85" t="s">
        <v>15</v>
      </c>
      <c r="I30" s="71">
        <v>6</v>
      </c>
      <c r="J30" s="101">
        <f t="shared" si="9"/>
        <v>15.446608000000001</v>
      </c>
      <c r="K30" s="101">
        <f t="shared" si="7"/>
        <v>15.446608000000001</v>
      </c>
      <c r="L30" s="101">
        <f t="shared" si="10"/>
        <v>20.421485799509121</v>
      </c>
      <c r="M30" s="102">
        <f t="shared" si="8"/>
        <v>24.303334786788049</v>
      </c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2:55" s="8" customFormat="1" ht="51" customHeight="1" x14ac:dyDescent="0.25">
      <c r="B31" s="16" t="s">
        <v>8</v>
      </c>
      <c r="C31" s="26"/>
      <c r="D31" s="26"/>
      <c r="E31" s="29">
        <f>IF($C$4=$V$22,$C$7*12*100*$C$5/E27,$C$7*12*100/E27)</f>
        <v>0.52614050362205533</v>
      </c>
      <c r="F31" s="29">
        <f>IF($C$4=$V$22,$C$7*12*100*$C$5/F27,$C$7*12*100/F27)</f>
        <v>0.85360761121110829</v>
      </c>
      <c r="G31" s="86" t="s">
        <v>15</v>
      </c>
      <c r="I31" s="82">
        <v>7</v>
      </c>
      <c r="J31" s="99">
        <f t="shared" si="9"/>
        <v>15.592290692307692</v>
      </c>
      <c r="K31" s="99">
        <f t="shared" si="7"/>
        <v>15.592290692307692</v>
      </c>
      <c r="L31" s="99">
        <f t="shared" si="10"/>
        <v>20.882800922397777</v>
      </c>
      <c r="M31" s="100">
        <f t="shared" si="8"/>
        <v>24.852339691908163</v>
      </c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</row>
    <row r="32" spans="2:55" s="8" customFormat="1" ht="51" customHeight="1" x14ac:dyDescent="0.25">
      <c r="B32" s="15" t="s">
        <v>64</v>
      </c>
      <c r="C32" s="22"/>
      <c r="D32" s="22"/>
      <c r="E32" s="28">
        <f>$C$19*(E27/1000)*$C$15/E27</f>
        <v>6.4999999999999988E-2</v>
      </c>
      <c r="F32" s="28">
        <f>$C$19*(F27/1000)*$C$15/F27</f>
        <v>6.5000000000000002E-2</v>
      </c>
      <c r="G32" s="85" t="s">
        <v>15</v>
      </c>
      <c r="I32" s="71">
        <v>8</v>
      </c>
      <c r="J32" s="101">
        <f t="shared" si="9"/>
        <v>10.622301538461539</v>
      </c>
      <c r="K32" s="101">
        <f t="shared" si="7"/>
        <v>10.622301538461539</v>
      </c>
      <c r="L32" s="101">
        <f t="shared" si="10"/>
        <v>14.279662888893432</v>
      </c>
      <c r="M32" s="102">
        <f t="shared" si="8"/>
        <v>16.994034187247632</v>
      </c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ht="51" customHeight="1" x14ac:dyDescent="0.25">
      <c r="B33" s="16" t="s">
        <v>62</v>
      </c>
      <c r="C33" s="26"/>
      <c r="D33" s="26"/>
      <c r="E33" s="29">
        <f>IF($C$4=$V$22,$C$5*C17*100/(E27*C8),($AU$25*$E$26)*100/(E27*C8))</f>
        <v>1.0988732322933485</v>
      </c>
      <c r="F33" s="29">
        <f>IF($C$4=$V$22,$C$5*C17*100/(F27*C8),($AU$25*$F$26)*100/(F27*C8))</f>
        <v>1.7828062055369847</v>
      </c>
      <c r="G33" s="86" t="s">
        <v>15</v>
      </c>
      <c r="I33" s="82">
        <v>9</v>
      </c>
      <c r="J33" s="99">
        <f t="shared" si="9"/>
        <v>18.05991653846154</v>
      </c>
      <c r="K33" s="99">
        <f t="shared" si="7"/>
        <v>18.05991653846154</v>
      </c>
      <c r="L33" s="99">
        <f t="shared" si="10"/>
        <v>23.487874557533747</v>
      </c>
      <c r="M33" s="100">
        <f t="shared" si="8"/>
        <v>27.952602685527673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2:53" ht="51" customHeight="1" x14ac:dyDescent="0.25">
      <c r="B34" s="15" t="s">
        <v>69</v>
      </c>
      <c r="C34" s="22"/>
      <c r="D34" s="22"/>
      <c r="E34" s="28">
        <f>IF($C$4=$V$22,30*100*$C$5/E27,0.35)</f>
        <v>0.3296619696880046</v>
      </c>
      <c r="F34" s="28">
        <f>IF($C$4=$V$22,30*100*$C$5/F27,0.35)</f>
        <v>0.53484186166109537</v>
      </c>
      <c r="G34" s="85" t="s">
        <v>15</v>
      </c>
      <c r="I34" s="71">
        <v>10</v>
      </c>
      <c r="J34" s="101">
        <f t="shared" si="9"/>
        <v>36.292874769230771</v>
      </c>
      <c r="K34" s="101">
        <f t="shared" si="7"/>
        <v>23.058228923076921</v>
      </c>
      <c r="L34" s="101">
        <f t="shared" si="10"/>
        <v>47.286307661848753</v>
      </c>
      <c r="M34" s="102">
        <f t="shared" si="8"/>
        <v>35.753495912528585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2:53" ht="51" customHeight="1" thickBot="1" x14ac:dyDescent="0.3">
      <c r="B35" s="112" t="s">
        <v>63</v>
      </c>
      <c r="C35" s="26"/>
      <c r="D35" s="26"/>
      <c r="E35" s="113">
        <f>IF($C$4=$V$22,(C10*C5*100/(E27*C9)),((C11+(C10*C5))*100/(E27*C9)))</f>
        <v>0.43954929291733946</v>
      </c>
      <c r="F35" s="113">
        <f>IF($C$4=$V$22,(C10*C5*100/(F27*C9)),(C11+(C10*C5))*100/(F27*C9))</f>
        <v>0.71312248221479391</v>
      </c>
      <c r="G35" s="87" t="s">
        <v>15</v>
      </c>
      <c r="I35" s="82">
        <v>11</v>
      </c>
      <c r="J35" s="99">
        <f t="shared" si="9"/>
        <v>71.865041538461554</v>
      </c>
      <c r="K35" s="99">
        <f t="shared" si="7"/>
        <v>38.763762230769231</v>
      </c>
      <c r="L35" s="99">
        <f t="shared" si="10"/>
        <v>84.453833935368451</v>
      </c>
      <c r="M35" s="100">
        <f t="shared" si="8"/>
        <v>54.213337313773401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2:53" ht="51" customHeight="1" thickBot="1" x14ac:dyDescent="0.3">
      <c r="B36" s="114" t="s">
        <v>9</v>
      </c>
      <c r="C36" s="115">
        <f>M18</f>
        <v>6.298317931920578</v>
      </c>
      <c r="D36" s="115">
        <f>M18</f>
        <v>6.298317931920578</v>
      </c>
      <c r="E36" s="116">
        <f>SUM(E30:E35)</f>
        <v>7.8393419575850753</v>
      </c>
      <c r="F36" s="116">
        <f>SUM(F30:F35)</f>
        <v>9.3294951196883105</v>
      </c>
      <c r="G36" s="117" t="s">
        <v>15</v>
      </c>
      <c r="I36" s="71">
        <v>12</v>
      </c>
      <c r="J36" s="101">
        <f>($L17*1000/$C$5)*M17/100</f>
        <v>92.365216538461553</v>
      </c>
      <c r="K36" s="101">
        <f t="shared" si="7"/>
        <v>47.539415115384621</v>
      </c>
      <c r="L36" s="101">
        <f t="shared" si="10"/>
        <v>106.11755392200259</v>
      </c>
      <c r="M36" s="102">
        <f t="shared" si="8"/>
        <v>64.999668979074571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2:53" ht="51" customHeight="1" x14ac:dyDescent="0.25">
      <c r="B37" s="118"/>
      <c r="C37" s="119">
        <f>C36</f>
        <v>6.298317931920578</v>
      </c>
      <c r="D37" s="119">
        <f>D36</f>
        <v>6.298317931920578</v>
      </c>
      <c r="E37" s="118">
        <v>0</v>
      </c>
      <c r="F37" s="118">
        <v>0</v>
      </c>
      <c r="G37" s="5"/>
      <c r="I37" s="16" t="s">
        <v>39</v>
      </c>
      <c r="J37" s="109" t="s">
        <v>75</v>
      </c>
      <c r="K37" s="109" t="s">
        <v>73</v>
      </c>
      <c r="L37" s="110" t="s">
        <v>76</v>
      </c>
      <c r="M37" s="110" t="s">
        <v>74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2:53" ht="54.75" customHeight="1" thickBot="1" x14ac:dyDescent="0.3">
      <c r="B38" s="75"/>
      <c r="C38" s="76"/>
      <c r="D38" s="77"/>
      <c r="E38" s="77"/>
      <c r="F38" s="75"/>
      <c r="H38" s="47"/>
      <c r="I38" s="120" t="s">
        <v>70</v>
      </c>
      <c r="J38" s="121">
        <f>SUM(J25:J36)</f>
        <v>573.16146638461555</v>
      </c>
      <c r="K38" s="122">
        <f>SUM(K25:K36)</f>
        <v>350.7222841730769</v>
      </c>
      <c r="L38" s="121">
        <f>SUM(L25:L36)</f>
        <v>713.39820892937473</v>
      </c>
      <c r="M38" s="123">
        <f>SUM(M25:M36)</f>
        <v>523.30394019905543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2:53" ht="36" customHeight="1" x14ac:dyDescent="0.25">
      <c r="B39" s="75"/>
      <c r="C39" s="75"/>
      <c r="D39" s="78"/>
      <c r="E39" s="78"/>
      <c r="F39" s="75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2:53" ht="36" customHeight="1" x14ac:dyDescent="0.25">
      <c r="B40" s="75"/>
      <c r="C40" s="75"/>
      <c r="D40" s="78"/>
      <c r="E40" s="78"/>
      <c r="F40" s="75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2:53" ht="36" customHeight="1" x14ac:dyDescent="0.25">
      <c r="B41" s="75"/>
      <c r="C41" s="75"/>
      <c r="D41" s="78"/>
      <c r="E41" s="78"/>
      <c r="F41" s="75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2:53" ht="36" customHeight="1" x14ac:dyDescent="0.25">
      <c r="B42" s="75"/>
      <c r="C42" s="75"/>
      <c r="D42" s="78"/>
      <c r="E42" s="78"/>
      <c r="F42" s="75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53" ht="36" customHeight="1" x14ac:dyDescent="0.25">
      <c r="B43" s="75"/>
      <c r="C43" s="75"/>
      <c r="D43" s="78"/>
      <c r="E43" s="78"/>
      <c r="F43" s="75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2:53" ht="36" customHeight="1" x14ac:dyDescent="0.25">
      <c r="B44" s="77"/>
      <c r="C44" s="75"/>
      <c r="D44" s="78"/>
      <c r="E44" s="78"/>
      <c r="F44" s="75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2:53" ht="36" customHeight="1" x14ac:dyDescent="0.25">
      <c r="B45" s="79"/>
      <c r="C45" s="80"/>
      <c r="D45" s="81"/>
      <c r="E45" s="81"/>
      <c r="F45" s="79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53" x14ac:dyDescent="0.25"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</sheetData>
  <sheetProtection algorithmName="SHA-512" hashValue="/Gi2j/ONhOMMp59qrx76eSFeYxJlGAu+zSmoFSH/eozzTEYSYnaQpnkl3O6/lJ6fprYg2z80n90IV/YDjOaCZQ==" saltValue="gTr1reL7qdPBqJ8tnZN4Xw==" spinCount="100000" sheet="1" objects="1" scenarios="1"/>
  <protectedRanges>
    <protectedRange sqref="C17 C4:C15" name="Range1"/>
    <protectedRange sqref="G6:P17 J25:M36" name="Range2"/>
    <protectedRange sqref="M6:N17" name="Range3"/>
    <protectedRange sqref="P6:P17" name="Range4"/>
  </protectedRanges>
  <mergeCells count="7">
    <mergeCell ref="I22:M22"/>
    <mergeCell ref="B22:G22"/>
    <mergeCell ref="B28:G28"/>
    <mergeCell ref="B1:P1"/>
    <mergeCell ref="F3:P3"/>
    <mergeCell ref="B3:D3"/>
    <mergeCell ref="B2:P2"/>
  </mergeCells>
  <dataValidations count="1">
    <dataValidation type="list" allowBlank="1" showInputMessage="1" showErrorMessage="1" sqref="C4" xr:uid="{5209321B-0986-4138-820D-0D4D66BF6C19}">
      <formula1>Įrengimas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Y V c q T 1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B h V y p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V c q T y i K R 7 g O A A A A E Q A A A B M A H A B G b 3 J t d W x h c y 9 T Z W N 0 a W 9 u M S 5 t I K I Y A C i g F A A A A A A A A A A A A A A A A A A A A A A A A A A A A C t O T S 7 J z M 9 T C I b Q h t Y A U E s B A i 0 A F A A C A A g A Y V c q T 1 T B D G u m A A A A + A A A A B I A A A A A A A A A A A A A A A A A A A A A A E N v b m Z p Z y 9 Q Y W N r Y W d l L n h t b F B L A Q I t A B Q A A g A I A G F X K k 8 P y u m r p A A A A O k A A A A T A A A A A A A A A A A A A A A A A P I A A A B b Q 2 9 u d G V u d F 9 U e X B l c 1 0 u e G 1 s U E s B A i 0 A F A A C A A g A Y V c q T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E 2 q g y D F i F I t 0 s W l K B d C k w A A A A A A g A A A A A A E G Y A A A A B A A A g A A A A Z V y 5 n 4 k n o J R 2 m g R r Q s G J V 5 n j k H g K V N r W X C M + S a X K l D Y A A A A A D o A A A A A C A A A g A A A A T n N p P 3 d M O a k A L 8 N b 5 D m 5 7 3 9 d u M A C a R 1 s O z Z T S R h v B W R Q A A A A e v S y 1 o o Z R K I W j e 2 w F I + W Y p c 2 Z n 3 H c e N A q g L j o I 1 K 1 s h H j U L m 1 D p W / z R L U G p 6 P i 3 C v Z B 1 S t 6 M z g Y 7 b Q 6 Q x y z N 6 y 2 g A z 0 c h A y b 0 2 I u n a o b x j V A A A A A l Z j P R g U 3 J S q H 5 0 9 N / o D c f z w h I C T K 8 R 0 Z d k k n P 0 P o j N B L n 9 6 l w 5 x X r F y V t b 7 C M m Q t P A p k o V q G F H S p U C u q x j l V 2 w = = < / D a t a M a s h u p > 
</file>

<file path=customXml/itemProps1.xml><?xml version="1.0" encoding="utf-8"?>
<ds:datastoreItem xmlns:ds="http://schemas.openxmlformats.org/officeDocument/2006/customXml" ds:itemID="{86CD13B3-5A9B-4266-B028-DEC0134C91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Įrengimas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Čepulis</dc:creator>
  <cp:lastModifiedBy>Čepulis</cp:lastModifiedBy>
  <dcterms:created xsi:type="dcterms:W3CDTF">2019-09-10T05:15:39Z</dcterms:created>
  <dcterms:modified xsi:type="dcterms:W3CDTF">2019-09-19T08:05:38Z</dcterms:modified>
</cp:coreProperties>
</file>