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45" windowWidth="18810" windowHeight="6090" activeTab="0"/>
  </bookViews>
  <sheets>
    <sheet name="2012_vasario" sheetId="1" r:id="rId1"/>
  </sheets>
  <definedNames/>
  <calcPr fullCalcOnLoad="1"/>
</workbook>
</file>

<file path=xl/sharedStrings.xml><?xml version="1.0" encoding="utf-8"?>
<sst xmlns="http://schemas.openxmlformats.org/spreadsheetml/2006/main" count="1233" uniqueCount="951">
  <si>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</si>
  <si>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</si>
  <si>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</si>
  <si>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</si>
  <si>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</si>
  <si>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</si>
  <si>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</si>
  <si>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</si>
  <si>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</si>
  <si>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>Lt/MWh</t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</si>
  <si>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</si>
  <si>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</si>
  <si>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</si>
  <si>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</si>
  <si>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</si>
  <si>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</si>
  <si>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</si>
  <si>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</si>
  <si>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</si>
  <si>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</si>
  <si>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Šilumos suvartojimas 60 m² ploto buto šildymui</t>
  </si>
  <si>
    <t>Mokėjimai už šilumą 60 m² ploto buto šildymui 
(su PVM)</t>
  </si>
  <si>
    <t>kWh/mėn</t>
  </si>
  <si>
    <t>Lt/mėn</t>
  </si>
  <si>
    <t>iki 1992</t>
  </si>
  <si>
    <t>Bajorų kelias 3, Vilnius</t>
  </si>
  <si>
    <t>Sviliškių g. 4,6, Vilnius</t>
  </si>
  <si>
    <t>Fizikų g. 6, Vilnius</t>
  </si>
  <si>
    <t>Bitininkų g. 4C, Vilnius</t>
  </si>
  <si>
    <t>Laisvės pr. 85, Vilnius</t>
  </si>
  <si>
    <t>J. Kubiliaus g. 4, Vilnius</t>
  </si>
  <si>
    <t>Pajautos g. 13, Vilnius</t>
  </si>
  <si>
    <t>Sviliškių g. 3,5,7, Vilnius</t>
  </si>
  <si>
    <t>Ūmedžių g. 96, Vilnius</t>
  </si>
  <si>
    <t>Filaretų g. 18, 20, Vilnius</t>
  </si>
  <si>
    <t>Žemynos g. 9, Vilnius</t>
  </si>
  <si>
    <t>Bitėnų g. 10, Vilnius</t>
  </si>
  <si>
    <t>P.Vileišio g. 16, Vilnius</t>
  </si>
  <si>
    <t>Ukmergės g. 228, Vilnius</t>
  </si>
  <si>
    <t>Linksmoji g. 77, Vilnius</t>
  </si>
  <si>
    <t>Taikos g. 126, 124, Vilnius</t>
  </si>
  <si>
    <t>Šeškinės g. 63, Vilnius</t>
  </si>
  <si>
    <t>Sėlių g. 43, Vilnius</t>
  </si>
  <si>
    <t>S.Stanevičiaus g. 8, Vilnius</t>
  </si>
  <si>
    <t>Agrastų g. 8, Vilnius</t>
  </si>
  <si>
    <t>Tramvajų g. 4, Vilnius</t>
  </si>
  <si>
    <t>Arklių g. 16, Vilnius</t>
  </si>
  <si>
    <t>J.Tiškevičiaus g. 6, Vilnius</t>
  </si>
  <si>
    <t>Krėvės 82B, Kaunas</t>
  </si>
  <si>
    <t>Ašmenos II-oji 37, Kaunas</t>
  </si>
  <si>
    <t>Pašilės 59, Kaunas</t>
  </si>
  <si>
    <t>Karaliaus Mindaugo 7, Kaunas</t>
  </si>
  <si>
    <t>Naujakurių 116A, Kaunas</t>
  </si>
  <si>
    <t>Radvilėnų  5, Kaunas</t>
  </si>
  <si>
    <t>Saulės 3, Kaunas</t>
  </si>
  <si>
    <t>Archyvo 48, Kaunas</t>
  </si>
  <si>
    <t>Aušros 20, Kaunas</t>
  </si>
  <si>
    <t>Partizanų 198, Kaunas</t>
  </si>
  <si>
    <t>Taikos 39, Kaunas</t>
  </si>
  <si>
    <t>Šiaurės 101, Kaunas</t>
  </si>
  <si>
    <t>Partizanų 20, Kaunas</t>
  </si>
  <si>
    <t>Lukšio 64, Kaunas</t>
  </si>
  <si>
    <t>Gravrogkų 17, Kaunas</t>
  </si>
  <si>
    <t>Vievio 54, Kaunas</t>
  </si>
  <si>
    <t>Savanorių 204(bt.1-49; 66-92), Kaunas</t>
  </si>
  <si>
    <t>Baltų 2, Kaunas</t>
  </si>
  <si>
    <t>Taikos 41, Kaunas</t>
  </si>
  <si>
    <t>Pašilės 96, Kaunas</t>
  </si>
  <si>
    <t>Baršausko 75, Kaunas</t>
  </si>
  <si>
    <t>Baršausko 77, Kaunas</t>
  </si>
  <si>
    <t>Sąjungos a. 10, Kaunas</t>
  </si>
  <si>
    <t>I. Daugiabučiai suvartojantys mažiausiai šilumos (naujos statybos, kokybiški namai)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</si>
  <si>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</si>
  <si>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</si>
  <si>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Rygos g. 34, 36, 38, Vilnius</t>
  </si>
  <si>
    <t>Lt/m²/mėn.</t>
  </si>
  <si>
    <t>MWh/m²/mėn.</t>
  </si>
  <si>
    <t>Pavilnionių g. 31, Vilnius</t>
  </si>
  <si>
    <t>Žirmūnų g. 3, Vilnius</t>
  </si>
  <si>
    <t>Perkūnkiemio g. 45, Vilnius</t>
  </si>
  <si>
    <t>Jonažolių g. 13 (bt. 1-58), Vilnius</t>
  </si>
  <si>
    <t>P.Smuglevičiaus g. 6, Vilnius</t>
  </si>
  <si>
    <t>Karaliaučiaus g. 16C, Vilnius</t>
  </si>
  <si>
    <t>M.Marcinkevičiaus g. 29, Vilnius</t>
  </si>
  <si>
    <t>Ūmėdžių g. 80, 82, Vilnius</t>
  </si>
  <si>
    <t>A.Domaševičiaus g. 3, Vilnius</t>
  </si>
  <si>
    <t>Sukilėlių 87A (KVT), Kaunas</t>
  </si>
  <si>
    <t>Kovo 11-osios 114 (renov.)(KVT), Kaunas</t>
  </si>
  <si>
    <t>Kovo 11-osios 118 (renov)(KVT), Kaunas</t>
  </si>
  <si>
    <t>Krėvės 61 (renov.) (KVT), Kaunas</t>
  </si>
  <si>
    <t>Griunvaldo 4  (renov.), Kaunas</t>
  </si>
  <si>
    <t>Savanorių 415  (renov.)(KVT), Kaunas</t>
  </si>
  <si>
    <t>Taikos 78 (renov.), Kaunas</t>
  </si>
  <si>
    <t>Medvėgalio 31 (renov.), Kaunas</t>
  </si>
  <si>
    <t>Lukšos-Daumanto 2, Kaunas</t>
  </si>
  <si>
    <t>Šiaurės 1 (KVT), Kaunas</t>
  </si>
  <si>
    <t>Ežero g. 14, Šiauliai</t>
  </si>
  <si>
    <t>Dariaus ir Girėno 6B Alytus</t>
  </si>
  <si>
    <t>PUTINŲ 2 Alytus</t>
  </si>
  <si>
    <t>BIRUTĖS 14 Alytus</t>
  </si>
  <si>
    <t>Statybininkų 46 Alytus</t>
  </si>
  <si>
    <t>LAUKO 17 Alytus</t>
  </si>
  <si>
    <t>KERNAVĖS 2 Alytus</t>
  </si>
  <si>
    <t>ALYVŲ TAKAS 13 Alytus</t>
  </si>
  <si>
    <t>Statybininkų 43 Alytus</t>
  </si>
  <si>
    <t>ŽIBURIO 12 Alytus</t>
  </si>
  <si>
    <t>Rinkuškių 49, Biržai</t>
  </si>
  <si>
    <t>Vilniaus 4, Biržai</t>
  </si>
  <si>
    <t>Vytauto 24, Biržai</t>
  </si>
  <si>
    <t>Vilniaus 39a, Biržai</t>
  </si>
  <si>
    <t>Respublikos 58, Biržai</t>
  </si>
  <si>
    <t>Vilniaus 93a, Biržai</t>
  </si>
  <si>
    <t>Rotušės 24, Biržai</t>
  </si>
  <si>
    <t>Vytauto 8, Biržai</t>
  </si>
  <si>
    <t>A.Civinsko 7, Marijampolė</t>
  </si>
  <si>
    <t>Gėlių 14, Marijampolė</t>
  </si>
  <si>
    <t>Vytauto 13, Marijampolė</t>
  </si>
  <si>
    <t>Bažnyčios 15, Marijampolė</t>
  </si>
  <si>
    <t>A.Civinsko 25, Marijampolė</t>
  </si>
  <si>
    <t>Dariaus ir Girėno 15, Telšiai</t>
  </si>
  <si>
    <t>Dariaus ir Girėno 13, Telšiai</t>
  </si>
  <si>
    <t>Vilniaus 34, Telšiai</t>
  </si>
  <si>
    <t>Vilniaus 26, Telšiai</t>
  </si>
  <si>
    <t>Kęstučio 19, Telšiai</t>
  </si>
  <si>
    <t>Luokės 73, Telšiai</t>
  </si>
  <si>
    <t>Šviesos 29, Telšiai</t>
  </si>
  <si>
    <t>Birutės 6 Vilkaviškis</t>
  </si>
  <si>
    <t>Statybininkų 4 Vilkaviškis</t>
  </si>
  <si>
    <t>Aušros 2 Vilkaviškis</t>
  </si>
  <si>
    <t>Aušros 4 Vilkaviškis</t>
  </si>
  <si>
    <t>Pilviškių 27 Vilkaviškis</t>
  </si>
  <si>
    <t>Vienybės 72 Vilkaviškis</t>
  </si>
  <si>
    <t>Birutės 4 Vilkaviškis</t>
  </si>
  <si>
    <t>Aušros 8 Vilkaviškis</t>
  </si>
  <si>
    <t>Nepriklausomybės 72 Vilkaviškis</t>
  </si>
  <si>
    <t>Lauko 44 Vilkaviškis</t>
  </si>
  <si>
    <t>Birutės 2 Vilkaviškis</t>
  </si>
  <si>
    <t>Aušros 10 Vilkaviškis</t>
  </si>
  <si>
    <t>Darvino 28 Kybartai</t>
  </si>
  <si>
    <t>Vilniaus 4 Vilkaviškis</t>
  </si>
  <si>
    <t>Vištyčio 2 Virbalis</t>
  </si>
  <si>
    <t>Dariaus ir Girėno 2A Kybartai</t>
  </si>
  <si>
    <t>K.Naumiesčio 9A Kybartai</t>
  </si>
  <si>
    <t>Druskininkų 7a, Palanga</t>
  </si>
  <si>
    <t>Taikos 10, Palanga</t>
  </si>
  <si>
    <t>Sodų 21, Palanga</t>
  </si>
  <si>
    <t>Oškinio 8, Palanga</t>
  </si>
  <si>
    <t>Vytauto 148, Palanga</t>
  </si>
  <si>
    <t>Ganyklų 29, Palanga</t>
  </si>
  <si>
    <t>Ganyklų 59, Palanga</t>
  </si>
  <si>
    <t>Biliūno 3, Palanga</t>
  </si>
  <si>
    <t>Valančiaus 6, Palanga</t>
  </si>
  <si>
    <t>Vytauto 81, Palanga</t>
  </si>
  <si>
    <t>Kretingos 7, Palanga</t>
  </si>
  <si>
    <t>Medžiotojų 10, Palanga</t>
  </si>
  <si>
    <t>Vytauto 120, Palanga</t>
  </si>
  <si>
    <t>-</t>
  </si>
  <si>
    <t>Kudirkos g. 22, Utena</t>
  </si>
  <si>
    <t>iki1992</t>
  </si>
  <si>
    <t>Aušros g. 89 Ik.(renov.)Utena</t>
  </si>
  <si>
    <t>Sėlių g. 59, Utena</t>
  </si>
  <si>
    <t>Aukštakalnio g. 10,12, Utena</t>
  </si>
  <si>
    <t>Kauno g. 27, Utena</t>
  </si>
  <si>
    <t>Basanavičiaus g. 108, Utena</t>
  </si>
  <si>
    <t>Aušros g. 82, Utena</t>
  </si>
  <si>
    <t>Vaižganto 96( renov.), Plungė</t>
  </si>
  <si>
    <t>Vaišvilos 31( renov.), Plungė</t>
  </si>
  <si>
    <t>Vaišvilos 23( renov.), Plungė</t>
  </si>
  <si>
    <t>Končiaus 7A(skaitikliai butuose), Plungė</t>
  </si>
  <si>
    <t>Mačernio 53, Plungė</t>
  </si>
  <si>
    <t>Jucio 12, Plungė</t>
  </si>
  <si>
    <t>Mačernio 10, Plungė</t>
  </si>
  <si>
    <t>Mačernio 51, Plungė</t>
  </si>
  <si>
    <t>Mačernio 6, Plungė</t>
  </si>
  <si>
    <t>Telšių 21, Plungė</t>
  </si>
  <si>
    <t>Lentpjūvės 6, Plungė</t>
  </si>
  <si>
    <t>Vytauto 27, Plungė</t>
  </si>
  <si>
    <t>Dariaus Ir Girėno 35, Plungė</t>
  </si>
  <si>
    <t>Dariaus Ir Girėno 33, Plungė</t>
  </si>
  <si>
    <t>Vasario 16-osios g. 4, Varėna</t>
  </si>
  <si>
    <t>Brundzos 8, Prienai</t>
  </si>
  <si>
    <t>Brundzos 7, Prienai</t>
  </si>
  <si>
    <t>Vytauto 25, Prienai</t>
  </si>
  <si>
    <t>Rinktinės g. 36, Vilnius</t>
  </si>
  <si>
    <t>V.Grybo g. 24, Vilnius</t>
  </si>
  <si>
    <t>Partizanų 160 (renov.), Kaunas</t>
  </si>
  <si>
    <t>Baršausko 80, Kaunas</t>
  </si>
  <si>
    <t>Jakšto 8, Kaunas</t>
  </si>
  <si>
    <t>Masiulio 6, Kaunas</t>
  </si>
  <si>
    <t>Juozapavičiaus 48 A, Kaunas</t>
  </si>
  <si>
    <t>Vilniaus g. 202 (renov.), Šiauliai</t>
  </si>
  <si>
    <t>Gegužių g. 73 (renov.), Šiauliai</t>
  </si>
  <si>
    <t>Gegužių g. 19 (renov.), Šiauliai</t>
  </si>
  <si>
    <t>Grinkevičiaus g. 8 (renov.), Šiauliai</t>
  </si>
  <si>
    <t>Klevų g. 13 (renov.), Šiauliai</t>
  </si>
  <si>
    <t>Vytauto g. 149 (renov.), Šiauliai</t>
  </si>
  <si>
    <t>NAUJOJI 26 Alytus</t>
  </si>
  <si>
    <t>VINGIO 1 Alytus</t>
  </si>
  <si>
    <t>Statybininkų 30 Alytus</t>
  </si>
  <si>
    <t>KAŠTONŲ 12 Alytus</t>
  </si>
  <si>
    <t>NAUJOJI 68 Alytus</t>
  </si>
  <si>
    <t>Aukštakalnio 14 Alytus</t>
  </si>
  <si>
    <t>Statybininkų 107 Alytus</t>
  </si>
  <si>
    <t>BAŽNYČIOS 2 Alytus</t>
  </si>
  <si>
    <t>ALYVŲ TAKAS 22 Alytus</t>
  </si>
  <si>
    <t>PRAMONĖS 4 Alytus</t>
  </si>
  <si>
    <t>Vėjo 26b, Biržai</t>
  </si>
  <si>
    <t>V.Kudirkos 1, Marijampolė</t>
  </si>
  <si>
    <t>Kosmonautų 12, Marijampolė</t>
  </si>
  <si>
    <t>Kosmonautų 28, Marijampolė</t>
  </si>
  <si>
    <t>Dariaus ir Girėno 9, Marijampolė</t>
  </si>
  <si>
    <t>Draugystės 13, Marijampolė</t>
  </si>
  <si>
    <t>Kauno 17, Telšiai</t>
  </si>
  <si>
    <t>Respublikos 20, Telšiai</t>
  </si>
  <si>
    <t>Daukanto 14, Telšiai</t>
  </si>
  <si>
    <t>Lauko 48 Vilkaviškis</t>
  </si>
  <si>
    <t>Vištyčio 36A Kybartai</t>
  </si>
  <si>
    <t>Statybininkų 8 Vilkaviškis</t>
  </si>
  <si>
    <t>Gedimino 10 Vilkaviškis</t>
  </si>
  <si>
    <t>Darvino 19 Kybartai</t>
  </si>
  <si>
    <t>Tarybų 7 Kybartai</t>
  </si>
  <si>
    <t>Mokyklos 3 Pilviškiai</t>
  </si>
  <si>
    <t>Vasario 16-ios 10 Pilviškiai</t>
  </si>
  <si>
    <t>NERAVŲ 2B, Druskininkai</t>
  </si>
  <si>
    <t>GARDINO 56A, Druskininkai</t>
  </si>
  <si>
    <t>ŠILTNAMIŲ 22, Druskininkai</t>
  </si>
  <si>
    <t>VEISIEJŲ 16, Druskininkai</t>
  </si>
  <si>
    <t>ŠILTNAMIŲ 18, Druskininkai</t>
  </si>
  <si>
    <t>LIEPŲ 2A, Druskininkai</t>
  </si>
  <si>
    <t>ČIURLIONIO 93, Druskininkai</t>
  </si>
  <si>
    <t>FONBERGO 6, Druskininkai</t>
  </si>
  <si>
    <t>MELIORATORIŲ 12, Druskininkai</t>
  </si>
  <si>
    <t>ALĖJOS 22, Druskininkai</t>
  </si>
  <si>
    <t>P.Vileišio 6, Mažeikiai</t>
  </si>
  <si>
    <t>V.Burbos 5, Mažeikiai</t>
  </si>
  <si>
    <t>Vaižganto g. 52, Utena</t>
  </si>
  <si>
    <t>Bažnyčios g. 4, Utena</t>
  </si>
  <si>
    <t>Basanavičiaus g. 110a, Utena</t>
  </si>
  <si>
    <t>Kęstučio g. 6, Utena</t>
  </si>
  <si>
    <t>Kęstučio g. 9, Utena</t>
  </si>
  <si>
    <t>Vaišvilos 9 ( renov.), Plungė</t>
  </si>
  <si>
    <t>Vaišvilos 25 ( renov.), Plungė</t>
  </si>
  <si>
    <t>Jucio 22, Plungė</t>
  </si>
  <si>
    <t>M.K.Čiurlionio g. 11, Varėna</t>
  </si>
  <si>
    <t>Marcinkonių g. 12, Varėna</t>
  </si>
  <si>
    <t>J.Basanavičiaus g. 21, Varėna</t>
  </si>
  <si>
    <t>Sporto g. 14, Varėna</t>
  </si>
  <si>
    <t>Maironio g.21, Šilalė</t>
  </si>
  <si>
    <t>Karaliaučiaus g. 16a, Vilnius</t>
  </si>
  <si>
    <t>Geležinio Vilko 1A, Kaunas</t>
  </si>
  <si>
    <t>Gardino g. 27 (renov.), Šiauliai</t>
  </si>
  <si>
    <t>Aido g. 17 (renov.), Šiauliai</t>
  </si>
  <si>
    <t>Putinų g. 10, Šiauliai</t>
  </si>
  <si>
    <t>KALNIŠKĖS 25 Alytus</t>
  </si>
  <si>
    <t>Statybininkų 49 Alytus</t>
  </si>
  <si>
    <t>MAIRONIO 1 Alytus</t>
  </si>
  <si>
    <t>Dariaus ir Girėno 11, Marijampolė</t>
  </si>
  <si>
    <t>Gen. A.Gustaičio 4, Marijampolė</t>
  </si>
  <si>
    <t>Žiedo 7, Marijampolė</t>
  </si>
  <si>
    <t>Vienybės 70 Vilkaviškis</t>
  </si>
  <si>
    <t>Nepriklausomybės 62 Vilkaviškis</t>
  </si>
  <si>
    <t>Vilniaus 30A Virbalis</t>
  </si>
  <si>
    <t>Basanavičiaus a. 4 Vilkaviškis</t>
  </si>
  <si>
    <t>Vasario 16-ios 12 Pilviškiai</t>
  </si>
  <si>
    <t>Vytauto 77, Palanga</t>
  </si>
  <si>
    <t>KLONIO 18A, Druskininkai</t>
  </si>
  <si>
    <t>Žemaitijos 18, Mažeikiai</t>
  </si>
  <si>
    <t>Aušros g. 99(renov.), Utena</t>
  </si>
  <si>
    <t>Vaižganto g. 58, Utena</t>
  </si>
  <si>
    <t>Baranausko g. 17, Utena</t>
  </si>
  <si>
    <t>Kęstučio g. 4, Utena</t>
  </si>
  <si>
    <t>Jucio 30 ( renov.), Plungė</t>
  </si>
  <si>
    <t>Renov.</t>
  </si>
  <si>
    <t>Dzūkų g. 68, Varėna</t>
  </si>
  <si>
    <t>Vytauto g. 73, Varėna</t>
  </si>
  <si>
    <t>Vaitkaus 6, Prienai(renov.)</t>
  </si>
  <si>
    <t>Stadiono 10 3L.,Prienai</t>
  </si>
  <si>
    <t>Jaunimo 9, Balbieriškis</t>
  </si>
  <si>
    <t>Dariaus ir Girėno 51, Pakruojis</t>
  </si>
  <si>
    <t>Pergalės 4, Pakruojis</t>
  </si>
  <si>
    <t>L.Giros 1, Pakruojis</t>
  </si>
  <si>
    <t>P.Mašioto 67, Pakruojis</t>
  </si>
  <si>
    <t>P.Mašioto 55, Pakruojis</t>
  </si>
  <si>
    <t>Vilniaus 28, Pakruojis</t>
  </si>
  <si>
    <t>Vilniaus 34, Pakruojis</t>
  </si>
  <si>
    <t>V.Didžiojo 35, Pakruojis</t>
  </si>
  <si>
    <t>Vasario 16-osios 15,Pakruojis</t>
  </si>
  <si>
    <t>Joniškėlio 8, Linkuva</t>
  </si>
  <si>
    <t>Mažoji 1, Pakruojo k.</t>
  </si>
  <si>
    <t>Taikos 26, Pakruojis</t>
  </si>
  <si>
    <t>Kęstučio 8, Pakruojis</t>
  </si>
  <si>
    <t>Vasario 16-osios 13,Pakruojis</t>
  </si>
  <si>
    <t>S.Ušinsko 22, Pakruojis</t>
  </si>
  <si>
    <t>J.Franko g. 4, Vilnius</t>
  </si>
  <si>
    <t>Naugarduko g. 50A, Vilnius</t>
  </si>
  <si>
    <t>Musninkų g. 20, Vilnius</t>
  </si>
  <si>
    <t>Popieriaus g. 82, Vilnius</t>
  </si>
  <si>
    <t>Parko g. 18, Vilnius</t>
  </si>
  <si>
    <t>Draugystės 6, Kaunas</t>
  </si>
  <si>
    <t>Bandužių g. 17, Klaipėda</t>
  </si>
  <si>
    <t>Kviečių g. 56 (renov.), Šiauliai</t>
  </si>
  <si>
    <t>Vytauto g. 154 (renov.), Šiauliai</t>
  </si>
  <si>
    <t>Dainų g. 10A, Šiauliai</t>
  </si>
  <si>
    <t>Tilžės g. 126A, Šiauliai</t>
  </si>
  <si>
    <t>A. Mickevičiaus g. 38, Šiauliai</t>
  </si>
  <si>
    <t>Ežero g. 15, Šiauliai</t>
  </si>
  <si>
    <t>Vilniaus g. 213A, Šiauliai</t>
  </si>
  <si>
    <t>LIKIŠKĖLIŲ 80 Alytus</t>
  </si>
  <si>
    <t>UŽUOLANKOS 24A Alytus</t>
  </si>
  <si>
    <t>Vandens takas 6 Alytus</t>
  </si>
  <si>
    <t>PUTINŲ 24B Alytus</t>
  </si>
  <si>
    <t>Vilniaus 77b, Biržai</t>
  </si>
  <si>
    <t>Vilniaus 56, Biržai</t>
  </si>
  <si>
    <t>Rinkuškių 47a, Biržai</t>
  </si>
  <si>
    <t>Rinkuškių 51, Biržai</t>
  </si>
  <si>
    <t>Rinkuškių 47, Biržai</t>
  </si>
  <si>
    <t>Vilniaus 92, Biržai</t>
  </si>
  <si>
    <t>Kęstučio 4, Biržai</t>
  </si>
  <si>
    <t>Vilniaus 91a, Biržai</t>
  </si>
  <si>
    <t>Rotušės 7, Biržai</t>
  </si>
  <si>
    <t>Vilniaus 6, Biržai</t>
  </si>
  <si>
    <t>Rotušės 19, Biržai</t>
  </si>
  <si>
    <t>Vytauto 33, Biržai</t>
  </si>
  <si>
    <t>Rinkuškių 22, Biržai</t>
  </si>
  <si>
    <t>Basanavičiaus 18, Biržai</t>
  </si>
  <si>
    <t>Rotušės 5, Biržai</t>
  </si>
  <si>
    <t>Kilučių 11, Biržai</t>
  </si>
  <si>
    <t>Kęstučio 2, Biržai</t>
  </si>
  <si>
    <t>Vytauto 14a, Biržai</t>
  </si>
  <si>
    <t>Rotušės 1, Biržai</t>
  </si>
  <si>
    <t>Vytauto 7, Biržai</t>
  </si>
  <si>
    <t>Rotušės 17, Biržai</t>
  </si>
  <si>
    <t>Vytauto 6, Biržai</t>
  </si>
  <si>
    <t>Lietuvininkų 7, Marijampolė</t>
  </si>
  <si>
    <t>Mokolų 9, Marijampolė</t>
  </si>
  <si>
    <t>Vytauto 54, Marijampolė</t>
  </si>
  <si>
    <t>Dariaus ir Girėno 13, Marijampolė</t>
  </si>
  <si>
    <t>R.Juknevičiaus 100, Marijampolė</t>
  </si>
  <si>
    <t>Draugystės 3, Marijampolė</t>
  </si>
  <si>
    <t>Vytauto 15, Marijampolė</t>
  </si>
  <si>
    <t>P.Butlerienės 7, Marijampolė</t>
  </si>
  <si>
    <t>Kauno 142, Marijampolė</t>
  </si>
  <si>
    <t>P.Kriaučiūno 3, Marijampolė</t>
  </si>
  <si>
    <t>Aušros 42A, Marijampolė</t>
  </si>
  <si>
    <t>Kumelionys 4, Marijampolė</t>
  </si>
  <si>
    <t>Kauno 18, Marijampolė</t>
  </si>
  <si>
    <t>P.Butlerienės sk. 5, Marijampolė</t>
  </si>
  <si>
    <t>Dariaus ir Girėno 2A, Kelmė</t>
  </si>
  <si>
    <t>Dariaus ir Girėno 4B, Kelmė</t>
  </si>
  <si>
    <t>Dariaus ir Girėno 2, Kelmė</t>
  </si>
  <si>
    <t>Masčio 54, Telšiai</t>
  </si>
  <si>
    <t>Lygumų 49, Telšiai</t>
  </si>
  <si>
    <t>Beržų 2, Telšiai</t>
  </si>
  <si>
    <t>Vilniaus 36 , Telšiai</t>
  </si>
  <si>
    <t>Birutės 12, Telšiai</t>
  </si>
  <si>
    <t>Birutės 32, Telšiai</t>
  </si>
  <si>
    <t>Masčio 58, Telšiai</t>
  </si>
  <si>
    <t>Luokės 83, Telšiai</t>
  </si>
  <si>
    <t>Žemaitės 28, Telšiai</t>
  </si>
  <si>
    <t>Liepų 5, Rainiai</t>
  </si>
  <si>
    <t>Kęstučio 25, Telšiai</t>
  </si>
  <si>
    <t>Stoties 12, Telšiai</t>
  </si>
  <si>
    <t>Petrausko 22, Rainiai</t>
  </si>
  <si>
    <t>Stoties 16, Telšiai</t>
  </si>
  <si>
    <t>Sedos 3, Telšiai</t>
  </si>
  <si>
    <t>Sinagogos 4, Telšiai</t>
  </si>
  <si>
    <t>Šviesos 27, Telšiai</t>
  </si>
  <si>
    <t>Šviesos 25, Telšiai</t>
  </si>
  <si>
    <t>Luokės 33, Telšiai</t>
  </si>
  <si>
    <t>Kęstučio 21, Telšiai</t>
  </si>
  <si>
    <t>Vilniaus 6 Vilkaviškis</t>
  </si>
  <si>
    <t>Dvaro 9 Paežeriai</t>
  </si>
  <si>
    <t>Kęstučio 7 Vilkaviškis</t>
  </si>
  <si>
    <t>Vasario 16-ios 4 Pilviškiai</t>
  </si>
  <si>
    <t>Kretingos 33, Palanga</t>
  </si>
  <si>
    <t>Saulėtekio 8/6, Palanga</t>
  </si>
  <si>
    <t>Sodų 39, Palanga</t>
  </si>
  <si>
    <t>Sodų 1, Palanga</t>
  </si>
  <si>
    <t>Klaipėdos 46, Palanga</t>
  </si>
  <si>
    <t>Druskininkų 16, Palanga</t>
  </si>
  <si>
    <t>Janonio 28, Palanga</t>
  </si>
  <si>
    <t>Taikos 14, Palanga</t>
  </si>
  <si>
    <t>Medvalakio 15, Palanga</t>
  </si>
  <si>
    <t>S.neries 5, Palanga</t>
  </si>
  <si>
    <t>Valančiaus 8, Palanga</t>
  </si>
  <si>
    <t>Sodų 6, Palanga</t>
  </si>
  <si>
    <t>Biliūno 9, Palanga</t>
  </si>
  <si>
    <t>Vytauto 65, Palanga</t>
  </si>
  <si>
    <t>Biliūno 6, Palanga</t>
  </si>
  <si>
    <t>Kretingos 6, Palanga</t>
  </si>
  <si>
    <t>NERAVŲ 2A, Druskininkai</t>
  </si>
  <si>
    <t>NERAVŲ 39C, Druskininkai</t>
  </si>
  <si>
    <t>DRUSKININKŲ 23, Druskininkai</t>
  </si>
  <si>
    <t>DRUSKININKŲ 9, Druskininkai</t>
  </si>
  <si>
    <t>VEISIEJŲ 22, Druskininkai</t>
  </si>
  <si>
    <t>VEISIEJŲ 12, Druskininkai</t>
  </si>
  <si>
    <t>VEISIEJŲ 28, Druskininkai</t>
  </si>
  <si>
    <t>DRUSKININKŲ 8, Druskininkai</t>
  </si>
  <si>
    <t>ANTAKALNIO 13, Druskininkai</t>
  </si>
  <si>
    <t>ŠV.JOKŪBO 24, Druskininkai</t>
  </si>
  <si>
    <t>VERPĖJŲ 18, Druskininkai</t>
  </si>
  <si>
    <t>MELIORATORIŲ 10, Druskininkai</t>
  </si>
  <si>
    <t>ČIURLIONIO 4, Druskininkai</t>
  </si>
  <si>
    <t>TAIKOS 3, Druskininkai</t>
  </si>
  <si>
    <t>ČIURLIONIO 83, Druskininkai</t>
  </si>
  <si>
    <t>ŠV.JOKŪBO 15, Druskininkai</t>
  </si>
  <si>
    <t>P.Vileišio 4 (renov.), Mažeikiai</t>
  </si>
  <si>
    <t>Laisvės 27 (renov.), Mažeikiai</t>
  </si>
  <si>
    <t>Skuodo 15B, Mažeikiai</t>
  </si>
  <si>
    <t>Pavasario 14, Mažeikiai</t>
  </si>
  <si>
    <t>Naftininkų 64, Mažeikiai</t>
  </si>
  <si>
    <t>M.Daukšos 52, Mažeikiai</t>
  </si>
  <si>
    <t>Laisvės 32, Mažeikiai</t>
  </si>
  <si>
    <t>Aušros g. 100, Utena</t>
  </si>
  <si>
    <t>Basanavičiaus g. 117, Utena</t>
  </si>
  <si>
    <t>Taikos g. 24, Utena</t>
  </si>
  <si>
    <t>Aukštakalnio g. 14,16, Utena</t>
  </si>
  <si>
    <t>Taikos g. 80, Utena</t>
  </si>
  <si>
    <t>Maironio g. 17,Utena</t>
  </si>
  <si>
    <t>Tauragnų g. 4, Utena</t>
  </si>
  <si>
    <t>Jucio 14 (dalinai renovuotas), Plungė</t>
  </si>
  <si>
    <t>Mačernio 47, Plungė</t>
  </si>
  <si>
    <t>Jucio 10, Plungė</t>
  </si>
  <si>
    <t>Vaižganto 85, Plungė</t>
  </si>
  <si>
    <t>Mačernio 8, Plungė</t>
  </si>
  <si>
    <t>Gandingos 10, Plungė</t>
  </si>
  <si>
    <t>A.Jucio 28, Plungė</t>
  </si>
  <si>
    <t>Gandingos 12, Plungė</t>
  </si>
  <si>
    <t>Dariaus ir Girėno 51, Plungė</t>
  </si>
  <si>
    <t>Senamiesčio 2, Plungė</t>
  </si>
  <si>
    <t>S. Neries 4, Plungė</t>
  </si>
  <si>
    <t>Gedimino 1, Radviliškis</t>
  </si>
  <si>
    <t>Vaižganto 30c, Radviliškis</t>
  </si>
  <si>
    <t>Kudirkos 4, Radviliškis</t>
  </si>
  <si>
    <t>Stiklo 1a, Radviliškis</t>
  </si>
  <si>
    <t>Kražių 12, Radviliškis</t>
  </si>
  <si>
    <t>iki1960</t>
  </si>
  <si>
    <t>Vytauto Didžiojo 31, Raseiniai</t>
  </si>
  <si>
    <t>Ateities 19, Raseiniai</t>
  </si>
  <si>
    <t>Vytauto Didžiojo 41, Raseiniai</t>
  </si>
  <si>
    <t>Algirdo 25, Raseiniai</t>
  </si>
  <si>
    <t>Algirdo 27, Raseiniai</t>
  </si>
  <si>
    <t>Rytų 4, Raseiniai</t>
  </si>
  <si>
    <t>Rytų 2, Raseiniai</t>
  </si>
  <si>
    <t>Algirdo 29, Raseiniai</t>
  </si>
  <si>
    <t>Dariaus ir Girėno 28, Raseiniai</t>
  </si>
  <si>
    <t>Stonų 3, Raseiniai</t>
  </si>
  <si>
    <t>Vaižganto 5A, Raseiniai</t>
  </si>
  <si>
    <t>Dubysos 3, Raseiniai</t>
  </si>
  <si>
    <t>Dubysos 16, Raseiniai</t>
  </si>
  <si>
    <t>Dubysos 1, Raseiniai</t>
  </si>
  <si>
    <t>Dariaus ir Girėno 23, Raseiniai</t>
  </si>
  <si>
    <t>Jaunimo 14 , Raseiniai</t>
  </si>
  <si>
    <t>Vaižganto 1, Raseiniai</t>
  </si>
  <si>
    <t>Muziejaus 6, Raseiniai</t>
  </si>
  <si>
    <t>Vytauto Didžiojo 3, Raseiniai</t>
  </si>
  <si>
    <t>Jaunimo 12, Raseiniai</t>
  </si>
  <si>
    <t>V.Kudirkos 11, Raseiniai</t>
  </si>
  <si>
    <t>Dominikonų 4, Raseiniai</t>
  </si>
  <si>
    <t>Dariaus ir Girėno 26, Raseiniai</t>
  </si>
  <si>
    <t>V.Kudirkos 9, Raseiniai</t>
  </si>
  <si>
    <t>Naujųjų Valkininkų 2, Varėna</t>
  </si>
  <si>
    <t>V.Krėvės g. 4, Varėna</t>
  </si>
  <si>
    <t>Birutės 4, Prienai</t>
  </si>
  <si>
    <t>Vytauto 22, Prienai</t>
  </si>
  <si>
    <t>Parko 10, Balbieriškis</t>
  </si>
  <si>
    <t>Jaunimo 13, Balbieriškis</t>
  </si>
  <si>
    <t>l.Giros 8, Pakruojis</t>
  </si>
  <si>
    <t>Respublikos 8 Naujoji Akmenė</t>
  </si>
  <si>
    <t>Stadiono 13 Akmenė</t>
  </si>
  <si>
    <t>Nepriklausomybės 8 Naujoji Akmenė</t>
  </si>
  <si>
    <t>Stadiono 7 Akmenė</t>
  </si>
  <si>
    <t>Stadiono 17 Akmenė</t>
  </si>
  <si>
    <t>Respublikos 6 Naujoji Akmenė</t>
  </si>
  <si>
    <t>Ventos 16 Venta</t>
  </si>
  <si>
    <t>Bausko 5 Venta</t>
  </si>
  <si>
    <t>Žalgirio 7 Naujoji Akmenė</t>
  </si>
  <si>
    <t>Šarkinės 27, Elektrėnai</t>
  </si>
  <si>
    <t>Sodų 4, Elektrėnai</t>
  </si>
  <si>
    <t>Sodų 6, Elektrėnai</t>
  </si>
  <si>
    <t>Sodų 10, Elektrėnai</t>
  </si>
  <si>
    <t>Rungos 3, Elektrėnai</t>
  </si>
  <si>
    <t>Pergalės 41, Elektrėnai</t>
  </si>
  <si>
    <t>Saulės 11, Elektrėnai</t>
  </si>
  <si>
    <t>Taikos 9, Elektrėnai</t>
  </si>
  <si>
    <t>Saulės 26, Elektrėnai</t>
  </si>
  <si>
    <t>Trakų 19, Elektrėnai</t>
  </si>
  <si>
    <t>Šilumos suvartojimo ir mokėjimų už šilumą analizė Lietuvos miestų daugiabučiuose gyvenamuosiuose namuose (2012 m. vasario mėn.)</t>
  </si>
  <si>
    <t>1966</t>
  </si>
  <si>
    <t>Kauno g. 19, Klaipėda</t>
  </si>
  <si>
    <t>Dragūnų g. 11, Klaipėda</t>
  </si>
  <si>
    <t>Debreceno g. 31 , Klaipėda</t>
  </si>
  <si>
    <t>Baltijos pr. 117, Klaipėda</t>
  </si>
  <si>
    <t>Naujakiemio g. 9 , Klaipėda</t>
  </si>
  <si>
    <t>Liepų g. 37 , Klaipėda</t>
  </si>
  <si>
    <t>Kooperacijos g. 5, Klaipėda</t>
  </si>
  <si>
    <t>Satybininkų pr. 32, Klaipėda</t>
  </si>
  <si>
    <t>Kretingos g. 69, Klaipėda</t>
  </si>
  <si>
    <t>Debreceno g. 28, Klaipėda</t>
  </si>
  <si>
    <t>Baltijos pr. 67, Klaipėda</t>
  </si>
  <si>
    <t>Pietinė g. 5, Klaipėda</t>
  </si>
  <si>
    <t>Taikos pr. 43, Klaipėda</t>
  </si>
  <si>
    <t>Minijos g. 132, Klaipėda</t>
  </si>
  <si>
    <t>Brožynų g. 3, Klaipėda</t>
  </si>
  <si>
    <t>Smiltelės g. 47, Klaipėda</t>
  </si>
  <si>
    <t>Laukininkų g. 9, Klaipėda</t>
  </si>
  <si>
    <t>Naikupės g. 4, Klaipėda</t>
  </si>
  <si>
    <t>Lužų g. 5, Klaipėda</t>
  </si>
  <si>
    <t>Naikupės g. 6, Klaipėda</t>
  </si>
  <si>
    <t>Kauno g. 23, Klaipėda</t>
  </si>
  <si>
    <t>Debreceno g. 74, Klaipėda</t>
  </si>
  <si>
    <t>Taikos pr. 88, Klaipėda</t>
  </si>
  <si>
    <t>Švyturio g. 10, Klaipėda</t>
  </si>
  <si>
    <t>Šaulių g. 52, Klaipėda</t>
  </si>
  <si>
    <t>Vyturio g. 7, Klaipėda</t>
  </si>
  <si>
    <t>Laivų skg. 4, Klaipėda</t>
  </si>
  <si>
    <t>Karoso g 18, Klaipėda</t>
  </si>
  <si>
    <t>S.Daukanto g. 26, Klaipėda</t>
  </si>
  <si>
    <t>Mažvydo al. 7, Klaipėda</t>
  </si>
  <si>
    <t>Liepų g. 53, Klaipėda</t>
  </si>
  <si>
    <t>H.Manto g. 76, Klaipėda</t>
  </si>
  <si>
    <t>S.Neries g. 8, Klaipėda</t>
  </si>
  <si>
    <t>H.Manto g. 11A, Klaipėda</t>
  </si>
  <si>
    <t>Bangų g. 17, Klaipėda</t>
  </si>
  <si>
    <t>Turgaus a. 2, Klaipėda</t>
  </si>
  <si>
    <t>J.Zauerveino g. 21, Klaipėda</t>
  </si>
  <si>
    <t>Puodžių g. 22, Klaipėda</t>
  </si>
  <si>
    <t>po 1992</t>
  </si>
  <si>
    <t>Klaipėdos g. 98 (renov)</t>
  </si>
  <si>
    <t>Kniaudiškių g. 54 (renov), Panevėžys</t>
  </si>
  <si>
    <t>Tulpių g. 13 (renov), Panevėžys</t>
  </si>
  <si>
    <t>Molainių g. 98 (renov), Panevėžys</t>
  </si>
  <si>
    <t>Statybininkų g. 34 (renov), Panevėžys</t>
  </si>
  <si>
    <t>Molainių g. 8 (renov), Panevėžys</t>
  </si>
  <si>
    <t>Beržų g. 31 (renov), Panevėžys</t>
  </si>
  <si>
    <t>Nevėžio g. 40B (renov), Panevėžys</t>
  </si>
  <si>
    <t>Vaitkaus g.6  (renov. tik pastatas), Panevėžys</t>
  </si>
  <si>
    <t>Klaipėdos g. 99 K2, Panevėžys</t>
  </si>
  <si>
    <t>Margirio g. 9, Panevėžys</t>
  </si>
  <si>
    <t>Klaipėdos g. 112, Panevėžys</t>
  </si>
  <si>
    <t>Beržų g. 23, Panevėžys</t>
  </si>
  <si>
    <t>Tulpių g. 3, Panevėžys</t>
  </si>
  <si>
    <t>Vaitkaus g.9, Panevėžys</t>
  </si>
  <si>
    <t>Statybininkų g. 11, Panevėžys</t>
  </si>
  <si>
    <t>Nevėžio g. 40, Panevėžys</t>
  </si>
  <si>
    <t>Vaitkaus g.3, Panevėžys</t>
  </si>
  <si>
    <t>Ateities g. 32, Panevėžys</t>
  </si>
  <si>
    <t>Ateities g. 14, Panevėžys</t>
  </si>
  <si>
    <t>Kranto g. 25, Panevėžys</t>
  </si>
  <si>
    <t>Basanavičiaus g.  1, Panevėžys</t>
  </si>
  <si>
    <t>Vilniaus g. 16, Panevėžys</t>
  </si>
  <si>
    <t>Vilties g. 47, Panevėžys</t>
  </si>
  <si>
    <t>Vilties 8, Panevėžys</t>
  </si>
  <si>
    <t>Aukštaičių g. 66, Panevėžys</t>
  </si>
  <si>
    <t>Sodų 6, Panevėžys</t>
  </si>
  <si>
    <t>Nepriklausomybės a. 9, Panevėžys</t>
  </si>
  <si>
    <t>Įmonių g. 21, Panevėžys</t>
  </si>
  <si>
    <t>Aldonos g. 3, Panevėžys</t>
  </si>
  <si>
    <t>Janonio g. 8-10, Panevėžys</t>
  </si>
  <si>
    <t>Švyturio g. 19, Panevėžys</t>
  </si>
  <si>
    <t>Vilniaus g. 53-55, Panevėžys</t>
  </si>
  <si>
    <t>Katedros g. 4, Panevėžys</t>
  </si>
  <si>
    <t>Švyturio g. 27, Panevėžys</t>
  </si>
  <si>
    <t>Kudirkos g. 3, Panevėžys</t>
  </si>
  <si>
    <t>Liepų al. 17, Panevėžys</t>
  </si>
  <si>
    <t>Respublikos 17, Panevėžys</t>
  </si>
  <si>
    <t>Jakšto g. 8-10, Panevėžys</t>
  </si>
  <si>
    <t>Nevėžio g. 24, Panevėžys</t>
  </si>
  <si>
    <t>Sevastopolio g. 5 (renov.), Šiauliai</t>
  </si>
  <si>
    <t>Dainų g. 4 (renov.), Šiauliai</t>
  </si>
  <si>
    <t>Žeimių g. 6B, Šiauliai</t>
  </si>
  <si>
    <t>Valančiaus g. 2 (renov.), Šiauliai</t>
  </si>
  <si>
    <t>Krymo g. 26 (renov.), Šiauliai</t>
  </si>
  <si>
    <t>Žeimių g. 6A, Šiauliai</t>
  </si>
  <si>
    <t>Gardino g. 5, Šiauliai</t>
  </si>
  <si>
    <t>Gegužių g. 9, Šiauliai</t>
  </si>
  <si>
    <t>Dainų g. 64, Šiauliai</t>
  </si>
  <si>
    <t>Radviliškio g. 114, Šiauliai</t>
  </si>
  <si>
    <t>Kviečių g. 10, Šiauliai</t>
  </si>
  <si>
    <t>Baltupėnų g. 1C, Šiauliai</t>
  </si>
  <si>
    <t>Gegužių g. 64, Šiauliai</t>
  </si>
  <si>
    <t>Radviliškio g. 98, Šiauliai</t>
  </si>
  <si>
    <t>Radviliškio g. 124, Šiauliai</t>
  </si>
  <si>
    <t>Tilžės g. 49B, Šiauliai</t>
  </si>
  <si>
    <t>Ežero g. 7, Šiauliai</t>
  </si>
  <si>
    <t>Draugystės pr. 13, Šiauliai</t>
  </si>
  <si>
    <t>Dvaro g. 52, Šiauliai</t>
  </si>
  <si>
    <t>Varpo g. 35, Šiauliai</t>
  </si>
  <si>
    <t>P. Višinskio g. 12, Šiauliai</t>
  </si>
  <si>
    <t>P. Cvirkos g. 75A, Šiauliai</t>
  </si>
  <si>
    <t>P. Višinskio g. 37, Šiauliai</t>
  </si>
  <si>
    <t>GAMYKLOS 8 Alytus</t>
  </si>
  <si>
    <t>SUDVAJŲ 26 Alytus</t>
  </si>
  <si>
    <t>KERNAVĖS 4 Alytus</t>
  </si>
  <si>
    <t>LIGONINĖS 7 Alytus</t>
  </si>
  <si>
    <t>VOLUNGĖS 27 Alytus</t>
  </si>
  <si>
    <t>LIKIŠKĖLIŲ 40 Alytus</t>
  </si>
  <si>
    <t>VOLUNGĖS 12 Alytus</t>
  </si>
  <si>
    <t>VOLUNGĖS 44 Alytus</t>
  </si>
  <si>
    <t>PUTINŲ 24C Alytus</t>
  </si>
  <si>
    <t>JURGIŠKIŲ 3 Alytus</t>
  </si>
  <si>
    <t>R.Juknevičiaus 50, Marijampolė</t>
  </si>
  <si>
    <t>Draugystės 1, Marijampolė</t>
  </si>
  <si>
    <t>R.Juknevičiaus 48, Marijampolė</t>
  </si>
  <si>
    <t>R.Juknevičiaus 19, Marijampolė</t>
  </si>
  <si>
    <t>Draugystės 20, Marijampolė</t>
  </si>
  <si>
    <t>Mokolų 51, Marijampolė</t>
  </si>
  <si>
    <t>Vytauto 12, Marijampolė</t>
  </si>
  <si>
    <t>Kumelionys 1, Marijampolė</t>
  </si>
  <si>
    <t>P.Butlerienės 11, Marijampolė</t>
  </si>
  <si>
    <t>P.Butlerienės 20, Marijampolė</t>
  </si>
  <si>
    <t>Kauno 20, Marijampolė</t>
  </si>
  <si>
    <t>Gedimino 9, Marijampolė</t>
  </si>
  <si>
    <t>Vytauto 87, Marijampolė</t>
  </si>
  <si>
    <t>Birutës 7, Kelmė</t>
  </si>
  <si>
    <t>Birutës 2, Kelmė</t>
  </si>
  <si>
    <t>Birutës 4, Kelmė</t>
  </si>
  <si>
    <t>Mackevičiaus 29, Kelmė</t>
  </si>
  <si>
    <t>Birutës 3, Kelmė</t>
  </si>
  <si>
    <t>Dariaus ir Girėno 4, Kelmė</t>
  </si>
  <si>
    <t>Vytauto Didžiojo 82, Kelmė</t>
  </si>
  <si>
    <t>Vytauto Didžiojo 84, Kelmė</t>
  </si>
  <si>
    <t>Raseiniø 3, Kelmė</t>
  </si>
  <si>
    <t>Raseiniø 7, Kelmė</t>
  </si>
  <si>
    <t>Þemaitës 45, Kelmė</t>
  </si>
  <si>
    <t>Raseinių 5A, Kelmė</t>
  </si>
  <si>
    <t>Mackevièiaus 2, Kelmė</t>
  </si>
  <si>
    <t>Vilties 18, Kelmė</t>
  </si>
  <si>
    <t>Maironio 4A, Kelmė</t>
  </si>
  <si>
    <t>Vytauto Didžiojo 61, Kelmė</t>
  </si>
  <si>
    <t>Vytauto Didžiojo 45, Kelmė</t>
  </si>
  <si>
    <t>Vilties 14, Kelmė</t>
  </si>
  <si>
    <t>Žemaitės 51, Kelmė</t>
  </si>
  <si>
    <t>Luokės 67, Telšiai</t>
  </si>
  <si>
    <t>Vilniaus 14, Telšiai</t>
  </si>
  <si>
    <t>Luokės 75, Telšiai</t>
  </si>
  <si>
    <t>Dariaus ir Girėno 16, Telšiai</t>
  </si>
  <si>
    <t>Vilniaus 12, Telšiai</t>
  </si>
  <si>
    <t>Stoties 33, Telšiai</t>
  </si>
  <si>
    <t>Daukanto 5, Telšiai</t>
  </si>
  <si>
    <t>Šviesos 31, Telšiai</t>
  </si>
  <si>
    <t>Birutės 24, Telšiai</t>
  </si>
  <si>
    <t>Sonagogos  2, Telšiai</t>
  </si>
  <si>
    <t>Statybininkų 6 Vilkaviškis</t>
  </si>
  <si>
    <t>Nepriklausomybės 66 Vilkaviškis</t>
  </si>
  <si>
    <t>Kęstučio 2 Vilkaviškis</t>
  </si>
  <si>
    <t>Darvino 11 Kybartai</t>
  </si>
  <si>
    <t>K.Naumiesčio 11 Kybartai</t>
  </si>
  <si>
    <t>Vištyčio 7 Virbalis</t>
  </si>
  <si>
    <t>NERAVŲ 39B, Druskininkai</t>
  </si>
  <si>
    <t>KOSCIUŠKOS 12, Druskininkai</t>
  </si>
  <si>
    <t>JAUNYSTĖS 2, Druskininkai</t>
  </si>
  <si>
    <t>JAUNYSTĖS 15, Druskininkai</t>
  </si>
  <si>
    <t>ANTAKALNIO 16, Druskininkai</t>
  </si>
  <si>
    <t>GARDINO 34, Druskininkai</t>
  </si>
  <si>
    <t>LIEPŲ 10, Druskininkai</t>
  </si>
  <si>
    <t>GARDINO 22, Druskininkai</t>
  </si>
  <si>
    <t>KUDIRKOS 27, Druskininkai</t>
  </si>
  <si>
    <t>ANTAKALNIO 14, Druskininkai</t>
  </si>
  <si>
    <t>ČIURLIONIO 24, Druskininkai</t>
  </si>
  <si>
    <t>MIZARŲ 1, Druskininkai</t>
  </si>
  <si>
    <t>Sodų 10-ojo NSB(renov.), Mažeikiai</t>
  </si>
  <si>
    <t>Gamyklos 3 (renov.), Mažeikiai</t>
  </si>
  <si>
    <t>Gamyklos 15 NSB (renov.), Mažeikiai</t>
  </si>
  <si>
    <t>Laisvės 40-jo NSB(renov.), Mažeikiai</t>
  </si>
  <si>
    <t>Ventos 45, Mažeikiai</t>
  </si>
  <si>
    <t>Pavenčių 17, Mažeikiai</t>
  </si>
  <si>
    <t>Pavasario 23, Mažeikiai</t>
  </si>
  <si>
    <t>Pavenčių 23, Mažeikiai</t>
  </si>
  <si>
    <t>M.Daukšos 46B, Mažeikiai</t>
  </si>
  <si>
    <t>Mindaugo 15 (renov.), Mažeikiai</t>
  </si>
  <si>
    <t>Taikos 7, Mažeikiai</t>
  </si>
  <si>
    <t>Naftininkų 14, Mažeikiai</t>
  </si>
  <si>
    <t>Pavenčių 19, Mažeikiai</t>
  </si>
  <si>
    <t>Ventos 19, Mažeikiai</t>
  </si>
  <si>
    <t>Ventos 85, Mažeikiai</t>
  </si>
  <si>
    <t>Žemaitijos 35, Mažeikiai</t>
  </si>
  <si>
    <t>Ventos 29, Mažeikiai</t>
  </si>
  <si>
    <t>S.Daukanto 9, Mažeikiai</t>
  </si>
  <si>
    <t>Naftininkų 44, Mažeikiai</t>
  </si>
  <si>
    <t>Žemaitijos 58, Mažeikiai</t>
  </si>
  <si>
    <t>Taikos 9, Mažeikiai</t>
  </si>
  <si>
    <t>Pavasario 12, Mažeikiai</t>
  </si>
  <si>
    <t>Žemaitijos 26, Mažeikiai</t>
  </si>
  <si>
    <t>Naftininkų 22, Mažeikiai</t>
  </si>
  <si>
    <t>Stoties 8, Mažeikiai</t>
  </si>
  <si>
    <t>Sodų 11, Mažeikiai</t>
  </si>
  <si>
    <t>Vasario 16-sios 8, Mažeikiai</t>
  </si>
  <si>
    <t>S.Daukanto 8 (Viekšniai), Mažeikiai</t>
  </si>
  <si>
    <t>Vasario 16-sios12, Mažeikiai</t>
  </si>
  <si>
    <t>Mažeikių 3 (Viekšniai), Mažeikiai</t>
  </si>
  <si>
    <t>Vyžuonų g. 11a (renov.)Utena</t>
  </si>
  <si>
    <t>Aušros g. 83, Utena</t>
  </si>
  <si>
    <t>Aukštakalnio g. 116, Utena</t>
  </si>
  <si>
    <t>Vaižganto g. 56, Utena</t>
  </si>
  <si>
    <t>Taikos g .14, Utena</t>
  </si>
  <si>
    <t>Sėlių g. 69, Utena</t>
  </si>
  <si>
    <t>Taikos g .32, Utena</t>
  </si>
  <si>
    <t>Krašuonos g. 5, Utena</t>
  </si>
  <si>
    <t>Vaižganto g. 62, Utena</t>
  </si>
  <si>
    <t>Vaižganto g. 46, Utena</t>
  </si>
  <si>
    <t>Taikos g.11, Utena</t>
  </si>
  <si>
    <t>Taikos g. 7, Utena</t>
  </si>
  <si>
    <t>Taikos g. 63, Utena</t>
  </si>
  <si>
    <t>Užpalių g. 101, Utena</t>
  </si>
  <si>
    <t>Utenio a. 5, Utena</t>
  </si>
  <si>
    <t>Donelaičio g. 12, Utena</t>
  </si>
  <si>
    <t>Utenio a. 10, Utena</t>
  </si>
  <si>
    <t>Sodų 1, Elektrėnai</t>
  </si>
  <si>
    <t>Taikos 4, Elektrėnai</t>
  </si>
  <si>
    <t>Dtraugystės 16, Elektrėnai</t>
  </si>
  <si>
    <t>Šviesos 7, Elektrėnai</t>
  </si>
  <si>
    <t>Sodų 16(2), Elektrėnai</t>
  </si>
  <si>
    <t>Šarkinės 23, Elektrėnai</t>
  </si>
  <si>
    <t>Šviesos 10, Elektrėnai</t>
  </si>
  <si>
    <t>Trakų 16, Elektrėnai</t>
  </si>
  <si>
    <t>draugystės 21, Elektrėnai</t>
  </si>
  <si>
    <t>Pergalės 55, Elektrėnai</t>
  </si>
  <si>
    <t>Pergalės 21, Elektrėnai</t>
  </si>
  <si>
    <t>Saulės 10, Elektrėnai</t>
  </si>
  <si>
    <t>Pergalės 25, Elektrėnai</t>
  </si>
  <si>
    <t>Trakų 23, Elektrėnai</t>
  </si>
  <si>
    <t>Pergalės 3, Elektrėnai</t>
  </si>
  <si>
    <t>Saulės 17, Elektrėnai</t>
  </si>
  <si>
    <t>Saulės 24, Elektrėnai</t>
  </si>
  <si>
    <t>Saulės 5, Elektrėnai</t>
  </si>
  <si>
    <t>Trakų 17, Elektrėnai</t>
  </si>
  <si>
    <t>Trakų 4, Elektrėnai</t>
  </si>
  <si>
    <t>Končiaus 7(skaitikliai butuose), Plungė</t>
  </si>
  <si>
    <t>Mačernio 12(dal.renovuot.), Plungė</t>
  </si>
  <si>
    <t>Jaunystės 35 (renov), Radviliškis</t>
  </si>
  <si>
    <t>Laisvės al. 36 (renov), Radviliškis</t>
  </si>
  <si>
    <t>Vaižganto 60 (renov), Radviliškis</t>
  </si>
  <si>
    <t>Vaižganto 58c, Radviliškis</t>
  </si>
  <si>
    <t>Dariaus ir Girėno 44, Radviliškis</t>
  </si>
  <si>
    <t>Jaunystės 33, Radviliškis</t>
  </si>
  <si>
    <t>Kudirkos 2a, Radviliškis</t>
  </si>
  <si>
    <t>Kudirkos 6, Radviliškis</t>
  </si>
  <si>
    <t>Maironio 6, Radviliškis</t>
  </si>
  <si>
    <t>Bernotėno 1, Radviliškis</t>
  </si>
  <si>
    <t>Vasario  16-osios 17, Radviliškis</t>
  </si>
  <si>
    <t>Marcinkonių g. 2, Varėna</t>
  </si>
  <si>
    <t>Kalno g. 9, Matuizos, Varėna</t>
  </si>
  <si>
    <t>Marcinkonių g. 16, Varėna</t>
  </si>
  <si>
    <t>Vasario 16-osios 3, Varėna</t>
  </si>
  <si>
    <t>Kalno g. 11, Matuizos, Varėna</t>
  </si>
  <si>
    <t>Savanorių g. 18, Varėna</t>
  </si>
  <si>
    <t>Dzūkų g. 38, Varėna</t>
  </si>
  <si>
    <t>Vasario 16-osios g. 9, Varėna</t>
  </si>
  <si>
    <t>Kalno g. 5, Matuizos, Varėna</t>
  </si>
  <si>
    <t>Z.Voronecko g. 5, Varėna</t>
  </si>
  <si>
    <t>J.Basanavičiaus g. 42, Varėna</t>
  </si>
  <si>
    <t>Vytauto g. 42, Varėna</t>
  </si>
  <si>
    <t>Kalno g. 1, Matuizos, Varėna</t>
  </si>
  <si>
    <t>V.Krėvės g. 7, Varėna</t>
  </si>
  <si>
    <t>Vasario 16-osios g. 10, Varėna</t>
  </si>
  <si>
    <t>Vytauto g. 7, Varėna</t>
  </si>
  <si>
    <t>Melioratorių g. 3, Varėna</t>
  </si>
  <si>
    <t>Žalioji g. 21, Varėna</t>
  </si>
  <si>
    <t>Vasario 16-osios g. 13, Varėna</t>
  </si>
  <si>
    <r>
      <t xml:space="preserve">J.Tumo-Vaižganto g. 134 </t>
    </r>
    <r>
      <rPr>
        <i/>
        <sz val="8"/>
        <color indexed="10"/>
        <rFont val="Arial"/>
        <family val="2"/>
      </rPr>
      <t>(renov.)</t>
    </r>
    <r>
      <rPr>
        <i/>
        <sz val="8"/>
        <rFont val="Arial"/>
        <family val="2"/>
      </rPr>
      <t>, Tauragė</t>
    </r>
  </si>
  <si>
    <r>
      <t xml:space="preserve">Dariaus ir Girėno g. 32A </t>
    </r>
    <r>
      <rPr>
        <i/>
        <sz val="8"/>
        <color indexed="10"/>
        <rFont val="Arial"/>
        <family val="2"/>
      </rPr>
      <t xml:space="preserve">(renov.), </t>
    </r>
    <r>
      <rPr>
        <i/>
        <sz val="8"/>
        <rFont val="Arial"/>
        <family val="2"/>
      </rPr>
      <t>Tauragė</t>
    </r>
  </si>
  <si>
    <r>
      <t xml:space="preserve">Prezidento g. 82 </t>
    </r>
    <r>
      <rPr>
        <i/>
        <sz val="8"/>
        <color indexed="10"/>
        <rFont val="Arial"/>
        <family val="2"/>
      </rPr>
      <t>(renov.)</t>
    </r>
    <r>
      <rPr>
        <i/>
        <sz val="8"/>
        <rFont val="Arial"/>
        <family val="2"/>
      </rPr>
      <t>, Tauragė</t>
    </r>
  </si>
  <si>
    <r>
      <t xml:space="preserve">Prezidento g. 65 </t>
    </r>
    <r>
      <rPr>
        <i/>
        <sz val="8"/>
        <color indexed="10"/>
        <rFont val="Arial"/>
        <family val="2"/>
      </rPr>
      <t>(renov.)</t>
    </r>
    <r>
      <rPr>
        <i/>
        <sz val="8"/>
        <rFont val="Arial"/>
        <family val="2"/>
      </rPr>
      <t>, Tauragė</t>
    </r>
  </si>
  <si>
    <r>
      <t xml:space="preserve">J.Tumo-Vaižganto g. 129B </t>
    </r>
    <r>
      <rPr>
        <i/>
        <sz val="8"/>
        <color indexed="10"/>
        <rFont val="Arial"/>
        <family val="2"/>
      </rPr>
      <t>(renov.)</t>
    </r>
    <r>
      <rPr>
        <i/>
        <sz val="8"/>
        <rFont val="Arial"/>
        <family val="2"/>
      </rPr>
      <t>, Tauragė</t>
    </r>
  </si>
  <si>
    <t>Gedimino g. 32, Tauragė</t>
  </si>
  <si>
    <t>Gedimino g. 8, Tauragė</t>
  </si>
  <si>
    <t>Dariaus ir Girėno g. 34, Tauragė</t>
  </si>
  <si>
    <t>Vaižganto g. 118, Tauragė</t>
  </si>
  <si>
    <t>Miško g. 8, Tauragė</t>
  </si>
  <si>
    <t>Vytauto g. 4B, Tauragė</t>
  </si>
  <si>
    <t>Gedimino g. 23, Tauragė</t>
  </si>
  <si>
    <t>Dariaus ir Girėno g. 26A, Tauragė</t>
  </si>
  <si>
    <t>Dainavos g. 7, Tauragė</t>
  </si>
  <si>
    <t>Žemaitės g. 32, Tauragė</t>
  </si>
  <si>
    <t>Birutės g. 36, Tauragė</t>
  </si>
  <si>
    <t>Ateities takas 18, Tauragė</t>
  </si>
  <si>
    <t>Dariaus ir Girėno g. 16A, Tauragė</t>
  </si>
  <si>
    <t>Žemaitės g. 3, Tauragė</t>
  </si>
  <si>
    <t>Respublikos g. 4, Tauragė</t>
  </si>
  <si>
    <t>Dariaus ir Girėno g. 24, Tauragė</t>
  </si>
  <si>
    <t>Prezidento g. 67, Tauragė</t>
  </si>
  <si>
    <t>Dariaus ir Grėno g. 38, Tauragė</t>
  </si>
  <si>
    <t>Vasario 16-osios g. 8, Tauragė</t>
  </si>
  <si>
    <t>Vytauto g. 62, Tauragė</t>
  </si>
  <si>
    <t>V. Kudirkos g. 5, Tauragė</t>
  </si>
  <si>
    <t>Dariaus ir Girėno g. 18, Tauragė</t>
  </si>
  <si>
    <t>Vasario 16-osios g. 10, Tauragė</t>
  </si>
  <si>
    <t>Vasario 16-osios g. 5, Tauragė</t>
  </si>
  <si>
    <t>Vasario 16-osios g. 3, Tauragė</t>
  </si>
  <si>
    <t>Vytauto g. 88, Tauragė</t>
  </si>
  <si>
    <t>Dariaus ir Girėno g. 20, Tauragė</t>
  </si>
  <si>
    <t>Prezidento g. 60, Tauragė</t>
  </si>
  <si>
    <t>Vytauto g. 78, Tauragė</t>
  </si>
  <si>
    <t>Dariaus ir Grėno g. 4, Tauragė</t>
  </si>
  <si>
    <t>Bažnyčių g. 2, Tauragė</t>
  </si>
  <si>
    <t>Ateities g. Nr. 20, Ignalina (ren.)</t>
  </si>
  <si>
    <t>Turistų g. Nr. 47, Ignalina (ren.)</t>
  </si>
  <si>
    <t>Atgimimo g. Nr. 33, Ignalina (ren.)</t>
  </si>
  <si>
    <t>Atgimimo g. Nr. 14, Ignalina (ren.)</t>
  </si>
  <si>
    <t>Aukštaičių g. Nr. 48, Ignalina (ren.)</t>
  </si>
  <si>
    <t>Vasario 16-osios g. Nr. 54, Ignalina</t>
  </si>
  <si>
    <t xml:space="preserve">Aukštaičių g. Nr. 31, Ignalina </t>
  </si>
  <si>
    <t xml:space="preserve">Ateities g. Nr. 35, Ignalina </t>
  </si>
  <si>
    <t>Atgimimo g. Nr. 16, Ignalina</t>
  </si>
  <si>
    <t xml:space="preserve">Sodų g. Nr. 4, Vidiškių k., Ignalinos raj. </t>
  </si>
  <si>
    <t>Aukštaičių g. Nr. 7, Ignalina</t>
  </si>
  <si>
    <t>Statybininkų 19, Prienai(renov)</t>
  </si>
  <si>
    <t>Vytauto 27 1 L.,Prienai</t>
  </si>
  <si>
    <t>Kęstučio 5, Prienai(renov.)</t>
  </si>
  <si>
    <t>Mokyklos 1, Veiveriai(renov.)</t>
  </si>
  <si>
    <t>Stadiono 24a, Prienai</t>
  </si>
  <si>
    <t>Vytauto 36, Prienai</t>
  </si>
  <si>
    <t>Statybininkų 5 2L., Prienai</t>
  </si>
  <si>
    <t>Statybininkų 3 2L., Prienai</t>
  </si>
  <si>
    <t>Janonio 3, Prienai</t>
  </si>
  <si>
    <t>Statybininkų 11, Prienai</t>
  </si>
  <si>
    <t>Statybininkų 9 1L., Prienai</t>
  </si>
  <si>
    <t>Stadiono 14 2L.,Prienai</t>
  </si>
  <si>
    <t>Stadiono 4 1L.,Prienai</t>
  </si>
  <si>
    <t>Tylioji 5/1, Prienai</t>
  </si>
  <si>
    <t>Stadiono 20  3L.,Prienai</t>
  </si>
  <si>
    <t>Stadiono 8  2L.,Prienai</t>
  </si>
  <si>
    <t>Vytauto 4A, Prienai</t>
  </si>
  <si>
    <t>Janonio 5, Prienai</t>
  </si>
  <si>
    <t>Kęstučio 77, Prienai</t>
  </si>
  <si>
    <t>Brundzos 10, Prienai</t>
  </si>
  <si>
    <t>P.Mašioto 59, Pakruojis</t>
  </si>
  <si>
    <t>V.Didžiojo 72, Pakruojis</t>
  </si>
  <si>
    <t>Mindaugo 4, Pakruojis</t>
  </si>
  <si>
    <t>P.Mašioto 39, Pakruojis</t>
  </si>
  <si>
    <t>Pergalės 14, Pakruojis</t>
  </si>
  <si>
    <t>Mindaugo 2B, Pakruojis</t>
  </si>
  <si>
    <t>P.Mašioto 49, Pakruojis</t>
  </si>
  <si>
    <t>Ušinsko 31a, Pakruojis</t>
  </si>
  <si>
    <t>Basanavičiaus 2a, Pakruojis</t>
  </si>
  <si>
    <t>Vilniaus 31, Pakruojis</t>
  </si>
  <si>
    <t>Joniškėlio 2, Linkuva</t>
  </si>
  <si>
    <t>Taikos 24a, Pakruojis</t>
  </si>
  <si>
    <t>Kęstučio 2, Pakruojis</t>
  </si>
  <si>
    <t>Taikos 24, Pakruojis</t>
  </si>
  <si>
    <t>Jaunimo al. 3, Šilutė</t>
  </si>
  <si>
    <t>Sodų 19, Šilutė</t>
  </si>
  <si>
    <t>Gluosnių 7, Šilutė</t>
  </si>
  <si>
    <t>Jaunimo al. 10, Šilutė</t>
  </si>
  <si>
    <t>Jaunimo al. 7, Šilutė</t>
  </si>
  <si>
    <t>Kęstučio 12a, Šilutė</t>
  </si>
  <si>
    <t>Kudirkos 8, Šilutė</t>
  </si>
  <si>
    <t>Cintjoniškių 7, Šilutė</t>
  </si>
  <si>
    <t>Sodų 2, Šilutė</t>
  </si>
  <si>
    <t>Jaunimo al. 8, Šilutė</t>
  </si>
  <si>
    <t>Sodų 17, Šilutė</t>
  </si>
  <si>
    <t>Laisvės al. 3, Šilutė</t>
  </si>
  <si>
    <t>Tilžės 40, Šilutė</t>
  </si>
  <si>
    <t>Laisvės al. 6, Šilutė</t>
  </si>
  <si>
    <t>Lietuvininkų 74, Šilutė</t>
  </si>
  <si>
    <t>Pramonės 9, Šilutė</t>
  </si>
  <si>
    <t>Taikos 19a, Šilutė</t>
  </si>
  <si>
    <t>Liepų 8, Šilutė</t>
  </si>
  <si>
    <t>Kudirkos 13, Šilutė</t>
  </si>
  <si>
    <t>Lietuvininkų 16a, Šilutė</t>
  </si>
  <si>
    <t>Kalinausko 11, Šilutė</t>
  </si>
  <si>
    <t>Kudirkos 7, Šilutė</t>
  </si>
  <si>
    <t>Turgaus 6a, Šilutė</t>
  </si>
  <si>
    <t>Tilžės 42, Šilutė</t>
  </si>
  <si>
    <t>Turgaus 2, Šilutė</t>
  </si>
  <si>
    <t>Tilžės 38, Šilutė</t>
  </si>
  <si>
    <t>Taikos 10, Šilutė</t>
  </si>
  <si>
    <t>Lietuvininku 40, Šilutė</t>
  </si>
  <si>
    <t>Lietuvininkų 2a, Šilutė</t>
  </si>
  <si>
    <t>Taikos 24, Šilutė</t>
  </si>
  <si>
    <t>Žalioji g.1a, Kvėdarna</t>
  </si>
  <si>
    <t>Jauniaus 5c, Kvėdarna</t>
  </si>
  <si>
    <t>Dariaus ir Girėno g.39, Šilalė</t>
  </si>
  <si>
    <t>Kovo  11-osios g.24, Šilalė</t>
  </si>
  <si>
    <t>D.Poškos g.12, Šilalė</t>
  </si>
  <si>
    <t>Dariaus ir Girėno g.50, Šilalė</t>
  </si>
  <si>
    <t>Žalioji g.5a, Kvėdarna, Šilalė</t>
  </si>
  <si>
    <t>Žalioji g3,Kvėdarna, Šilalė</t>
  </si>
  <si>
    <t>D.Poškos g.4, Šilalė</t>
  </si>
  <si>
    <t>Dariaus ir Girėno g.49, Šilalė</t>
  </si>
  <si>
    <t>Dariaus ir Girėno g.59, Šilalė</t>
  </si>
  <si>
    <t>Dariaus ir Girėno g.51, Šilalė</t>
  </si>
  <si>
    <t>Ramučių 39 Naujoji Akmenė</t>
  </si>
  <si>
    <t>Respublikos24 Naujoji Akmenė</t>
  </si>
  <si>
    <t>Ramučių 33 Naujoji Akmenė</t>
  </si>
  <si>
    <t>Stadiono 9 Akmenė</t>
  </si>
  <si>
    <t>V.Kudirkos 17 Naujoji Akmenė</t>
  </si>
  <si>
    <t>Nepriklausomybės4Naujoji Akmenė</t>
  </si>
  <si>
    <t>Nepriklausomybės2 Naujoji Akmenė</t>
  </si>
  <si>
    <t>V.Kudirkos 15 Naujoji Akmenė</t>
  </si>
  <si>
    <t>V.Kudirkos 22 Naujoji Akmenė</t>
  </si>
  <si>
    <t>Nepriklausomybės2c Naujoji Akmenė</t>
  </si>
  <si>
    <t>Stadiono 5 Akmenė</t>
  </si>
  <si>
    <t>Respublikos 12 Naujoji Akmenė</t>
  </si>
  <si>
    <t>Laižuvos 10 Akmenė</t>
  </si>
  <si>
    <t>Kalno 1 Akmenė</t>
  </si>
  <si>
    <t>V.Kudirkos 2 Naujoji Akmenė</t>
  </si>
  <si>
    <t>Daukanto 8 Akmenė</t>
  </si>
  <si>
    <t>Ventos 14 Venta</t>
  </si>
  <si>
    <t>Bausko 3 Venta</t>
  </si>
  <si>
    <t>Nepriklausomybės35 Naujoji Akmenė</t>
  </si>
  <si>
    <t xml:space="preserve"> BIRUTĖS 8 (renov), Jonava</t>
  </si>
  <si>
    <t xml:space="preserve"> PANERIŲ 19 (renov), Jonava</t>
  </si>
  <si>
    <t xml:space="preserve"> KOSMONAUTŲ 9 (renov), Jonava</t>
  </si>
  <si>
    <t xml:space="preserve"> J.RALIO 10 (renov), Jonava</t>
  </si>
  <si>
    <t>PANERIŲ 23 (renov), Jonava</t>
  </si>
  <si>
    <t xml:space="preserve"> PANERIŲ 21 (renov), Jonava</t>
  </si>
  <si>
    <t xml:space="preserve"> BIRUTĖS 6 (renov), Jonava</t>
  </si>
  <si>
    <t xml:space="preserve"> BIRUTĖS 7 (renov), Jonava</t>
  </si>
  <si>
    <t>LIETAVOS 31 (renov), Jonava</t>
  </si>
  <si>
    <t xml:space="preserve"> TAIKOS 5, Jonava</t>
  </si>
  <si>
    <t>CHEMIKŲ 88, Jonava</t>
  </si>
  <si>
    <t>ŽEIMIŲ TAKAS 9, Jonava</t>
  </si>
  <si>
    <t>KOSMONAUTŲ 26, Jonava</t>
  </si>
  <si>
    <t>CHEMIKŲ 128, Jonava</t>
  </si>
  <si>
    <t>KOSMONAUTŲ 24, Jonava</t>
  </si>
  <si>
    <t>CHEMIKŲ 43, Jonava</t>
  </si>
  <si>
    <t>CHEMIKŲ 13, Jonava</t>
  </si>
  <si>
    <t>ŽEMAITĖS 14, Jonava</t>
  </si>
  <si>
    <t xml:space="preserve"> CHEMIKŲ 124, Jonava</t>
  </si>
  <si>
    <t>CHEMIKŲ 66, Jonava</t>
  </si>
  <si>
    <t>ŽALIOJI 4, Jonava</t>
  </si>
  <si>
    <t>GIRELĖS 3, Jonava</t>
  </si>
  <si>
    <t>KOSMONAUTŲ 14, Jonava</t>
  </si>
  <si>
    <t>ŽEIMIU TAKAS 5, Jonava</t>
  </si>
  <si>
    <t xml:space="preserve"> CHEMIKŲ 130, Jonava</t>
  </si>
  <si>
    <t xml:space="preserve"> KULVIEČIO 14, Jonava</t>
  </si>
  <si>
    <t>J.RALIO 1, Jonava</t>
  </si>
  <si>
    <t xml:space="preserve"> VASARIO 16-OS 17, Jonava</t>
  </si>
  <si>
    <t xml:space="preserve"> CHEMIKŲ 28, Jonava</t>
  </si>
  <si>
    <t>GYV NAMAS RUKLIO 14, Jonava</t>
  </si>
  <si>
    <t>GYV NAMAS MOKYKLOS 10, Jonava</t>
  </si>
  <si>
    <t>GYV NAMAS KOSMONAUTU 34, Jonava</t>
  </si>
  <si>
    <t>GYV NAMAS BASANAVIČIAUS 72, Jonava</t>
  </si>
  <si>
    <t>GYV NAMAS KAUNO 13, Jonava</t>
  </si>
  <si>
    <t>GYV NAMAS LIETAVOS 1, Jonava</t>
  </si>
  <si>
    <t>GYV NAMAS BASANAVIČIAUS 58, Jonava</t>
  </si>
  <si>
    <t>GYV NAMAS SODU 93  II KORP., Jonava</t>
  </si>
  <si>
    <t>GYV NAMAS KAUNO 68, Jonava</t>
  </si>
  <si>
    <t>GYV NAMAS FABRIKO 14, Jonava</t>
  </si>
  <si>
    <t>B.SRUOGOS 10, Birštonas</t>
  </si>
  <si>
    <t>LELIJŲ 21, Birštonas</t>
  </si>
  <si>
    <t>LELIJŲ 11, Birštonas</t>
  </si>
  <si>
    <t>LELIJŲ 13, Birštonas</t>
  </si>
  <si>
    <t>DAR.IR GIRĖNO 23A IL., Birštonas</t>
  </si>
  <si>
    <t>VILNIAUS 10 IL., Birštonas</t>
  </si>
  <si>
    <t>DAR.IR GIRĖNO 7, Birštonas</t>
  </si>
  <si>
    <t>DAR.IR GIRĖNO 23A IIIL, Birštonas</t>
  </si>
  <si>
    <t>DAR.IR GIRĖNO 23A IIL., Birštonas</t>
  </si>
  <si>
    <t>IV. Daugiaubučiai suvartojantys labai daug šilumos (senos statybos, labai prastos šiluminės izoliacijos namai)</t>
  </si>
</sst>
</file>

<file path=xl/styles.xml><?xml version="1.0" encoding="utf-8"?>
<styleSheet xmlns="http://schemas.openxmlformats.org/spreadsheetml/2006/main">
  <numFmts count="1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0.0%"/>
    <numFmt numFmtId="169" formatCode="0.000000"/>
    <numFmt numFmtId="170" formatCode="0.0000000"/>
    <numFmt numFmtId="171" formatCode="0.00000000"/>
    <numFmt numFmtId="172" formatCode="0.000000000"/>
    <numFmt numFmtId="173" formatCode="_-* #,##0.0000\ _L_t_-;\-* #,##0.0000\ _L_t_-;_-* &quot;-&quot;??\ _L_t_-;_-@_-"/>
    <numFmt numFmtId="174" formatCode="#,##0.000"/>
  </numFmts>
  <fonts count="46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i/>
      <sz val="12"/>
      <name val="Arial"/>
      <family val="2"/>
    </font>
    <font>
      <sz val="8"/>
      <color indexed="8"/>
      <name val="Arial"/>
      <family val="2"/>
    </font>
    <font>
      <i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0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2" fontId="1" fillId="0" borderId="0" xfId="0" applyNumberFormat="1" applyFont="1" applyAlignment="1">
      <alignment vertical="top"/>
    </xf>
    <xf numFmtId="164" fontId="0" fillId="0" borderId="0" xfId="0" applyNumberFormat="1" applyAlignment="1">
      <alignment vertical="top"/>
    </xf>
    <xf numFmtId="164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2" fontId="1" fillId="13" borderId="10" xfId="0" applyNumberFormat="1" applyFont="1" applyFill="1" applyBorder="1" applyAlignment="1">
      <alignment horizontal="center"/>
    </xf>
    <xf numFmtId="0" fontId="1" fillId="13" borderId="10" xfId="0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 locked="0"/>
    </xf>
    <xf numFmtId="2" fontId="1" fillId="13" borderId="10" xfId="0" applyNumberFormat="1" applyFont="1" applyFill="1" applyBorder="1" applyAlignment="1" applyProtection="1">
      <alignment horizontal="center"/>
      <protection locked="0"/>
    </xf>
    <xf numFmtId="2" fontId="1" fillId="34" borderId="10" xfId="0" applyNumberFormat="1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 horizontal="center"/>
    </xf>
    <xf numFmtId="1" fontId="1" fillId="13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horizontal="center"/>
    </xf>
    <xf numFmtId="165" fontId="1" fillId="13" borderId="10" xfId="0" applyNumberFormat="1" applyFont="1" applyFill="1" applyBorder="1" applyAlignment="1" applyProtection="1">
      <alignment horizontal="center"/>
      <protection locked="0"/>
    </xf>
    <xf numFmtId="165" fontId="1" fillId="34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35" borderId="10" xfId="0" applyFont="1" applyFill="1" applyBorder="1" applyAlignment="1" applyProtection="1">
      <alignment horizontal="center"/>
      <protection locked="0"/>
    </xf>
    <xf numFmtId="2" fontId="1" fillId="35" borderId="10" xfId="0" applyNumberFormat="1" applyFont="1" applyFill="1" applyBorder="1" applyAlignment="1" applyProtection="1">
      <alignment horizontal="center"/>
      <protection locked="0"/>
    </xf>
    <xf numFmtId="1" fontId="1" fillId="13" borderId="10" xfId="0" applyNumberFormat="1" applyFont="1" applyFill="1" applyBorder="1" applyAlignment="1" applyProtection="1">
      <alignment horizontal="center"/>
      <protection locked="0"/>
    </xf>
    <xf numFmtId="1" fontId="1" fillId="35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vertical="top"/>
    </xf>
    <xf numFmtId="0" fontId="1" fillId="33" borderId="10" xfId="0" applyFont="1" applyFill="1" applyBorder="1" applyAlignment="1">
      <alignment/>
    </xf>
    <xf numFmtId="167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13" borderId="10" xfId="0" applyFont="1" applyFill="1" applyBorder="1" applyAlignment="1">
      <alignment/>
    </xf>
    <xf numFmtId="167" fontId="1" fillId="13" borderId="10" xfId="0" applyNumberFormat="1" applyFont="1" applyFill="1" applyBorder="1" applyAlignment="1">
      <alignment horizontal="center"/>
    </xf>
    <xf numFmtId="2" fontId="1" fillId="13" borderId="12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167" fontId="1" fillId="35" borderId="10" xfId="0" applyNumberFormat="1" applyFont="1" applyFill="1" applyBorder="1" applyAlignment="1">
      <alignment horizontal="center"/>
    </xf>
    <xf numFmtId="2" fontId="1" fillId="35" borderId="12" xfId="0" applyNumberFormat="1" applyFont="1" applyFill="1" applyBorder="1" applyAlignment="1">
      <alignment horizontal="center"/>
    </xf>
    <xf numFmtId="2" fontId="1" fillId="13" borderId="13" xfId="0" applyNumberFormat="1" applyFont="1" applyFill="1" applyBorder="1" applyAlignment="1">
      <alignment horizontal="center"/>
    </xf>
    <xf numFmtId="0" fontId="1" fillId="36" borderId="10" xfId="0" applyFont="1" applyFill="1" applyBorder="1" applyAlignment="1" applyProtection="1">
      <alignment/>
      <protection locked="0"/>
    </xf>
    <xf numFmtId="165" fontId="1" fillId="36" borderId="10" xfId="0" applyNumberFormat="1" applyFont="1" applyFill="1" applyBorder="1" applyAlignment="1" applyProtection="1">
      <alignment horizontal="center"/>
      <protection locked="0"/>
    </xf>
    <xf numFmtId="167" fontId="1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1" fillId="36" borderId="12" xfId="0" applyNumberFormat="1" applyFont="1" applyFill="1" applyBorder="1" applyAlignment="1" applyProtection="1">
      <alignment horizontal="center"/>
      <protection/>
    </xf>
    <xf numFmtId="0" fontId="1" fillId="13" borderId="10" xfId="0" applyFont="1" applyFill="1" applyBorder="1" applyAlignment="1" applyProtection="1">
      <alignment/>
      <protection locked="0"/>
    </xf>
    <xf numFmtId="167" fontId="1" fillId="13" borderId="10" xfId="0" applyNumberFormat="1" applyFont="1" applyFill="1" applyBorder="1" applyAlignment="1" applyProtection="1">
      <alignment horizontal="center"/>
      <protection/>
    </xf>
    <xf numFmtId="2" fontId="1" fillId="13" borderId="12" xfId="0" applyNumberFormat="1" applyFont="1" applyFill="1" applyBorder="1" applyAlignment="1" applyProtection="1">
      <alignment horizontal="center"/>
      <protection/>
    </xf>
    <xf numFmtId="2" fontId="1" fillId="13" borderId="10" xfId="0" applyNumberFormat="1" applyFon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/>
      <protection locked="0"/>
    </xf>
    <xf numFmtId="167" fontId="1" fillId="34" borderId="10" xfId="0" applyNumberFormat="1" applyFont="1" applyFill="1" applyBorder="1" applyAlignment="1" applyProtection="1">
      <alignment horizontal="center"/>
      <protection/>
    </xf>
    <xf numFmtId="2" fontId="1" fillId="34" borderId="10" xfId="0" applyNumberFormat="1" applyFont="1" applyFill="1" applyBorder="1" applyAlignment="1" applyProtection="1">
      <alignment horizontal="center"/>
      <protection/>
    </xf>
    <xf numFmtId="2" fontId="1" fillId="34" borderId="12" xfId="0" applyNumberFormat="1" applyFont="1" applyFill="1" applyBorder="1" applyAlignment="1" applyProtection="1">
      <alignment horizontal="center"/>
      <protection/>
    </xf>
    <xf numFmtId="0" fontId="9" fillId="33" borderId="10" xfId="56" applyFont="1" applyFill="1" applyBorder="1" applyAlignment="1">
      <alignment horizontal="left" vertical="top" wrapText="1"/>
      <protection/>
    </xf>
    <xf numFmtId="3" fontId="9" fillId="33" borderId="10" xfId="56" applyNumberFormat="1" applyFont="1" applyFill="1" applyBorder="1" applyAlignment="1">
      <alignment horizontal="center" vertical="top" wrapText="1"/>
      <protection/>
    </xf>
    <xf numFmtId="1" fontId="1" fillId="36" borderId="10" xfId="0" applyNumberFormat="1" applyFont="1" applyFill="1" applyBorder="1" applyAlignment="1" applyProtection="1">
      <alignment horizontal="center"/>
      <protection locked="0"/>
    </xf>
    <xf numFmtId="2" fontId="1" fillId="33" borderId="12" xfId="0" applyNumberFormat="1" applyFont="1" applyFill="1" applyBorder="1" applyAlignment="1" applyProtection="1">
      <alignment horizontal="center"/>
      <protection/>
    </xf>
    <xf numFmtId="1" fontId="1" fillId="34" borderId="10" xfId="0" applyNumberFormat="1" applyFont="1" applyFill="1" applyBorder="1" applyAlignment="1" applyProtection="1">
      <alignment horizontal="center"/>
      <protection locked="0"/>
    </xf>
    <xf numFmtId="2" fontId="1" fillId="33" borderId="10" xfId="0" applyNumberFormat="1" applyFont="1" applyFill="1" applyBorder="1" applyAlignment="1" applyProtection="1">
      <alignment horizontal="center"/>
      <protection/>
    </xf>
    <xf numFmtId="167" fontId="1" fillId="33" borderId="10" xfId="0" applyNumberFormat="1" applyFont="1" applyFill="1" applyBorder="1" applyAlignment="1" applyProtection="1">
      <alignment horizontal="center"/>
      <protection/>
    </xf>
    <xf numFmtId="167" fontId="1" fillId="35" borderId="10" xfId="0" applyNumberFormat="1" applyFont="1" applyFill="1" applyBorder="1" applyAlignment="1" applyProtection="1">
      <alignment horizontal="center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1" fillId="35" borderId="12" xfId="0" applyNumberFormat="1" applyFont="1" applyFill="1" applyBorder="1" applyAlignment="1" applyProtection="1">
      <alignment horizontal="center"/>
      <protection/>
    </xf>
    <xf numFmtId="0" fontId="1" fillId="35" borderId="10" xfId="0" applyFont="1" applyFill="1" applyBorder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 horizontal="center"/>
      <protection locked="0"/>
    </xf>
    <xf numFmtId="1" fontId="9" fillId="33" borderId="10" xfId="56" applyNumberFormat="1" applyFont="1" applyFill="1" applyBorder="1" applyAlignment="1">
      <alignment horizontal="center" vertical="top" wrapText="1"/>
      <protection/>
    </xf>
    <xf numFmtId="1" fontId="1" fillId="35" borderId="10" xfId="0" applyNumberFormat="1" applyFont="1" applyFill="1" applyBorder="1" applyAlignment="1" applyProtection="1">
      <alignment horizontal="center"/>
      <protection locked="0"/>
    </xf>
    <xf numFmtId="165" fontId="1" fillId="33" borderId="10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 applyProtection="1">
      <alignment horizontal="center"/>
      <protection locked="0"/>
    </xf>
    <xf numFmtId="165" fontId="9" fillId="33" borderId="10" xfId="56" applyNumberFormat="1" applyFont="1" applyFill="1" applyBorder="1" applyAlignment="1">
      <alignment horizontal="center" vertical="top" wrapText="1"/>
      <protection/>
    </xf>
    <xf numFmtId="165" fontId="1" fillId="13" borderId="10" xfId="0" applyNumberFormat="1" applyFont="1" applyFill="1" applyBorder="1" applyAlignment="1">
      <alignment horizontal="center"/>
    </xf>
    <xf numFmtId="165" fontId="1" fillId="13" borderId="13" xfId="0" applyNumberFormat="1" applyFont="1" applyFill="1" applyBorder="1" applyAlignment="1">
      <alignment horizontal="center"/>
    </xf>
    <xf numFmtId="165" fontId="1" fillId="35" borderId="10" xfId="0" applyNumberFormat="1" applyFont="1" applyFill="1" applyBorder="1" applyAlignment="1" applyProtection="1">
      <alignment horizontal="center"/>
      <protection locked="0"/>
    </xf>
    <xf numFmtId="165" fontId="1" fillId="35" borderId="10" xfId="0" applyNumberFormat="1" applyFont="1" applyFill="1" applyBorder="1" applyAlignment="1">
      <alignment horizontal="center"/>
    </xf>
    <xf numFmtId="167" fontId="1" fillId="13" borderId="11" xfId="0" applyNumberFormat="1" applyFont="1" applyFill="1" applyBorder="1" applyAlignment="1" applyProtection="1">
      <alignment horizontal="center"/>
      <protection/>
    </xf>
    <xf numFmtId="2" fontId="1" fillId="13" borderId="11" xfId="0" applyNumberFormat="1" applyFont="1" applyFill="1" applyBorder="1" applyAlignment="1" applyProtection="1">
      <alignment horizontal="center"/>
      <protection locked="0"/>
    </xf>
    <xf numFmtId="2" fontId="1" fillId="13" borderId="11" xfId="0" applyNumberFormat="1" applyFont="1" applyFill="1" applyBorder="1" applyAlignment="1" applyProtection="1">
      <alignment horizontal="center"/>
      <protection/>
    </xf>
    <xf numFmtId="2" fontId="1" fillId="13" borderId="14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 locked="0"/>
    </xf>
    <xf numFmtId="166" fontId="1" fillId="13" borderId="10" xfId="0" applyNumberFormat="1" applyFont="1" applyFill="1" applyBorder="1" applyAlignment="1" applyProtection="1">
      <alignment horizontal="center"/>
      <protection locked="0"/>
    </xf>
    <xf numFmtId="0" fontId="1" fillId="13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2" fontId="2" fillId="0" borderId="12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65" fontId="1" fillId="35" borderId="11" xfId="0" applyNumberFormat="1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/>
    </xf>
    <xf numFmtId="1" fontId="1" fillId="34" borderId="13" xfId="0" applyNumberFormat="1" applyFont="1" applyFill="1" applyBorder="1" applyAlignment="1" applyProtection="1">
      <alignment horizontal="center"/>
      <protection locked="0"/>
    </xf>
    <xf numFmtId="2" fontId="1" fillId="34" borderId="13" xfId="0" applyNumberFormat="1" applyFont="1" applyFill="1" applyBorder="1" applyAlignment="1" applyProtection="1">
      <alignment horizontal="center"/>
      <protection locked="0"/>
    </xf>
    <xf numFmtId="2" fontId="1" fillId="34" borderId="13" xfId="0" applyNumberFormat="1" applyFont="1" applyFill="1" applyBorder="1" applyAlignment="1" applyProtection="1">
      <alignment horizontal="center"/>
      <protection/>
    </xf>
    <xf numFmtId="167" fontId="1" fillId="34" borderId="13" xfId="0" applyNumberFormat="1" applyFont="1" applyFill="1" applyBorder="1" applyAlignment="1" applyProtection="1">
      <alignment horizontal="center"/>
      <protection/>
    </xf>
    <xf numFmtId="2" fontId="1" fillId="34" borderId="16" xfId="0" applyNumberFormat="1" applyFont="1" applyFill="1" applyBorder="1" applyAlignment="1" applyProtection="1">
      <alignment horizontal="center"/>
      <protection/>
    </xf>
    <xf numFmtId="0" fontId="9" fillId="13" borderId="10" xfId="56" applyFont="1" applyFill="1" applyBorder="1" applyAlignment="1">
      <alignment horizontal="left" vertical="top" wrapText="1"/>
      <protection/>
    </xf>
    <xf numFmtId="3" fontId="9" fillId="13" borderId="10" xfId="56" applyNumberFormat="1" applyFont="1" applyFill="1" applyBorder="1" applyAlignment="1">
      <alignment horizontal="center" vertical="top" wrapText="1"/>
      <protection/>
    </xf>
    <xf numFmtId="165" fontId="9" fillId="13" borderId="10" xfId="56" applyNumberFormat="1" applyFont="1" applyFill="1" applyBorder="1" applyAlignment="1">
      <alignment horizontal="center" vertical="top" wrapText="1"/>
      <protection/>
    </xf>
    <xf numFmtId="1" fontId="9" fillId="13" borderId="10" xfId="56" applyNumberFormat="1" applyFont="1" applyFill="1" applyBorder="1" applyAlignment="1">
      <alignment horizontal="center" vertical="top" wrapText="1"/>
      <protection/>
    </xf>
    <xf numFmtId="167" fontId="1" fillId="35" borderId="13" xfId="0" applyNumberFormat="1" applyFont="1" applyFill="1" applyBorder="1" applyAlignment="1" applyProtection="1">
      <alignment horizontal="center"/>
      <protection/>
    </xf>
    <xf numFmtId="2" fontId="1" fillId="35" borderId="13" xfId="0" applyNumberFormat="1" applyFont="1" applyFill="1" applyBorder="1" applyAlignment="1" applyProtection="1">
      <alignment horizontal="center"/>
      <protection/>
    </xf>
    <xf numFmtId="2" fontId="1" fillId="35" borderId="16" xfId="0" applyNumberFormat="1" applyFont="1" applyFill="1" applyBorder="1" applyAlignment="1" applyProtection="1">
      <alignment horizontal="center"/>
      <protection/>
    </xf>
    <xf numFmtId="165" fontId="1" fillId="35" borderId="13" xfId="0" applyNumberFormat="1" applyFont="1" applyFill="1" applyBorder="1" applyAlignment="1" applyProtection="1">
      <alignment horizontal="center"/>
      <protection locked="0"/>
    </xf>
    <xf numFmtId="165" fontId="9" fillId="13" borderId="10" xfId="0" applyNumberFormat="1" applyFont="1" applyFill="1" applyBorder="1" applyAlignment="1" applyProtection="1">
      <alignment horizontal="center" vertical="top"/>
      <protection locked="0"/>
    </xf>
    <xf numFmtId="1" fontId="9" fillId="13" borderId="10" xfId="0" applyNumberFormat="1" applyFont="1" applyFill="1" applyBorder="1" applyAlignment="1" applyProtection="1">
      <alignment horizontal="center" vertical="top"/>
      <protection locked="0"/>
    </xf>
    <xf numFmtId="2" fontId="1" fillId="35" borderId="13" xfId="0" applyNumberFormat="1" applyFont="1" applyFill="1" applyBorder="1" applyAlignment="1" applyProtection="1">
      <alignment horizontal="center"/>
      <protection locked="0"/>
    </xf>
    <xf numFmtId="165" fontId="1" fillId="36" borderId="10" xfId="42" applyNumberFormat="1" applyFont="1" applyFill="1" applyBorder="1" applyAlignment="1">
      <alignment horizontal="center"/>
    </xf>
    <xf numFmtId="0" fontId="1" fillId="13" borderId="10" xfId="60" applyFont="1" applyFill="1" applyBorder="1" applyAlignment="1">
      <alignment horizontal="center"/>
      <protection/>
    </xf>
    <xf numFmtId="165" fontId="1" fillId="13" borderId="10" xfId="60" applyNumberFormat="1" applyFont="1" applyFill="1" applyBorder="1" applyAlignment="1">
      <alignment horizontal="center"/>
      <protection/>
    </xf>
    <xf numFmtId="1" fontId="1" fillId="13" borderId="10" xfId="60" applyNumberFormat="1" applyFont="1" applyFill="1" applyBorder="1" applyAlignment="1">
      <alignment horizontal="center"/>
      <protection/>
    </xf>
    <xf numFmtId="167" fontId="1" fillId="13" borderId="10" xfId="60" applyNumberFormat="1" applyFont="1" applyFill="1" applyBorder="1" applyAlignment="1">
      <alignment horizontal="center"/>
      <protection/>
    </xf>
    <xf numFmtId="2" fontId="1" fillId="13" borderId="10" xfId="60" applyNumberFormat="1" applyFont="1" applyFill="1" applyBorder="1" applyAlignment="1">
      <alignment horizontal="center"/>
      <protection/>
    </xf>
    <xf numFmtId="0" fontId="1" fillId="37" borderId="10" xfId="0" applyFont="1" applyFill="1" applyBorder="1" applyAlignment="1" applyProtection="1">
      <alignment horizontal="center"/>
      <protection locked="0"/>
    </xf>
    <xf numFmtId="3" fontId="9" fillId="13" borderId="10" xfId="0" applyNumberFormat="1" applyFont="1" applyFill="1" applyBorder="1" applyAlignment="1" applyProtection="1">
      <alignment horizontal="center" vertical="top"/>
      <protection locked="0"/>
    </xf>
    <xf numFmtId="2" fontId="1" fillId="35" borderId="10" xfId="60" applyNumberFormat="1" applyFont="1" applyFill="1" applyBorder="1" applyAlignment="1">
      <alignment horizontal="center"/>
      <protection/>
    </xf>
    <xf numFmtId="2" fontId="1" fillId="13" borderId="12" xfId="60" applyNumberFormat="1" applyFont="1" applyFill="1" applyBorder="1" applyAlignment="1">
      <alignment horizontal="center"/>
      <protection/>
    </xf>
    <xf numFmtId="0" fontId="1" fillId="35" borderId="11" xfId="0" applyFont="1" applyFill="1" applyBorder="1" applyAlignment="1">
      <alignment/>
    </xf>
    <xf numFmtId="0" fontId="1" fillId="35" borderId="10" xfId="60" applyFont="1" applyFill="1" applyBorder="1" applyAlignment="1">
      <alignment horizontal="center"/>
      <protection/>
    </xf>
    <xf numFmtId="165" fontId="1" fillId="35" borderId="10" xfId="60" applyNumberFormat="1" applyFont="1" applyFill="1" applyBorder="1" applyAlignment="1">
      <alignment horizontal="center"/>
      <protection/>
    </xf>
    <xf numFmtId="1" fontId="1" fillId="35" borderId="10" xfId="60" applyNumberFormat="1" applyFont="1" applyFill="1" applyBorder="1" applyAlignment="1">
      <alignment horizontal="center"/>
      <protection/>
    </xf>
    <xf numFmtId="167" fontId="1" fillId="35" borderId="10" xfId="60" applyNumberFormat="1" applyFont="1" applyFill="1" applyBorder="1" applyAlignment="1">
      <alignment horizontal="center"/>
      <protection/>
    </xf>
    <xf numFmtId="0" fontId="1" fillId="13" borderId="13" xfId="0" applyFont="1" applyFill="1" applyBorder="1" applyAlignment="1">
      <alignment/>
    </xf>
    <xf numFmtId="0" fontId="1" fillId="13" borderId="13" xfId="0" applyFont="1" applyFill="1" applyBorder="1" applyAlignment="1">
      <alignment horizontal="center"/>
    </xf>
    <xf numFmtId="1" fontId="1" fillId="13" borderId="13" xfId="0" applyNumberFormat="1" applyFont="1" applyFill="1" applyBorder="1" applyAlignment="1">
      <alignment horizontal="center"/>
    </xf>
    <xf numFmtId="167" fontId="1" fillId="13" borderId="13" xfId="0" applyNumberFormat="1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1" fillId="38" borderId="10" xfId="0" applyFont="1" applyFill="1" applyBorder="1" applyAlignment="1">
      <alignment horizontal="center"/>
    </xf>
    <xf numFmtId="165" fontId="1" fillId="38" borderId="10" xfId="0" applyNumberFormat="1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/>
    </xf>
    <xf numFmtId="167" fontId="1" fillId="38" borderId="10" xfId="0" applyNumberFormat="1" applyFont="1" applyFill="1" applyBorder="1" applyAlignment="1">
      <alignment horizontal="center"/>
    </xf>
    <xf numFmtId="2" fontId="1" fillId="38" borderId="10" xfId="0" applyNumberFormat="1" applyFont="1" applyFill="1" applyBorder="1" applyAlignment="1">
      <alignment horizontal="center"/>
    </xf>
    <xf numFmtId="2" fontId="1" fillId="38" borderId="12" xfId="0" applyNumberFormat="1" applyFont="1" applyFill="1" applyBorder="1" applyAlignment="1">
      <alignment horizontal="center"/>
    </xf>
    <xf numFmtId="2" fontId="1" fillId="13" borderId="17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vertical="center"/>
    </xf>
    <xf numFmtId="0" fontId="1" fillId="35" borderId="10" xfId="0" applyFont="1" applyFill="1" applyBorder="1" applyAlignment="1">
      <alignment horizontal="center" vertical="center"/>
    </xf>
    <xf numFmtId="0" fontId="1" fillId="36" borderId="18" xfId="0" applyFont="1" applyFill="1" applyBorder="1" applyAlignment="1" applyProtection="1">
      <alignment horizontal="center"/>
      <protection locked="0"/>
    </xf>
    <xf numFmtId="165" fontId="1" fillId="36" borderId="18" xfId="0" applyNumberFormat="1" applyFont="1" applyFill="1" applyBorder="1" applyAlignment="1" applyProtection="1">
      <alignment horizontal="center"/>
      <protection locked="0"/>
    </xf>
    <xf numFmtId="1" fontId="1" fillId="36" borderId="18" xfId="0" applyNumberFormat="1" applyFont="1" applyFill="1" applyBorder="1" applyAlignment="1" applyProtection="1">
      <alignment horizontal="center"/>
      <protection locked="0"/>
    </xf>
    <xf numFmtId="167" fontId="1" fillId="36" borderId="18" xfId="0" applyNumberFormat="1" applyFont="1" applyFill="1" applyBorder="1" applyAlignment="1" applyProtection="1">
      <alignment horizontal="center"/>
      <protection/>
    </xf>
    <xf numFmtId="2" fontId="1" fillId="36" borderId="18" xfId="0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174" fontId="9" fillId="36" borderId="10" xfId="0" applyNumberFormat="1" applyFont="1" applyFill="1" applyBorder="1" applyAlignment="1">
      <alignment horizontal="center" vertical="top" wrapText="1"/>
    </xf>
    <xf numFmtId="174" fontId="1" fillId="36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 wrapText="1"/>
    </xf>
    <xf numFmtId="0" fontId="1" fillId="13" borderId="10" xfId="0" applyFont="1" applyFill="1" applyBorder="1" applyAlignment="1">
      <alignment horizontal="center" vertical="center"/>
    </xf>
    <xf numFmtId="174" fontId="9" fillId="13" borderId="10" xfId="0" applyNumberFormat="1" applyFont="1" applyFill="1" applyBorder="1" applyAlignment="1">
      <alignment horizontal="center" vertical="top" wrapText="1"/>
    </xf>
    <xf numFmtId="174" fontId="1" fillId="13" borderId="10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 wrapText="1"/>
    </xf>
    <xf numFmtId="1" fontId="1" fillId="13" borderId="10" xfId="0" applyNumberFormat="1" applyFont="1" applyFill="1" applyBorder="1" applyAlignment="1">
      <alignment horizontal="center" vertical="center"/>
    </xf>
    <xf numFmtId="0" fontId="1" fillId="39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9" borderId="10" xfId="60" applyFont="1" applyFill="1" applyBorder="1" applyAlignment="1" applyProtection="1">
      <alignment horizontal="center" vertical="center"/>
      <protection locked="0"/>
    </xf>
    <xf numFmtId="174" fontId="9" fillId="39" borderId="10" xfId="0" applyNumberFormat="1" applyFont="1" applyFill="1" applyBorder="1" applyAlignment="1">
      <alignment horizontal="center" vertical="top" wrapText="1"/>
    </xf>
    <xf numFmtId="174" fontId="9" fillId="39" borderId="10" xfId="61" applyNumberFormat="1" applyFont="1" applyFill="1" applyBorder="1" applyAlignment="1" applyProtection="1">
      <alignment horizontal="center" vertical="center" wrapText="1"/>
      <protection locked="0"/>
    </xf>
    <xf numFmtId="1" fontId="1" fillId="39" borderId="10" xfId="60" applyNumberFormat="1" applyFont="1" applyFill="1" applyBorder="1" applyAlignment="1" applyProtection="1">
      <alignment horizontal="center" vertical="center"/>
      <protection locked="0"/>
    </xf>
    <xf numFmtId="1" fontId="9" fillId="39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36" borderId="10" xfId="0" applyFont="1" applyFill="1" applyBorder="1" applyAlignment="1" applyProtection="1">
      <alignment/>
      <protection locked="0"/>
    </xf>
    <xf numFmtId="0" fontId="9" fillId="36" borderId="10" xfId="0" applyFont="1" applyFill="1" applyBorder="1" applyAlignment="1" applyProtection="1">
      <alignment horizontal="center"/>
      <protection locked="0"/>
    </xf>
    <xf numFmtId="0" fontId="1" fillId="37" borderId="10" xfId="0" applyFont="1" applyFill="1" applyBorder="1" applyAlignment="1" applyProtection="1">
      <alignment/>
      <protection locked="0"/>
    </xf>
    <xf numFmtId="0" fontId="1" fillId="39" borderId="10" xfId="0" applyFont="1" applyFill="1" applyBorder="1" applyAlignment="1" applyProtection="1">
      <alignment/>
      <protection locked="0"/>
    </xf>
    <xf numFmtId="0" fontId="1" fillId="13" borderId="11" xfId="0" applyFont="1" applyFill="1" applyBorder="1" applyAlignment="1">
      <alignment/>
    </xf>
    <xf numFmtId="0" fontId="1" fillId="13" borderId="11" xfId="0" applyFont="1" applyFill="1" applyBorder="1" applyAlignment="1">
      <alignment horizontal="center"/>
    </xf>
    <xf numFmtId="165" fontId="1" fillId="13" borderId="11" xfId="0" applyNumberFormat="1" applyFont="1" applyFill="1" applyBorder="1" applyAlignment="1">
      <alignment horizontal="center"/>
    </xf>
    <xf numFmtId="1" fontId="1" fillId="13" borderId="11" xfId="0" applyNumberFormat="1" applyFont="1" applyFill="1" applyBorder="1" applyAlignment="1">
      <alignment horizontal="center"/>
    </xf>
    <xf numFmtId="2" fontId="1" fillId="33" borderId="17" xfId="0" applyNumberFormat="1" applyFont="1" applyFill="1" applyBorder="1" applyAlignment="1" applyProtection="1">
      <alignment horizontal="center"/>
      <protection/>
    </xf>
    <xf numFmtId="0" fontId="1" fillId="35" borderId="11" xfId="0" applyFont="1" applyFill="1" applyBorder="1" applyAlignment="1" applyProtection="1">
      <alignment horizontal="center"/>
      <protection locked="0"/>
    </xf>
    <xf numFmtId="165" fontId="1" fillId="35" borderId="11" xfId="0" applyNumberFormat="1" applyFont="1" applyFill="1" applyBorder="1" applyAlignment="1" applyProtection="1">
      <alignment horizontal="center"/>
      <protection locked="0"/>
    </xf>
    <xf numFmtId="167" fontId="1" fillId="35" borderId="11" xfId="0" applyNumberFormat="1" applyFont="1" applyFill="1" applyBorder="1" applyAlignment="1" applyProtection="1">
      <alignment horizontal="center"/>
      <protection/>
    </xf>
    <xf numFmtId="2" fontId="1" fillId="35" borderId="11" xfId="0" applyNumberFormat="1" applyFont="1" applyFill="1" applyBorder="1" applyAlignment="1" applyProtection="1">
      <alignment horizontal="center"/>
      <protection/>
    </xf>
    <xf numFmtId="2" fontId="1" fillId="35" borderId="14" xfId="0" applyNumberFormat="1" applyFont="1" applyFill="1" applyBorder="1" applyAlignment="1" applyProtection="1">
      <alignment horizontal="center"/>
      <protection/>
    </xf>
    <xf numFmtId="2" fontId="1" fillId="33" borderId="18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 locked="0"/>
    </xf>
    <xf numFmtId="165" fontId="1" fillId="33" borderId="11" xfId="0" applyNumberFormat="1" applyFont="1" applyFill="1" applyBorder="1" applyAlignment="1" applyProtection="1">
      <alignment horizontal="center"/>
      <protection locked="0"/>
    </xf>
    <xf numFmtId="1" fontId="1" fillId="33" borderId="11" xfId="0" applyNumberFormat="1" applyFont="1" applyFill="1" applyBorder="1" applyAlignment="1" applyProtection="1">
      <alignment horizontal="center"/>
      <protection locked="0"/>
    </xf>
    <xf numFmtId="167" fontId="1" fillId="33" borderId="11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/>
    </xf>
    <xf numFmtId="2" fontId="1" fillId="33" borderId="14" xfId="0" applyNumberFormat="1" applyFont="1" applyFill="1" applyBorder="1" applyAlignment="1" applyProtection="1">
      <alignment horizontal="center"/>
      <protection/>
    </xf>
    <xf numFmtId="2" fontId="1" fillId="33" borderId="11" xfId="0" applyNumberFormat="1" applyFont="1" applyFill="1" applyBorder="1" applyAlignment="1" applyProtection="1">
      <alignment horizontal="center"/>
      <protection locked="0"/>
    </xf>
    <xf numFmtId="2" fontId="1" fillId="35" borderId="11" xfId="0" applyNumberFormat="1" applyFont="1" applyFill="1" applyBorder="1" applyAlignment="1" applyProtection="1">
      <alignment horizontal="center"/>
      <protection locked="0"/>
    </xf>
    <xf numFmtId="165" fontId="9" fillId="35" borderId="13" xfId="0" applyNumberFormat="1" applyFont="1" applyFill="1" applyBorder="1" applyAlignment="1" applyProtection="1">
      <alignment horizontal="center" vertical="top"/>
      <protection locked="0"/>
    </xf>
    <xf numFmtId="1" fontId="9" fillId="35" borderId="13" xfId="0" applyNumberFormat="1" applyFont="1" applyFill="1" applyBorder="1" applyAlignment="1" applyProtection="1">
      <alignment horizontal="center" vertical="top"/>
      <protection locked="0"/>
    </xf>
    <xf numFmtId="165" fontId="9" fillId="35" borderId="10" xfId="0" applyNumberFormat="1" applyFont="1" applyFill="1" applyBorder="1" applyAlignment="1" applyProtection="1">
      <alignment horizontal="center" vertical="top"/>
      <protection locked="0"/>
    </xf>
    <xf numFmtId="1" fontId="9" fillId="35" borderId="10" xfId="0" applyNumberFormat="1" applyFont="1" applyFill="1" applyBorder="1" applyAlignment="1" applyProtection="1">
      <alignment horizontal="center" vertical="top"/>
      <protection locked="0"/>
    </xf>
    <xf numFmtId="3" fontId="9" fillId="35" borderId="13" xfId="0" applyNumberFormat="1" applyFont="1" applyFill="1" applyBorder="1" applyAlignment="1" applyProtection="1">
      <alignment horizontal="center" vertical="top"/>
      <protection locked="0"/>
    </xf>
    <xf numFmtId="3" fontId="9" fillId="35" borderId="10" xfId="0" applyNumberFormat="1" applyFont="1" applyFill="1" applyBorder="1" applyAlignment="1" applyProtection="1">
      <alignment horizontal="center" vertical="top"/>
      <protection locked="0"/>
    </xf>
    <xf numFmtId="165" fontId="1" fillId="13" borderId="10" xfId="0" applyNumberFormat="1" applyFont="1" applyFill="1" applyBorder="1" applyAlignment="1">
      <alignment horizontal="center"/>
    </xf>
    <xf numFmtId="166" fontId="1" fillId="36" borderId="10" xfId="0" applyNumberFormat="1" applyFont="1" applyFill="1" applyBorder="1" applyAlignment="1" applyProtection="1">
      <alignment horizontal="center"/>
      <protection locked="0"/>
    </xf>
    <xf numFmtId="0" fontId="1" fillId="13" borderId="10" xfId="60" applyFont="1" applyFill="1" applyBorder="1">
      <alignment/>
      <protection/>
    </xf>
    <xf numFmtId="0" fontId="1" fillId="35" borderId="10" xfId="60" applyFont="1" applyFill="1" applyBorder="1">
      <alignment/>
      <protection/>
    </xf>
    <xf numFmtId="165" fontId="1" fillId="34" borderId="10" xfId="0" applyNumberFormat="1" applyFont="1" applyFill="1" applyBorder="1" applyAlignment="1">
      <alignment horizontal="center"/>
    </xf>
    <xf numFmtId="165" fontId="1" fillId="39" borderId="10" xfId="0" applyNumberFormat="1" applyFont="1" applyFill="1" applyBorder="1" applyAlignment="1">
      <alignment horizontal="center"/>
    </xf>
    <xf numFmtId="166" fontId="1" fillId="39" borderId="10" xfId="0" applyNumberFormat="1" applyFont="1" applyFill="1" applyBorder="1" applyAlignment="1" applyProtection="1">
      <alignment horizontal="center"/>
      <protection locked="0"/>
    </xf>
    <xf numFmtId="165" fontId="45" fillId="33" borderId="10" xfId="0" applyNumberFormat="1" applyFont="1" applyFill="1" applyBorder="1" applyAlignment="1" applyProtection="1">
      <alignment horizontal="center"/>
      <protection locked="0"/>
    </xf>
    <xf numFmtId="0" fontId="8" fillId="35" borderId="19" xfId="0" applyFont="1" applyFill="1" applyBorder="1" applyAlignment="1">
      <alignment horizontal="center" vertical="center" textRotation="90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34" borderId="20" xfId="0" applyFont="1" applyFill="1" applyBorder="1" applyAlignment="1">
      <alignment horizontal="center" vertical="center" textRotation="90"/>
    </xf>
    <xf numFmtId="0" fontId="8" fillId="13" borderId="20" xfId="0" applyFont="1" applyFill="1" applyBorder="1" applyAlignment="1">
      <alignment horizontal="center" vertical="center" textRotation="90"/>
    </xf>
    <xf numFmtId="0" fontId="8" fillId="13" borderId="21" xfId="0" applyFont="1" applyFill="1" applyBorder="1" applyAlignment="1">
      <alignment horizontal="center" vertical="center" textRotation="90"/>
    </xf>
    <xf numFmtId="0" fontId="8" fillId="33" borderId="22" xfId="0" applyFont="1" applyFill="1" applyBorder="1" applyAlignment="1">
      <alignment horizontal="center" vertical="center" textRotation="90"/>
    </xf>
    <xf numFmtId="0" fontId="8" fillId="33" borderId="20" xfId="0" applyFont="1" applyFill="1" applyBorder="1" applyAlignment="1">
      <alignment horizontal="center" vertical="center" textRotation="90"/>
    </xf>
    <xf numFmtId="0" fontId="8" fillId="33" borderId="21" xfId="0" applyFont="1" applyFill="1" applyBorder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167" fontId="1" fillId="0" borderId="13" xfId="0" applyNumberFormat="1" applyFont="1" applyFill="1" applyBorder="1" applyAlignment="1">
      <alignment horizontal="center" vertical="center" wrapText="1"/>
    </xf>
    <xf numFmtId="167" fontId="1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39" borderId="10" xfId="0" applyFont="1" applyFill="1" applyBorder="1" applyAlignment="1" applyProtection="1">
      <alignment/>
      <protection locked="0"/>
    </xf>
    <xf numFmtId="0" fontId="1" fillId="39" borderId="10" xfId="0" applyFont="1" applyFill="1" applyBorder="1" applyAlignment="1" applyProtection="1">
      <alignment horizontal="center"/>
      <protection locked="0"/>
    </xf>
    <xf numFmtId="165" fontId="1" fillId="39" borderId="10" xfId="0" applyNumberFormat="1" applyFont="1" applyFill="1" applyBorder="1" applyAlignment="1" applyProtection="1">
      <alignment horizontal="center"/>
      <protection locked="0"/>
    </xf>
    <xf numFmtId="1" fontId="1" fillId="39" borderId="10" xfId="0" applyNumberFormat="1" applyFont="1" applyFill="1" applyBorder="1" applyAlignment="1" applyProtection="1">
      <alignment horizontal="center"/>
      <protection locked="0"/>
    </xf>
    <xf numFmtId="167" fontId="1" fillId="39" borderId="10" xfId="0" applyNumberFormat="1" applyFont="1" applyFill="1" applyBorder="1" applyAlignment="1" applyProtection="1">
      <alignment horizontal="center"/>
      <protection/>
    </xf>
    <xf numFmtId="2" fontId="1" fillId="39" borderId="10" xfId="0" applyNumberFormat="1" applyFont="1" applyFill="1" applyBorder="1" applyAlignment="1" applyProtection="1">
      <alignment horizontal="center"/>
      <protection locked="0"/>
    </xf>
    <xf numFmtId="2" fontId="1" fillId="39" borderId="10" xfId="0" applyNumberFormat="1" applyFont="1" applyFill="1" applyBorder="1" applyAlignment="1" applyProtection="1">
      <alignment horizontal="center"/>
      <protection/>
    </xf>
    <xf numFmtId="2" fontId="1" fillId="39" borderId="12" xfId="0" applyNumberFormat="1" applyFont="1" applyFill="1" applyBorder="1" applyAlignment="1" applyProtection="1">
      <alignment horizontal="center"/>
      <protection/>
    </xf>
    <xf numFmtId="0" fontId="1" fillId="36" borderId="10" xfId="0" applyFont="1" applyFill="1" applyBorder="1" applyAlignment="1">
      <alignment/>
    </xf>
    <xf numFmtId="165" fontId="1" fillId="36" borderId="10" xfId="0" applyNumberFormat="1" applyFont="1" applyFill="1" applyBorder="1" applyAlignment="1">
      <alignment horizontal="center"/>
    </xf>
    <xf numFmtId="2" fontId="1" fillId="36" borderId="10" xfId="0" applyNumberFormat="1" applyFont="1" applyFill="1" applyBorder="1" applyAlignment="1">
      <alignment horizontal="center"/>
    </xf>
    <xf numFmtId="1" fontId="1" fillId="36" borderId="10" xfId="0" applyNumberFormat="1" applyFont="1" applyFill="1" applyBorder="1" applyAlignment="1">
      <alignment horizontal="center"/>
    </xf>
    <xf numFmtId="167" fontId="1" fillId="36" borderId="10" xfId="0" applyNumberFormat="1" applyFont="1" applyFill="1" applyBorder="1" applyAlignment="1">
      <alignment horizontal="center"/>
    </xf>
    <xf numFmtId="0" fontId="1" fillId="36" borderId="10" xfId="0" applyFont="1" applyFill="1" applyBorder="1" applyAlignment="1" applyProtection="1">
      <alignment horizontal="center"/>
      <protection locked="0"/>
    </xf>
    <xf numFmtId="49" fontId="1" fillId="36" borderId="10" xfId="0" applyNumberFormat="1" applyFont="1" applyFill="1" applyBorder="1" applyAlignment="1" applyProtection="1">
      <alignment horizontal="center"/>
      <protection locked="0"/>
    </xf>
    <xf numFmtId="2" fontId="1" fillId="36" borderId="10" xfId="0" applyNumberFormat="1" applyFont="1" applyFill="1" applyBorder="1" applyAlignment="1" applyProtection="1">
      <alignment horizontal="center"/>
      <protection locked="0"/>
    </xf>
    <xf numFmtId="0" fontId="1" fillId="36" borderId="10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/>
    </xf>
    <xf numFmtId="1" fontId="1" fillId="36" borderId="10" xfId="0" applyNumberFormat="1" applyFont="1" applyFill="1" applyBorder="1" applyAlignment="1">
      <alignment horizontal="center" vertical="center"/>
    </xf>
    <xf numFmtId="0" fontId="1" fillId="13" borderId="10" xfId="0" applyFont="1" applyFill="1" applyBorder="1" applyAlignment="1">
      <alignment horizontal="left" vertical="center" wrapText="1"/>
    </xf>
    <xf numFmtId="0" fontId="1" fillId="39" borderId="10" xfId="60" applyFont="1" applyFill="1" applyBorder="1" applyAlignment="1" applyProtection="1">
      <alignment horizontal="left" vertical="center" wrapText="1"/>
      <protection locked="0"/>
    </xf>
    <xf numFmtId="0" fontId="1" fillId="33" borderId="10" xfId="0" applyFont="1" applyFill="1" applyBorder="1" applyAlignment="1" applyProtection="1">
      <alignment/>
      <protection locked="0"/>
    </xf>
    <xf numFmtId="0" fontId="1" fillId="13" borderId="10" xfId="0" applyFont="1" applyFill="1" applyBorder="1" applyAlignment="1" applyProtection="1">
      <alignment vertical="top"/>
      <protection locked="0"/>
    </xf>
    <xf numFmtId="0" fontId="1" fillId="35" borderId="10" xfId="0" applyFont="1" applyFill="1" applyBorder="1" applyAlignment="1" applyProtection="1">
      <alignment vertical="top"/>
      <protection locked="0"/>
    </xf>
    <xf numFmtId="0" fontId="3" fillId="39" borderId="10" xfId="0" applyFont="1" applyFill="1" applyBorder="1" applyAlignment="1" applyProtection="1">
      <alignment/>
      <protection locked="0"/>
    </xf>
    <xf numFmtId="2" fontId="1" fillId="39" borderId="10" xfId="0" applyNumberFormat="1" applyFont="1" applyFill="1" applyBorder="1" applyAlignment="1">
      <alignment horizontal="center"/>
    </xf>
    <xf numFmtId="165" fontId="1" fillId="39" borderId="10" xfId="0" applyNumberFormat="1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1" fillId="39" borderId="10" xfId="0" applyFont="1" applyFill="1" applyBorder="1" applyAlignment="1">
      <alignment horizontal="center"/>
    </xf>
    <xf numFmtId="1" fontId="1" fillId="39" borderId="10" xfId="0" applyNumberFormat="1" applyFont="1" applyFill="1" applyBorder="1" applyAlignment="1">
      <alignment horizontal="center"/>
    </xf>
    <xf numFmtId="0" fontId="1" fillId="36" borderId="18" xfId="0" applyFont="1" applyFill="1" applyBorder="1" applyAlignment="1" applyProtection="1">
      <alignment/>
      <protection locked="0"/>
    </xf>
    <xf numFmtId="0" fontId="1" fillId="35" borderId="10" xfId="0" applyFont="1" applyFill="1" applyBorder="1" applyAlignment="1">
      <alignment horizontal="center"/>
    </xf>
    <xf numFmtId="166" fontId="1" fillId="35" borderId="10" xfId="0" applyNumberFormat="1" applyFont="1" applyFill="1" applyBorder="1" applyAlignment="1" applyProtection="1">
      <alignment horizontal="center"/>
      <protection locked="0"/>
    </xf>
    <xf numFmtId="0" fontId="1" fillId="35" borderId="10" xfId="60" applyFont="1" applyFill="1" applyBorder="1" applyAlignment="1" applyProtection="1">
      <alignment horizontal="left" vertical="center" wrapText="1"/>
      <protection locked="0"/>
    </xf>
    <xf numFmtId="0" fontId="1" fillId="35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60" applyFont="1" applyFill="1" applyBorder="1" applyAlignment="1" applyProtection="1">
      <alignment horizontal="center" vertical="center"/>
      <protection locked="0"/>
    </xf>
    <xf numFmtId="174" fontId="9" fillId="35" borderId="10" xfId="0" applyNumberFormat="1" applyFont="1" applyFill="1" applyBorder="1" applyAlignment="1">
      <alignment horizontal="center" vertical="top" wrapText="1"/>
    </xf>
    <xf numFmtId="174" fontId="9" fillId="35" borderId="10" xfId="61" applyNumberFormat="1" applyFont="1" applyFill="1" applyBorder="1" applyAlignment="1" applyProtection="1">
      <alignment horizontal="center" vertical="center" wrapText="1"/>
      <protection locked="0"/>
    </xf>
    <xf numFmtId="1" fontId="1" fillId="35" borderId="10" xfId="60" applyNumberFormat="1" applyFont="1" applyFill="1" applyBorder="1" applyAlignment="1" applyProtection="1">
      <alignment horizontal="center" vertical="center"/>
      <protection locked="0"/>
    </xf>
    <xf numFmtId="1" fontId="9" fillId="35" borderId="10" xfId="61" applyNumberFormat="1" applyFont="1" applyFill="1" applyBorder="1" applyAlignment="1" applyProtection="1">
      <alignment horizontal="center" vertical="center" wrapText="1"/>
      <protection locked="0"/>
    </xf>
    <xf numFmtId="0" fontId="1" fillId="35" borderId="10" xfId="0" applyFont="1" applyFill="1" applyBorder="1" applyAlignment="1" applyProtection="1">
      <alignment/>
      <protection locked="0"/>
    </xf>
    <xf numFmtId="165" fontId="1" fillId="35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top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/>
      <protection locked="0"/>
    </xf>
    <xf numFmtId="0" fontId="1" fillId="33" borderId="10" xfId="0" applyFont="1" applyFill="1" applyBorder="1" applyAlignment="1">
      <alignment horizontal="left" vertical="center"/>
    </xf>
    <xf numFmtId="0" fontId="1" fillId="33" borderId="10" xfId="56" applyFont="1" applyFill="1" applyBorder="1" applyAlignment="1">
      <alignment horizontal="left" vertical="top" wrapText="1"/>
      <protection/>
    </xf>
    <xf numFmtId="3" fontId="1" fillId="33" borderId="10" xfId="56" applyNumberFormat="1" applyFont="1" applyFill="1" applyBorder="1" applyAlignment="1">
      <alignment horizontal="center" vertical="top" wrapText="1"/>
      <protection/>
    </xf>
    <xf numFmtId="165" fontId="1" fillId="33" borderId="10" xfId="56" applyNumberFormat="1" applyFont="1" applyFill="1" applyBorder="1" applyAlignment="1">
      <alignment horizontal="center" vertical="top" wrapText="1"/>
      <protection/>
    </xf>
    <xf numFmtId="1" fontId="1" fillId="33" borderId="10" xfId="56" applyNumberFormat="1" applyFont="1" applyFill="1" applyBorder="1" applyAlignment="1">
      <alignment horizontal="center" vertical="top" wrapText="1"/>
      <protection/>
    </xf>
    <xf numFmtId="174" fontId="9" fillId="33" borderId="10" xfId="0" applyNumberFormat="1" applyFont="1" applyFill="1" applyBorder="1" applyAlignment="1">
      <alignment horizontal="center" vertical="center" wrapText="1"/>
    </xf>
    <xf numFmtId="167" fontId="1" fillId="33" borderId="10" xfId="0" applyNumberFormat="1" applyFont="1" applyFill="1" applyBorder="1" applyAlignment="1" applyProtection="1">
      <alignment horizontal="center" vertical="center"/>
      <protection/>
    </xf>
    <xf numFmtId="2" fontId="1" fillId="33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10" xfId="0" applyNumberFormat="1" applyFont="1" applyFill="1" applyBorder="1" applyAlignment="1" applyProtection="1">
      <alignment horizontal="center" vertical="center"/>
      <protection/>
    </xf>
    <xf numFmtId="166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vertical="top"/>
      <protection locked="0"/>
    </xf>
    <xf numFmtId="3" fontId="9" fillId="34" borderId="10" xfId="0" applyNumberFormat="1" applyFont="1" applyFill="1" applyBorder="1" applyAlignment="1" applyProtection="1">
      <alignment horizontal="center" vertical="top"/>
      <protection locked="0"/>
    </xf>
    <xf numFmtId="165" fontId="9" fillId="34" borderId="10" xfId="0" applyNumberFormat="1" applyFont="1" applyFill="1" applyBorder="1" applyAlignment="1" applyProtection="1">
      <alignment horizontal="center" vertical="top"/>
      <protection locked="0"/>
    </xf>
    <xf numFmtId="1" fontId="9" fillId="34" borderId="10" xfId="0" applyNumberFormat="1" applyFont="1" applyFill="1" applyBorder="1" applyAlignment="1" applyProtection="1">
      <alignment horizontal="center" vertical="top"/>
      <protection locked="0"/>
    </xf>
    <xf numFmtId="167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34" borderId="10" xfId="60" applyFont="1" applyFill="1" applyBorder="1">
      <alignment/>
      <protection/>
    </xf>
    <xf numFmtId="0" fontId="1" fillId="34" borderId="10" xfId="60" applyFont="1" applyFill="1" applyBorder="1" applyAlignment="1">
      <alignment horizontal="center"/>
      <protection/>
    </xf>
    <xf numFmtId="165" fontId="1" fillId="34" borderId="10" xfId="60" applyNumberFormat="1" applyFont="1" applyFill="1" applyBorder="1" applyAlignment="1">
      <alignment horizontal="center"/>
      <protection/>
    </xf>
    <xf numFmtId="1" fontId="1" fillId="34" borderId="10" xfId="60" applyNumberFormat="1" applyFont="1" applyFill="1" applyBorder="1" applyAlignment="1">
      <alignment horizontal="center"/>
      <protection/>
    </xf>
    <xf numFmtId="167" fontId="1" fillId="34" borderId="10" xfId="60" applyNumberFormat="1" applyFont="1" applyFill="1" applyBorder="1" applyAlignment="1">
      <alignment horizontal="center"/>
      <protection/>
    </xf>
    <xf numFmtId="2" fontId="1" fillId="34" borderId="10" xfId="60" applyNumberFormat="1" applyFont="1" applyFill="1" applyBorder="1" applyAlignment="1">
      <alignment horizontal="center"/>
      <protection/>
    </xf>
    <xf numFmtId="0" fontId="1" fillId="34" borderId="10" xfId="0" applyFont="1" applyFill="1" applyBorder="1" applyAlignment="1" applyProtection="1">
      <alignment/>
      <protection locked="0"/>
    </xf>
    <xf numFmtId="0" fontId="9" fillId="34" borderId="10" xfId="60" applyFont="1" applyFill="1" applyBorder="1" applyAlignment="1" applyProtection="1">
      <alignment horizontal="left" vertical="center" wrapText="1"/>
      <protection locked="0"/>
    </xf>
    <xf numFmtId="0" fontId="9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9" fillId="34" borderId="10" xfId="60" applyFont="1" applyFill="1" applyBorder="1" applyAlignment="1" applyProtection="1">
      <alignment horizontal="center" vertical="center"/>
      <protection locked="0"/>
    </xf>
    <xf numFmtId="174" fontId="9" fillId="34" borderId="10" xfId="0" applyNumberFormat="1" applyFont="1" applyFill="1" applyBorder="1" applyAlignment="1">
      <alignment horizontal="center" vertical="top" wrapText="1"/>
    </xf>
    <xf numFmtId="174" fontId="9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" fillId="34" borderId="10" xfId="60" applyNumberFormat="1" applyFont="1" applyFill="1" applyBorder="1" applyAlignment="1" applyProtection="1">
      <alignment horizontal="center" vertical="center"/>
      <protection locked="0"/>
    </xf>
    <xf numFmtId="1" fontId="9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/>
      <protection locked="0"/>
    </xf>
    <xf numFmtId="1" fontId="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60" applyFont="1" applyFill="1" applyBorder="1" applyAlignment="1" applyProtection="1">
      <alignment horizontal="left" vertical="center" wrapText="1"/>
      <protection locked="0"/>
    </xf>
    <xf numFmtId="0" fontId="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" fillId="34" borderId="10" xfId="60" applyFont="1" applyFill="1" applyBorder="1" applyAlignment="1" applyProtection="1">
      <alignment horizontal="center" vertical="center"/>
      <protection locked="0"/>
    </xf>
    <xf numFmtId="0" fontId="9" fillId="34" borderId="10" xfId="56" applyFont="1" applyFill="1" applyBorder="1" applyAlignment="1">
      <alignment horizontal="left" vertical="top" wrapText="1"/>
      <protection/>
    </xf>
    <xf numFmtId="3" fontId="9" fillId="34" borderId="10" xfId="56" applyNumberFormat="1" applyFont="1" applyFill="1" applyBorder="1" applyAlignment="1">
      <alignment horizontal="center" vertical="top" wrapText="1"/>
      <protection/>
    </xf>
    <xf numFmtId="165" fontId="9" fillId="34" borderId="10" xfId="56" applyNumberFormat="1" applyFont="1" applyFill="1" applyBorder="1" applyAlignment="1">
      <alignment horizontal="center" vertical="top" wrapText="1"/>
      <protection/>
    </xf>
    <xf numFmtId="1" fontId="9" fillId="34" borderId="10" xfId="56" applyNumberFormat="1" applyFont="1" applyFill="1" applyBorder="1" applyAlignment="1">
      <alignment horizontal="center" vertical="top" wrapText="1"/>
      <protection/>
    </xf>
    <xf numFmtId="0" fontId="1" fillId="34" borderId="10" xfId="56" applyFont="1" applyFill="1" applyBorder="1" applyAlignment="1">
      <alignment horizontal="left" vertical="top" wrapText="1"/>
      <protection/>
    </xf>
    <xf numFmtId="3" fontId="1" fillId="34" borderId="10" xfId="56" applyNumberFormat="1" applyFont="1" applyFill="1" applyBorder="1" applyAlignment="1">
      <alignment horizontal="center" vertical="top" wrapText="1"/>
      <protection/>
    </xf>
    <xf numFmtId="165" fontId="1" fillId="34" borderId="10" xfId="56" applyNumberFormat="1" applyFont="1" applyFill="1" applyBorder="1" applyAlignment="1">
      <alignment horizontal="center" vertical="top" wrapText="1"/>
      <protection/>
    </xf>
    <xf numFmtId="1" fontId="1" fillId="34" borderId="10" xfId="56" applyNumberFormat="1" applyFont="1" applyFill="1" applyBorder="1" applyAlignment="1">
      <alignment horizontal="center" vertical="top" wrapText="1"/>
      <protection/>
    </xf>
    <xf numFmtId="0" fontId="9" fillId="34" borderId="10" xfId="60" applyFont="1" applyFill="1" applyBorder="1" applyAlignment="1" applyProtection="1">
      <alignment horizontal="left" vertical="center"/>
      <protection locked="0"/>
    </xf>
    <xf numFmtId="2" fontId="1" fillId="36" borderId="12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 applyProtection="1">
      <alignment horizontal="center" vertical="center"/>
      <protection/>
    </xf>
    <xf numFmtId="0" fontId="1" fillId="33" borderId="11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/>
      <protection locked="0"/>
    </xf>
    <xf numFmtId="0" fontId="1" fillId="34" borderId="13" xfId="0" applyFont="1" applyFill="1" applyBorder="1" applyAlignment="1" applyProtection="1">
      <alignment horizontal="center"/>
      <protection locked="0"/>
    </xf>
    <xf numFmtId="165" fontId="1" fillId="34" borderId="13" xfId="0" applyNumberFormat="1" applyFont="1" applyFill="1" applyBorder="1" applyAlignment="1" applyProtection="1">
      <alignment horizontal="center"/>
      <protection locked="0"/>
    </xf>
    <xf numFmtId="166" fontId="1" fillId="34" borderId="13" xfId="0" applyNumberFormat="1" applyFont="1" applyFill="1" applyBorder="1" applyAlignment="1" applyProtection="1">
      <alignment horizontal="center"/>
      <protection locked="0"/>
    </xf>
    <xf numFmtId="2" fontId="1" fillId="34" borderId="12" xfId="0" applyNumberFormat="1" applyFont="1" applyFill="1" applyBorder="1" applyAlignment="1">
      <alignment horizontal="center"/>
    </xf>
    <xf numFmtId="2" fontId="1" fillId="34" borderId="12" xfId="60" applyNumberFormat="1" applyFont="1" applyFill="1" applyBorder="1" applyAlignment="1">
      <alignment horizontal="center"/>
      <protection/>
    </xf>
    <xf numFmtId="0" fontId="1" fillId="35" borderId="13" xfId="0" applyFont="1" applyFill="1" applyBorder="1" applyAlignment="1" applyProtection="1">
      <alignment vertical="top"/>
      <protection locked="0"/>
    </xf>
    <xf numFmtId="0" fontId="1" fillId="35" borderId="13" xfId="0" applyFont="1" applyFill="1" applyBorder="1" applyAlignment="1" applyProtection="1">
      <alignment horizontal="center"/>
      <protection locked="0"/>
    </xf>
    <xf numFmtId="0" fontId="1" fillId="34" borderId="11" xfId="0" applyFont="1" applyFill="1" applyBorder="1" applyAlignment="1" applyProtection="1">
      <alignment/>
      <protection locked="0"/>
    </xf>
    <xf numFmtId="0" fontId="1" fillId="34" borderId="11" xfId="0" applyFont="1" applyFill="1" applyBorder="1" applyAlignment="1" applyProtection="1">
      <alignment horizontal="center"/>
      <protection locked="0"/>
    </xf>
    <xf numFmtId="165" fontId="1" fillId="34" borderId="11" xfId="0" applyNumberFormat="1" applyFont="1" applyFill="1" applyBorder="1" applyAlignment="1" applyProtection="1">
      <alignment horizontal="center"/>
      <protection locked="0"/>
    </xf>
    <xf numFmtId="1" fontId="1" fillId="34" borderId="11" xfId="0" applyNumberFormat="1" applyFont="1" applyFill="1" applyBorder="1" applyAlignment="1" applyProtection="1">
      <alignment horizontal="center"/>
      <protection locked="0"/>
    </xf>
    <xf numFmtId="167" fontId="1" fillId="34" borderId="11" xfId="0" applyNumberFormat="1" applyFont="1" applyFill="1" applyBorder="1" applyAlignment="1" applyProtection="1">
      <alignment horizontal="center"/>
      <protection/>
    </xf>
    <xf numFmtId="2" fontId="1" fillId="34" borderId="11" xfId="0" applyNumberFormat="1" applyFont="1" applyFill="1" applyBorder="1" applyAlignment="1" applyProtection="1">
      <alignment horizontal="center"/>
      <protection locked="0"/>
    </xf>
    <xf numFmtId="2" fontId="1" fillId="34" borderId="11" xfId="0" applyNumberFormat="1" applyFont="1" applyFill="1" applyBorder="1" applyAlignment="1" applyProtection="1">
      <alignment horizontal="center"/>
      <protection/>
    </xf>
    <xf numFmtId="2" fontId="1" fillId="34" borderId="14" xfId="0" applyNumberFormat="1" applyFont="1" applyFill="1" applyBorder="1" applyAlignment="1" applyProtection="1">
      <alignment horizontal="center"/>
      <protection/>
    </xf>
    <xf numFmtId="0" fontId="8" fillId="34" borderId="21" xfId="0" applyFont="1" applyFill="1" applyBorder="1" applyAlignment="1">
      <alignment horizontal="center" vertical="center" textRotation="90"/>
    </xf>
    <xf numFmtId="2" fontId="1" fillId="35" borderId="12" xfId="60" applyNumberFormat="1" applyFont="1" applyFill="1" applyBorder="1" applyAlignment="1">
      <alignment horizontal="center"/>
      <protection/>
    </xf>
    <xf numFmtId="2" fontId="1" fillId="39" borderId="12" xfId="0" applyNumberFormat="1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 vertical="center" textRotation="9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aprastas 2" xfId="60"/>
    <cellStyle name="Paprastas 3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1"/>
  <sheetViews>
    <sheetView tabSelected="1" zoomScale="120" zoomScaleNormal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0" sqref="C10"/>
    </sheetView>
  </sheetViews>
  <sheetFormatPr defaultColWidth="9.140625" defaultRowHeight="12.75"/>
  <cols>
    <col min="1" max="1" width="9.140625" style="1" customWidth="1"/>
    <col min="2" max="2" width="24.7109375" style="4" customWidth="1"/>
    <col min="3" max="3" width="5.00390625" style="5" customWidth="1"/>
    <col min="4" max="4" width="6.57421875" style="5" customWidth="1"/>
    <col min="5" max="5" width="7.421875" style="1" customWidth="1"/>
    <col min="6" max="6" width="8.8515625" style="1" customWidth="1"/>
    <col min="7" max="7" width="11.140625" style="1" customWidth="1"/>
    <col min="8" max="8" width="8.28125" style="1" customWidth="1"/>
    <col min="9" max="9" width="7.28125" style="1" customWidth="1"/>
    <col min="10" max="10" width="12.00390625" style="1" customWidth="1"/>
    <col min="11" max="11" width="6.8515625" style="1" customWidth="1"/>
    <col min="12" max="12" width="10.8515625" style="20" customWidth="1"/>
    <col min="13" max="13" width="9.421875" style="1" customWidth="1"/>
    <col min="14" max="14" width="10.7109375" style="19" customWidth="1"/>
    <col min="15" max="15" width="11.421875" style="19" customWidth="1"/>
    <col min="16" max="16" width="14.00390625" style="19" customWidth="1"/>
    <col min="17" max="17" width="5.8515625" style="1" customWidth="1"/>
    <col min="18" max="19" width="10.8515625" style="1" customWidth="1"/>
    <col min="20" max="20" width="12.421875" style="1" bestFit="1" customWidth="1"/>
    <col min="21" max="21" width="9.140625" style="1" customWidth="1"/>
    <col min="22" max="22" width="10.421875" style="1" bestFit="1" customWidth="1"/>
    <col min="23" max="16384" width="9.140625" style="1" customWidth="1"/>
  </cols>
  <sheetData>
    <row r="1" spans="2:16" s="7" customFormat="1" ht="13.5" customHeight="1">
      <c r="B1" s="226" t="s">
        <v>487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</row>
    <row r="2" spans="1:16" s="7" customFormat="1" ht="13.5" customHeight="1" thickBot="1">
      <c r="A2" s="103"/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</row>
    <row r="3" spans="1:16" ht="12.75" customHeight="1">
      <c r="A3" s="218" t="s">
        <v>0</v>
      </c>
      <c r="B3" s="215" t="s">
        <v>1</v>
      </c>
      <c r="C3" s="215" t="s">
        <v>2</v>
      </c>
      <c r="D3" s="215" t="s">
        <v>10</v>
      </c>
      <c r="E3" s="217" t="s">
        <v>11</v>
      </c>
      <c r="F3" s="217"/>
      <c r="G3" s="217"/>
      <c r="H3" s="217"/>
      <c r="I3" s="215" t="s">
        <v>3</v>
      </c>
      <c r="J3" s="215" t="s">
        <v>12</v>
      </c>
      <c r="K3" s="215" t="s">
        <v>4</v>
      </c>
      <c r="L3" s="227" t="s">
        <v>5</v>
      </c>
      <c r="M3" s="215" t="s">
        <v>13</v>
      </c>
      <c r="N3" s="213" t="s">
        <v>14</v>
      </c>
      <c r="O3" s="213" t="s">
        <v>20</v>
      </c>
      <c r="P3" s="230" t="s">
        <v>21</v>
      </c>
    </row>
    <row r="4" spans="1:19" s="2" customFormat="1" ht="33.75">
      <c r="A4" s="219"/>
      <c r="B4" s="216"/>
      <c r="C4" s="216"/>
      <c r="D4" s="216"/>
      <c r="E4" s="6" t="s">
        <v>15</v>
      </c>
      <c r="F4" s="6" t="s">
        <v>16</v>
      </c>
      <c r="G4" s="6" t="s">
        <v>17</v>
      </c>
      <c r="H4" s="6" t="s">
        <v>18</v>
      </c>
      <c r="I4" s="216"/>
      <c r="J4" s="216"/>
      <c r="K4" s="216"/>
      <c r="L4" s="228"/>
      <c r="M4" s="216"/>
      <c r="N4" s="214"/>
      <c r="O4" s="214"/>
      <c r="P4" s="231"/>
      <c r="R4" s="21"/>
      <c r="S4" s="21"/>
    </row>
    <row r="5" spans="1:19" s="3" customFormat="1" ht="13.5" customHeight="1">
      <c r="A5" s="219"/>
      <c r="B5" s="216"/>
      <c r="C5" s="98" t="s">
        <v>6</v>
      </c>
      <c r="D5" s="98" t="s">
        <v>7</v>
      </c>
      <c r="E5" s="98" t="s">
        <v>8</v>
      </c>
      <c r="F5" s="98" t="s">
        <v>8</v>
      </c>
      <c r="G5" s="98" t="s">
        <v>8</v>
      </c>
      <c r="H5" s="98" t="s">
        <v>8</v>
      </c>
      <c r="I5" s="98" t="s">
        <v>19</v>
      </c>
      <c r="J5" s="98" t="s">
        <v>8</v>
      </c>
      <c r="K5" s="98" t="s">
        <v>19</v>
      </c>
      <c r="L5" s="99" t="s">
        <v>76</v>
      </c>
      <c r="M5" s="98" t="s">
        <v>9</v>
      </c>
      <c r="N5" s="100" t="s">
        <v>75</v>
      </c>
      <c r="O5" s="100" t="s">
        <v>22</v>
      </c>
      <c r="P5" s="104" t="s">
        <v>23</v>
      </c>
      <c r="R5" s="18"/>
      <c r="S5" s="18"/>
    </row>
    <row r="6" spans="1:19" s="3" customFormat="1" ht="13.5" customHeight="1" thickBot="1">
      <c r="A6" s="101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102">
        <v>12</v>
      </c>
      <c r="M6" s="102">
        <v>13</v>
      </c>
      <c r="N6" s="102">
        <v>14</v>
      </c>
      <c r="O6" s="102">
        <v>15</v>
      </c>
      <c r="P6" s="105">
        <v>16</v>
      </c>
      <c r="R6" s="18"/>
      <c r="S6" s="18"/>
    </row>
    <row r="7" spans="1:19" s="9" customFormat="1" ht="12.75" customHeight="1">
      <c r="A7" s="223" t="s">
        <v>71</v>
      </c>
      <c r="B7" s="262" t="s">
        <v>661</v>
      </c>
      <c r="C7" s="153">
        <v>100</v>
      </c>
      <c r="D7" s="153" t="s">
        <v>24</v>
      </c>
      <c r="E7" s="154">
        <v>54.73</v>
      </c>
      <c r="F7" s="154">
        <v>6.96</v>
      </c>
      <c r="G7" s="154">
        <v>16</v>
      </c>
      <c r="H7" s="154">
        <v>31.77</v>
      </c>
      <c r="I7" s="155">
        <v>4378</v>
      </c>
      <c r="J7" s="154">
        <v>31.77</v>
      </c>
      <c r="K7" s="155">
        <v>4378</v>
      </c>
      <c r="L7" s="156">
        <f>J7/K7</f>
        <v>0.007256738236637734</v>
      </c>
      <c r="M7" s="157">
        <v>235.3</v>
      </c>
      <c r="N7" s="189">
        <f>L7*M7</f>
        <v>1.707510507080859</v>
      </c>
      <c r="O7" s="189">
        <f>L7*60*1000</f>
        <v>435.40429419826404</v>
      </c>
      <c r="P7" s="183">
        <f>O7*M7/1000</f>
        <v>102.45063042485154</v>
      </c>
      <c r="Q7" s="11"/>
      <c r="R7" s="10"/>
      <c r="S7" s="10"/>
    </row>
    <row r="8" spans="1:22" s="9" customFormat="1" ht="12.75">
      <c r="A8" s="224"/>
      <c r="B8" s="57" t="s">
        <v>489</v>
      </c>
      <c r="C8" s="245">
        <v>120</v>
      </c>
      <c r="D8" s="246" t="s">
        <v>488</v>
      </c>
      <c r="E8" s="58">
        <v>69.12643</v>
      </c>
      <c r="F8" s="58">
        <v>8.60922</v>
      </c>
      <c r="G8" s="58">
        <v>12</v>
      </c>
      <c r="H8" s="58">
        <f>E8-F8-G8</f>
        <v>48.51721</v>
      </c>
      <c r="I8" s="72">
        <v>5780.94</v>
      </c>
      <c r="J8" s="58">
        <f>H8</f>
        <v>48.51721</v>
      </c>
      <c r="K8" s="72">
        <f>I8</f>
        <v>5780.94</v>
      </c>
      <c r="L8" s="59">
        <f>J8/K8</f>
        <v>0.008392616079737897</v>
      </c>
      <c r="M8" s="247">
        <v>279.476</v>
      </c>
      <c r="N8" s="60">
        <f>L8*M8</f>
        <v>2.3455347715008283</v>
      </c>
      <c r="O8" s="60">
        <f>L8*60*1000</f>
        <v>503.5569647842738</v>
      </c>
      <c r="P8" s="61">
        <f>O8*M8/1000</f>
        <v>140.73208629004972</v>
      </c>
      <c r="Q8" s="10"/>
      <c r="R8" s="10"/>
      <c r="S8" s="10"/>
      <c r="T8" s="12"/>
      <c r="U8" s="13"/>
      <c r="V8" s="13"/>
    </row>
    <row r="9" spans="1:19" s="9" customFormat="1" ht="12.75">
      <c r="A9" s="224"/>
      <c r="B9" s="249" t="s">
        <v>529</v>
      </c>
      <c r="C9" s="158">
        <v>40</v>
      </c>
      <c r="D9" s="159" t="s">
        <v>24</v>
      </c>
      <c r="E9" s="160">
        <v>34.54</v>
      </c>
      <c r="F9" s="160">
        <v>6.67</v>
      </c>
      <c r="G9" s="161">
        <v>6.4</v>
      </c>
      <c r="H9" s="160">
        <v>21.47</v>
      </c>
      <c r="I9" s="162">
        <v>2494.75</v>
      </c>
      <c r="J9" s="160">
        <v>21.47</v>
      </c>
      <c r="K9" s="162">
        <v>2494.75</v>
      </c>
      <c r="L9" s="59">
        <f>J9/K9</f>
        <v>0.008606072752780839</v>
      </c>
      <c r="M9" s="247">
        <v>266.83</v>
      </c>
      <c r="N9" s="60">
        <f>L9*M9</f>
        <v>2.2963583926245112</v>
      </c>
      <c r="O9" s="60">
        <f>L9*60*1000</f>
        <v>516.3643651668503</v>
      </c>
      <c r="P9" s="61">
        <f>O9*M9/1000</f>
        <v>137.78150355747064</v>
      </c>
      <c r="R9" s="10"/>
      <c r="S9" s="10"/>
    </row>
    <row r="10" spans="1:19" s="9" customFormat="1" ht="12.75">
      <c r="A10" s="224"/>
      <c r="B10" s="57" t="s">
        <v>490</v>
      </c>
      <c r="C10" s="40">
        <v>136</v>
      </c>
      <c r="D10" s="40">
        <v>2007</v>
      </c>
      <c r="E10" s="58">
        <v>142.13421</v>
      </c>
      <c r="F10" s="58">
        <v>51.65476</v>
      </c>
      <c r="G10" s="58">
        <v>10.88</v>
      </c>
      <c r="H10" s="58">
        <f>E10-F10-G10</f>
        <v>79.59944999999999</v>
      </c>
      <c r="I10" s="72">
        <v>9132.78</v>
      </c>
      <c r="J10" s="58">
        <f>H10</f>
        <v>79.59944999999999</v>
      </c>
      <c r="K10" s="72">
        <f>I10</f>
        <v>9132.78</v>
      </c>
      <c r="L10" s="59">
        <f>J10/K10</f>
        <v>0.008715796285468388</v>
      </c>
      <c r="M10" s="247">
        <v>279.476</v>
      </c>
      <c r="N10" s="60">
        <f>L10*M10</f>
        <v>2.435855882677563</v>
      </c>
      <c r="O10" s="60">
        <f>L10*60*1000</f>
        <v>522.9477771281032</v>
      </c>
      <c r="P10" s="61">
        <f>O10*M10/1000</f>
        <v>146.15135296065378</v>
      </c>
      <c r="R10" s="10"/>
      <c r="S10" s="10"/>
    </row>
    <row r="11" spans="1:19" s="9" customFormat="1" ht="12.75">
      <c r="A11" s="224"/>
      <c r="B11" s="253" t="s">
        <v>119</v>
      </c>
      <c r="C11" s="40">
        <v>45</v>
      </c>
      <c r="D11" s="40">
        <v>1975</v>
      </c>
      <c r="E11" s="85">
        <f>F11+G11+H11</f>
        <v>31.39</v>
      </c>
      <c r="F11" s="85">
        <v>3.73</v>
      </c>
      <c r="G11" s="85">
        <v>7.2</v>
      </c>
      <c r="H11" s="85">
        <v>20.46</v>
      </c>
      <c r="I11" s="81">
        <v>2325.22</v>
      </c>
      <c r="J11" s="85">
        <v>20.76</v>
      </c>
      <c r="K11" s="81">
        <v>2325.22</v>
      </c>
      <c r="L11" s="76">
        <f>J11/K11</f>
        <v>0.008928187440328228</v>
      </c>
      <c r="M11" s="30">
        <v>314.9</v>
      </c>
      <c r="N11" s="75">
        <f>L11*M11</f>
        <v>2.8114862249593586</v>
      </c>
      <c r="O11" s="75">
        <f>L11*60*1000</f>
        <v>535.6912464196937</v>
      </c>
      <c r="P11" s="73">
        <f>O11*M11/1000</f>
        <v>168.68917349756154</v>
      </c>
      <c r="R11" s="10"/>
      <c r="S11" s="10"/>
    </row>
    <row r="12" spans="1:19" s="9" customFormat="1" ht="12.75">
      <c r="A12" s="224"/>
      <c r="B12" s="46" t="s">
        <v>241</v>
      </c>
      <c r="C12" s="22">
        <v>12</v>
      </c>
      <c r="D12" s="22">
        <v>1963</v>
      </c>
      <c r="E12" s="84">
        <v>7.3</v>
      </c>
      <c r="F12" s="84">
        <v>0.6222</v>
      </c>
      <c r="G12" s="84">
        <v>1.92</v>
      </c>
      <c r="H12" s="84">
        <v>4.7577</v>
      </c>
      <c r="I12" s="34">
        <v>532.45</v>
      </c>
      <c r="J12" s="84">
        <v>4.76</v>
      </c>
      <c r="K12" s="34">
        <v>532.45</v>
      </c>
      <c r="L12" s="244">
        <f>J12/K12</f>
        <v>0.008939806554606066</v>
      </c>
      <c r="M12" s="242">
        <v>263.899</v>
      </c>
      <c r="N12" s="242">
        <f>L12*M12</f>
        <v>2.359206009953986</v>
      </c>
      <c r="O12" s="242">
        <f>L12*1000*60</f>
        <v>536.3883932763639</v>
      </c>
      <c r="P12" s="48">
        <f>N12*60</f>
        <v>141.55236059723916</v>
      </c>
      <c r="R12" s="10"/>
      <c r="S12" s="10"/>
    </row>
    <row r="13" spans="1:19" s="9" customFormat="1" ht="12.75">
      <c r="A13" s="224"/>
      <c r="B13" s="253" t="s">
        <v>350</v>
      </c>
      <c r="C13" s="40">
        <v>39</v>
      </c>
      <c r="D13" s="40">
        <v>1985</v>
      </c>
      <c r="E13" s="85">
        <f>F13+G13+H13</f>
        <v>31.11</v>
      </c>
      <c r="F13" s="85">
        <v>4.08</v>
      </c>
      <c r="G13" s="85">
        <v>6.32</v>
      </c>
      <c r="H13" s="85">
        <v>20.71</v>
      </c>
      <c r="I13" s="81">
        <v>2285.27</v>
      </c>
      <c r="J13" s="85">
        <v>20.71</v>
      </c>
      <c r="K13" s="81">
        <v>2285.27</v>
      </c>
      <c r="L13" s="76">
        <f>J13/K13</f>
        <v>0.009062386501376205</v>
      </c>
      <c r="M13" s="30">
        <v>314.9</v>
      </c>
      <c r="N13" s="75">
        <f>L13*M13</f>
        <v>2.8537455092833666</v>
      </c>
      <c r="O13" s="75">
        <f>L13*60*1000</f>
        <v>543.7431900825724</v>
      </c>
      <c r="P13" s="73">
        <f>O13*M13/1000</f>
        <v>171.22473055700203</v>
      </c>
      <c r="R13" s="10"/>
      <c r="S13" s="10"/>
    </row>
    <row r="14" spans="1:16" s="9" customFormat="1" ht="11.25" customHeight="1">
      <c r="A14" s="224"/>
      <c r="B14" s="46" t="s">
        <v>902</v>
      </c>
      <c r="C14" s="245">
        <v>60</v>
      </c>
      <c r="D14" s="245">
        <v>1965</v>
      </c>
      <c r="E14" s="58">
        <f>SUM(F14+G14+H14)</f>
        <v>39.926</v>
      </c>
      <c r="F14" s="84">
        <v>5.442</v>
      </c>
      <c r="G14" s="84">
        <v>9.6</v>
      </c>
      <c r="H14" s="84">
        <v>24.884</v>
      </c>
      <c r="I14" s="34">
        <v>2701.1</v>
      </c>
      <c r="J14" s="84">
        <v>24.884</v>
      </c>
      <c r="K14" s="34">
        <v>2701.1</v>
      </c>
      <c r="L14" s="59">
        <f>J14/K14</f>
        <v>0.009212543038021548</v>
      </c>
      <c r="M14" s="247">
        <v>283.51</v>
      </c>
      <c r="N14" s="60">
        <f>L14*M14</f>
        <v>2.611848076709489</v>
      </c>
      <c r="O14" s="60">
        <f>L14*60*1000</f>
        <v>552.7525822812929</v>
      </c>
      <c r="P14" s="61">
        <f>O14*M14/1000</f>
        <v>156.71088460256937</v>
      </c>
    </row>
    <row r="15" spans="1:19" s="9" customFormat="1" ht="12.75">
      <c r="A15" s="224"/>
      <c r="B15" s="46" t="s">
        <v>240</v>
      </c>
      <c r="C15" s="22">
        <v>50</v>
      </c>
      <c r="D15" s="22">
        <v>1978</v>
      </c>
      <c r="E15" s="84">
        <v>36.5</v>
      </c>
      <c r="F15" s="124">
        <v>4.6158</v>
      </c>
      <c r="G15" s="84">
        <v>8</v>
      </c>
      <c r="H15" s="84">
        <v>23.884</v>
      </c>
      <c r="I15" s="34">
        <v>2590.16</v>
      </c>
      <c r="J15" s="84">
        <v>23.88</v>
      </c>
      <c r="K15" s="34">
        <v>2590.16</v>
      </c>
      <c r="L15" s="244">
        <f>J15/K15</f>
        <v>0.009219507675201532</v>
      </c>
      <c r="M15" s="242">
        <v>263.899</v>
      </c>
      <c r="N15" s="242">
        <f>L15*M15</f>
        <v>2.433018855978009</v>
      </c>
      <c r="O15" s="242">
        <f>L15*1000*60</f>
        <v>553.170460512092</v>
      </c>
      <c r="P15" s="48">
        <f>N15*60</f>
        <v>145.98113135868056</v>
      </c>
      <c r="R15" s="10"/>
      <c r="S15" s="10"/>
    </row>
    <row r="16" spans="1:19" s="9" customFormat="1" ht="12.75">
      <c r="A16" s="224"/>
      <c r="B16" s="253" t="s">
        <v>120</v>
      </c>
      <c r="C16" s="40">
        <v>44</v>
      </c>
      <c r="D16" s="40">
        <v>1975</v>
      </c>
      <c r="E16" s="85">
        <f>F16+G16+H16</f>
        <v>31.5</v>
      </c>
      <c r="F16" s="85">
        <v>3.11</v>
      </c>
      <c r="G16" s="85">
        <v>7.04</v>
      </c>
      <c r="H16" s="85">
        <v>21.35</v>
      </c>
      <c r="I16" s="81">
        <v>2309.11</v>
      </c>
      <c r="J16" s="85">
        <v>21.35</v>
      </c>
      <c r="K16" s="81">
        <v>2309.11</v>
      </c>
      <c r="L16" s="76">
        <f>J16/K16</f>
        <v>0.009245986548930107</v>
      </c>
      <c r="M16" s="30">
        <v>314.9</v>
      </c>
      <c r="N16" s="75">
        <f>L16*M16</f>
        <v>2.9115611642580905</v>
      </c>
      <c r="O16" s="75">
        <f>L16*60*1000</f>
        <v>554.7591929358065</v>
      </c>
      <c r="P16" s="73">
        <f>O16*M16/1000</f>
        <v>174.69366985548544</v>
      </c>
      <c r="R16" s="10"/>
      <c r="S16" s="10"/>
    </row>
    <row r="17" spans="1:19" s="9" customFormat="1" ht="12.75" customHeight="1">
      <c r="A17" s="224"/>
      <c r="B17" s="46" t="s">
        <v>271</v>
      </c>
      <c r="C17" s="22">
        <v>60</v>
      </c>
      <c r="D17" s="22">
        <v>1986</v>
      </c>
      <c r="E17" s="84">
        <v>52.1</v>
      </c>
      <c r="F17" s="84">
        <v>7.46</v>
      </c>
      <c r="G17" s="84">
        <v>9.28</v>
      </c>
      <c r="H17" s="84">
        <v>35.357</v>
      </c>
      <c r="I17" s="34">
        <v>3808.21</v>
      </c>
      <c r="J17" s="84">
        <v>35.36</v>
      </c>
      <c r="K17" s="243">
        <v>3808.21</v>
      </c>
      <c r="L17" s="244">
        <f>J17/K17</f>
        <v>0.009285202234120491</v>
      </c>
      <c r="M17" s="242">
        <v>263.899</v>
      </c>
      <c r="N17" s="242">
        <f>L17*M17</f>
        <v>2.4503555843821636</v>
      </c>
      <c r="O17" s="242">
        <f>L17*1000*60</f>
        <v>557.1121340472295</v>
      </c>
      <c r="P17" s="48">
        <f>N17*60</f>
        <v>147.0213350629298</v>
      </c>
      <c r="R17" s="10"/>
      <c r="S17" s="10"/>
    </row>
    <row r="18" spans="1:26" s="14" customFormat="1" ht="12.75">
      <c r="A18" s="224"/>
      <c r="B18" s="46" t="s">
        <v>760</v>
      </c>
      <c r="C18" s="22">
        <v>55</v>
      </c>
      <c r="D18" s="22" t="s">
        <v>24</v>
      </c>
      <c r="E18" s="58">
        <f>F18+G18+H18</f>
        <v>41.120000000000005</v>
      </c>
      <c r="F18" s="58">
        <v>5</v>
      </c>
      <c r="G18" s="58">
        <v>8.2</v>
      </c>
      <c r="H18" s="58">
        <v>27.92</v>
      </c>
      <c r="I18" s="34">
        <v>2979.08</v>
      </c>
      <c r="J18" s="58">
        <v>27.92</v>
      </c>
      <c r="K18" s="34">
        <v>2979.1</v>
      </c>
      <c r="L18" s="59">
        <f>J18/K18</f>
        <v>0.009371957973884732</v>
      </c>
      <c r="M18" s="30">
        <v>204.4</v>
      </c>
      <c r="N18" s="60">
        <f>L18*M18</f>
        <v>1.9156282098620392</v>
      </c>
      <c r="O18" s="60">
        <f>L18*60*1000</f>
        <v>562.3174784330839</v>
      </c>
      <c r="P18" s="61">
        <f>O18*M18/1000</f>
        <v>114.93769259172235</v>
      </c>
      <c r="Q18" s="11"/>
      <c r="R18" s="10"/>
      <c r="S18" s="10"/>
      <c r="T18" s="9"/>
      <c r="U18" s="9"/>
      <c r="V18" s="9"/>
      <c r="W18" s="9"/>
      <c r="X18" s="9"/>
      <c r="Y18" s="9"/>
      <c r="Z18" s="9"/>
    </row>
    <row r="19" spans="1:26" s="9" customFormat="1" ht="12.75">
      <c r="A19" s="224"/>
      <c r="B19" s="240" t="s">
        <v>49</v>
      </c>
      <c r="C19" s="22">
        <v>86</v>
      </c>
      <c r="D19" s="22">
        <v>2006</v>
      </c>
      <c r="E19" s="84">
        <v>64.57</v>
      </c>
      <c r="F19" s="84">
        <v>11.73</v>
      </c>
      <c r="G19" s="241">
        <v>5.35</v>
      </c>
      <c r="H19" s="84">
        <f>E19-F19-G19</f>
        <v>47.48999999999999</v>
      </c>
      <c r="I19" s="34">
        <v>5062</v>
      </c>
      <c r="J19" s="84">
        <f>H19/I19*K19</f>
        <v>47.48999999999999</v>
      </c>
      <c r="K19" s="22">
        <v>5062</v>
      </c>
      <c r="L19" s="47">
        <f>J19/K19</f>
        <v>0.009381667325167915</v>
      </c>
      <c r="M19" s="23">
        <v>323.29400000000004</v>
      </c>
      <c r="N19" s="242">
        <f>L19*M19</f>
        <v>3.0330367562228364</v>
      </c>
      <c r="O19" s="23">
        <f>L19*60*1000</f>
        <v>562.900039510075</v>
      </c>
      <c r="P19" s="48">
        <f>O19*M19/1000</f>
        <v>181.9822053733702</v>
      </c>
      <c r="R19" s="10"/>
      <c r="S19" s="10"/>
      <c r="Z19" s="14"/>
    </row>
    <row r="20" spans="1:19" s="9" customFormat="1" ht="12.75">
      <c r="A20" s="224"/>
      <c r="B20" s="175" t="s">
        <v>192</v>
      </c>
      <c r="C20" s="176">
        <v>60</v>
      </c>
      <c r="D20" s="40">
        <v>1971</v>
      </c>
      <c r="E20" s="58">
        <v>41.681</v>
      </c>
      <c r="F20" s="58">
        <v>4.969</v>
      </c>
      <c r="G20" s="58">
        <v>9.6</v>
      </c>
      <c r="H20" s="58">
        <v>27.112</v>
      </c>
      <c r="I20" s="72">
        <v>2799.04</v>
      </c>
      <c r="J20" s="58">
        <v>27.112</v>
      </c>
      <c r="K20" s="72">
        <v>2799.04</v>
      </c>
      <c r="L20" s="59">
        <f>J20/K20</f>
        <v>0.009686178118211958</v>
      </c>
      <c r="M20" s="247">
        <v>300</v>
      </c>
      <c r="N20" s="60">
        <f>L20*M20</f>
        <v>2.9058534354635874</v>
      </c>
      <c r="O20" s="60">
        <f>L20*60*1000</f>
        <v>581.1706870927175</v>
      </c>
      <c r="P20" s="61">
        <f>O20*M20/1000</f>
        <v>174.35120612781523</v>
      </c>
      <c r="Q20" s="11"/>
      <c r="R20" s="10"/>
      <c r="S20" s="10"/>
    </row>
    <row r="21" spans="1:19" s="9" customFormat="1" ht="12.75">
      <c r="A21" s="224"/>
      <c r="B21" s="46" t="s">
        <v>77</v>
      </c>
      <c r="C21" s="22">
        <v>40</v>
      </c>
      <c r="D21" s="22">
        <v>2007</v>
      </c>
      <c r="E21" s="84">
        <v>32.983</v>
      </c>
      <c r="F21" s="84">
        <v>6.894403</v>
      </c>
      <c r="G21" s="84">
        <v>3.2</v>
      </c>
      <c r="H21" s="84">
        <v>22.888597</v>
      </c>
      <c r="I21" s="34">
        <v>2350.71</v>
      </c>
      <c r="J21" s="84">
        <v>22.888578</v>
      </c>
      <c r="K21" s="34">
        <v>2350.71</v>
      </c>
      <c r="L21" s="47">
        <f>J21/K21</f>
        <v>0.009736878645175287</v>
      </c>
      <c r="M21" s="22">
        <v>296.48</v>
      </c>
      <c r="N21" s="23">
        <f>L21*M21</f>
        <v>2.8867897807215694</v>
      </c>
      <c r="O21" s="23">
        <f>L21*60*1000</f>
        <v>584.2127187105173</v>
      </c>
      <c r="P21" s="48">
        <f>O21*M21/1000</f>
        <v>173.20738684329416</v>
      </c>
      <c r="R21" s="10"/>
      <c r="S21" s="10"/>
    </row>
    <row r="22" spans="1:19" s="9" customFormat="1" ht="12.75">
      <c r="A22" s="224"/>
      <c r="B22" s="175" t="s">
        <v>300</v>
      </c>
      <c r="C22" s="40">
        <v>28</v>
      </c>
      <c r="D22" s="245">
        <v>1991</v>
      </c>
      <c r="E22" s="58">
        <v>22.41</v>
      </c>
      <c r="F22" s="58">
        <v>3.06</v>
      </c>
      <c r="G22" s="58">
        <v>4.56</v>
      </c>
      <c r="H22" s="58">
        <v>14.79</v>
      </c>
      <c r="I22" s="72">
        <v>1509.42</v>
      </c>
      <c r="J22" s="58">
        <v>14.79</v>
      </c>
      <c r="K22" s="72">
        <v>1509.42</v>
      </c>
      <c r="L22" s="59">
        <f>J22/K22</f>
        <v>0.00979846563580713</v>
      </c>
      <c r="M22" s="247">
        <v>300</v>
      </c>
      <c r="N22" s="60">
        <f>L22*M22</f>
        <v>2.939539690742139</v>
      </c>
      <c r="O22" s="60">
        <f>L22*60*1000</f>
        <v>587.9079381484278</v>
      </c>
      <c r="P22" s="61">
        <f>O22*M22/1000</f>
        <v>176.37238144452832</v>
      </c>
      <c r="Q22" s="11"/>
      <c r="R22" s="10"/>
      <c r="S22" s="10"/>
    </row>
    <row r="23" spans="1:22" s="9" customFormat="1" ht="12.75" customHeight="1">
      <c r="A23" s="224"/>
      <c r="B23" s="46" t="s">
        <v>26</v>
      </c>
      <c r="C23" s="22">
        <v>116</v>
      </c>
      <c r="D23" s="22">
        <v>2007</v>
      </c>
      <c r="E23" s="84">
        <v>99.031</v>
      </c>
      <c r="F23" s="84">
        <v>20.349</v>
      </c>
      <c r="G23" s="84">
        <v>9.28</v>
      </c>
      <c r="H23" s="84">
        <v>69.402</v>
      </c>
      <c r="I23" s="34">
        <v>7056.7</v>
      </c>
      <c r="J23" s="84">
        <v>69.40199700000001</v>
      </c>
      <c r="K23" s="34">
        <v>7056.7</v>
      </c>
      <c r="L23" s="47">
        <f>J23/K23</f>
        <v>0.00983490824322984</v>
      </c>
      <c r="M23" s="22">
        <v>296.48</v>
      </c>
      <c r="N23" s="23">
        <f>L23*M23</f>
        <v>2.9158535959527834</v>
      </c>
      <c r="O23" s="23">
        <f>L23*60*1000</f>
        <v>590.0944945937905</v>
      </c>
      <c r="P23" s="48">
        <f>O23*M23/1000</f>
        <v>174.95121575716703</v>
      </c>
      <c r="Q23" s="10"/>
      <c r="R23" s="10"/>
      <c r="S23" s="10"/>
      <c r="T23" s="12"/>
      <c r="U23" s="13"/>
      <c r="V23" s="13"/>
    </row>
    <row r="24" spans="1:26" s="16" customFormat="1" ht="12.75">
      <c r="A24" s="224"/>
      <c r="B24" s="46" t="s">
        <v>903</v>
      </c>
      <c r="C24" s="40">
        <v>60</v>
      </c>
      <c r="D24" s="40">
        <v>1966</v>
      </c>
      <c r="E24" s="58">
        <f>SUM(F24+G24+H24)</f>
        <v>42.829</v>
      </c>
      <c r="F24" s="84">
        <v>6.583</v>
      </c>
      <c r="G24" s="84">
        <v>9.6</v>
      </c>
      <c r="H24" s="84">
        <v>26.646</v>
      </c>
      <c r="I24" s="34">
        <v>2700.79</v>
      </c>
      <c r="J24" s="84">
        <v>26.646</v>
      </c>
      <c r="K24" s="34">
        <v>2700.79</v>
      </c>
      <c r="L24" s="59">
        <f>J24/K24</f>
        <v>0.009866002169735523</v>
      </c>
      <c r="M24" s="30">
        <v>283.51</v>
      </c>
      <c r="N24" s="60">
        <f>L24*M24</f>
        <v>2.797110275141718</v>
      </c>
      <c r="O24" s="60">
        <f>L24*60*1000</f>
        <v>591.9601301841315</v>
      </c>
      <c r="P24" s="61">
        <f>O24*M24/1000</f>
        <v>167.8266165085031</v>
      </c>
      <c r="Q24" s="9"/>
      <c r="R24" s="10"/>
      <c r="S24" s="10"/>
      <c r="T24" s="9"/>
      <c r="U24" s="9"/>
      <c r="V24" s="9"/>
      <c r="W24" s="9"/>
      <c r="X24" s="9"/>
      <c r="Y24" s="9"/>
      <c r="Z24" s="9"/>
    </row>
    <row r="25" spans="1:25" s="16" customFormat="1" ht="12.75">
      <c r="A25" s="224"/>
      <c r="B25" s="253" t="s">
        <v>468</v>
      </c>
      <c r="C25" s="40">
        <v>44</v>
      </c>
      <c r="D25" s="40" t="s">
        <v>158</v>
      </c>
      <c r="E25" s="85">
        <f>+F25+G25+H25</f>
        <v>28.322534</v>
      </c>
      <c r="F25" s="85">
        <v>3.00696</v>
      </c>
      <c r="G25" s="85">
        <v>6.89</v>
      </c>
      <c r="H25" s="85">
        <v>18.425574</v>
      </c>
      <c r="I25" s="81">
        <v>1862.58</v>
      </c>
      <c r="J25" s="85">
        <v>18.425574</v>
      </c>
      <c r="K25" s="81">
        <v>1862.58</v>
      </c>
      <c r="L25" s="76">
        <f>J25/K25</f>
        <v>0.009892500724801084</v>
      </c>
      <c r="M25" s="30">
        <v>283.618</v>
      </c>
      <c r="N25" s="75">
        <f>L25*M25</f>
        <v>2.805691270566634</v>
      </c>
      <c r="O25" s="75">
        <f>L25*60*1000</f>
        <v>593.5500434880651</v>
      </c>
      <c r="P25" s="73">
        <f>O25*M25/1000</f>
        <v>168.341476233998</v>
      </c>
      <c r="Q25" s="9"/>
      <c r="R25" s="10"/>
      <c r="S25" s="10"/>
      <c r="T25" s="9"/>
      <c r="U25" s="9"/>
      <c r="V25" s="9"/>
      <c r="W25" s="9"/>
      <c r="X25" s="9"/>
      <c r="Y25" s="9"/>
    </row>
    <row r="26" spans="1:26" s="9" customFormat="1" ht="12.75" customHeight="1">
      <c r="A26" s="224"/>
      <c r="B26" s="253" t="s">
        <v>351</v>
      </c>
      <c r="C26" s="40">
        <v>45</v>
      </c>
      <c r="D26" s="40">
        <v>1991</v>
      </c>
      <c r="E26" s="85">
        <f>F26+G26+H26</f>
        <v>32.84</v>
      </c>
      <c r="F26" s="85">
        <v>3.46</v>
      </c>
      <c r="G26" s="85">
        <v>6.24</v>
      </c>
      <c r="H26" s="85">
        <v>23.14</v>
      </c>
      <c r="I26" s="81">
        <v>2321.73</v>
      </c>
      <c r="J26" s="85">
        <v>23.14</v>
      </c>
      <c r="K26" s="81">
        <v>2321.73</v>
      </c>
      <c r="L26" s="76">
        <f>J26/K26</f>
        <v>0.009966705861577359</v>
      </c>
      <c r="M26" s="30">
        <v>314.9</v>
      </c>
      <c r="N26" s="75">
        <f>L26*M26</f>
        <v>3.13851567581071</v>
      </c>
      <c r="O26" s="75">
        <f>L26*60*1000</f>
        <v>598.0023516946416</v>
      </c>
      <c r="P26" s="73">
        <f>O26*M26/1000</f>
        <v>188.31094054864263</v>
      </c>
      <c r="R26" s="10"/>
      <c r="S26" s="10"/>
      <c r="Z26" s="16"/>
    </row>
    <row r="27" spans="1:19" s="9" customFormat="1" ht="12.75" customHeight="1">
      <c r="A27" s="224"/>
      <c r="B27" s="46" t="s">
        <v>904</v>
      </c>
      <c r="C27" s="40">
        <v>45</v>
      </c>
      <c r="D27" s="40" t="s">
        <v>24</v>
      </c>
      <c r="E27" s="58">
        <f>SUM(F27+G27+H27)</f>
        <v>35.563</v>
      </c>
      <c r="F27" s="84">
        <v>5.161</v>
      </c>
      <c r="G27" s="84">
        <v>7.2</v>
      </c>
      <c r="H27" s="84">
        <v>23.202</v>
      </c>
      <c r="I27" s="34">
        <v>2324.67</v>
      </c>
      <c r="J27" s="84">
        <v>23.202</v>
      </c>
      <c r="K27" s="34">
        <v>2324.67</v>
      </c>
      <c r="L27" s="59">
        <f>J27/K27</f>
        <v>0.009980771464336874</v>
      </c>
      <c r="M27" s="30">
        <v>283.51</v>
      </c>
      <c r="N27" s="60">
        <f>L27*M27</f>
        <v>2.829648517854147</v>
      </c>
      <c r="O27" s="60">
        <f>L27*60*1000</f>
        <v>598.8462878602124</v>
      </c>
      <c r="P27" s="61">
        <f>O27*M27/1000</f>
        <v>169.7789110712488</v>
      </c>
      <c r="R27" s="10"/>
      <c r="S27" s="10"/>
    </row>
    <row r="28" spans="1:26" s="14" customFormat="1" ht="12.75">
      <c r="A28" s="224"/>
      <c r="B28" s="57" t="s">
        <v>390</v>
      </c>
      <c r="C28" s="245">
        <v>51</v>
      </c>
      <c r="D28" s="245">
        <v>2007</v>
      </c>
      <c r="E28" s="58">
        <v>48.42</v>
      </c>
      <c r="F28" s="58">
        <v>4.901814</v>
      </c>
      <c r="G28" s="58">
        <v>5.28</v>
      </c>
      <c r="H28" s="58">
        <v>38.238186</v>
      </c>
      <c r="I28" s="72">
        <v>3983.31</v>
      </c>
      <c r="J28" s="58">
        <v>30.43</v>
      </c>
      <c r="K28" s="72">
        <v>3043.8</v>
      </c>
      <c r="L28" s="59">
        <f>J28/K28</f>
        <v>0.009997371706419607</v>
      </c>
      <c r="M28" s="247">
        <v>328.199</v>
      </c>
      <c r="N28" s="75">
        <f>L28*M28</f>
        <v>3.2811273966752084</v>
      </c>
      <c r="O28" s="75">
        <f>L28*60*1000</f>
        <v>599.8423023851765</v>
      </c>
      <c r="P28" s="73">
        <f>O28*M28/1000</f>
        <v>196.86764380051252</v>
      </c>
      <c r="Q28" s="9"/>
      <c r="R28" s="10"/>
      <c r="S28" s="10"/>
      <c r="T28" s="9"/>
      <c r="U28" s="9"/>
      <c r="V28" s="9"/>
      <c r="W28" s="9"/>
      <c r="X28" s="9"/>
      <c r="Y28" s="9"/>
      <c r="Z28" s="9"/>
    </row>
    <row r="29" spans="1:26" s="9" customFormat="1" ht="12.75">
      <c r="A29" s="224"/>
      <c r="B29" s="70" t="s">
        <v>100</v>
      </c>
      <c r="C29" s="71">
        <v>36</v>
      </c>
      <c r="D29" s="22">
        <v>1984</v>
      </c>
      <c r="E29" s="84">
        <f>+F29+G29+H29</f>
        <v>36.417104</v>
      </c>
      <c r="F29" s="86">
        <v>5.2606399999999995</v>
      </c>
      <c r="G29" s="86">
        <v>8.64</v>
      </c>
      <c r="H29" s="86">
        <v>22.516464000000003</v>
      </c>
      <c r="I29" s="82">
        <v>2249.59</v>
      </c>
      <c r="J29" s="86">
        <v>22.516464000000003</v>
      </c>
      <c r="K29" s="82">
        <v>2249.59</v>
      </c>
      <c r="L29" s="47">
        <f>+J29/K29</f>
        <v>0.010009141221289214</v>
      </c>
      <c r="M29" s="23">
        <v>340.189</v>
      </c>
      <c r="N29" s="23">
        <f>+L29*M29</f>
        <v>3.4049997429291565</v>
      </c>
      <c r="O29" s="23">
        <f>+L29*60*1000</f>
        <v>600.5484732773529</v>
      </c>
      <c r="P29" s="48">
        <f>+N29*60</f>
        <v>204.2999845757494</v>
      </c>
      <c r="R29" s="10"/>
      <c r="S29" s="10"/>
      <c r="Z29" s="14"/>
    </row>
    <row r="30" spans="1:26" s="14" customFormat="1" ht="11.25" customHeight="1">
      <c r="A30" s="224"/>
      <c r="B30" s="57" t="s">
        <v>469</v>
      </c>
      <c r="C30" s="245">
        <v>40</v>
      </c>
      <c r="D30" s="245" t="s">
        <v>158</v>
      </c>
      <c r="E30" s="58">
        <f>+F30+G30+H30</f>
        <v>32.948028</v>
      </c>
      <c r="F30" s="58">
        <v>4.274897</v>
      </c>
      <c r="G30" s="58">
        <v>6.17</v>
      </c>
      <c r="H30" s="58">
        <v>22.503131</v>
      </c>
      <c r="I30" s="72">
        <v>2233.8</v>
      </c>
      <c r="J30" s="58">
        <v>22.503131</v>
      </c>
      <c r="K30" s="72">
        <v>2233.8</v>
      </c>
      <c r="L30" s="59">
        <f>J30/K30</f>
        <v>0.010073923806965708</v>
      </c>
      <c r="M30" s="247">
        <v>283.618</v>
      </c>
      <c r="N30" s="75">
        <f>L30*M30</f>
        <v>2.857146122284</v>
      </c>
      <c r="O30" s="75">
        <f>L30*60*1000</f>
        <v>604.4354284179425</v>
      </c>
      <c r="P30" s="73">
        <f>O30*M30/1000</f>
        <v>171.42876733704003</v>
      </c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19" s="9" customFormat="1" ht="12.75">
      <c r="A31" s="224"/>
      <c r="B31" s="248" t="s">
        <v>530</v>
      </c>
      <c r="C31" s="158">
        <v>101</v>
      </c>
      <c r="D31" s="159" t="s">
        <v>24</v>
      </c>
      <c r="E31" s="160">
        <v>72.7</v>
      </c>
      <c r="F31" s="160">
        <v>11.83</v>
      </c>
      <c r="G31" s="161">
        <v>16</v>
      </c>
      <c r="H31" s="160">
        <v>44.87</v>
      </c>
      <c r="I31" s="162">
        <v>4440.66</v>
      </c>
      <c r="J31" s="160">
        <v>44.87</v>
      </c>
      <c r="K31" s="162">
        <v>4440.66</v>
      </c>
      <c r="L31" s="59">
        <f>J31/K31</f>
        <v>0.0101043538573095</v>
      </c>
      <c r="M31" s="30">
        <v>266.83</v>
      </c>
      <c r="N31" s="60">
        <f>L31*M31</f>
        <v>2.6961447397458937</v>
      </c>
      <c r="O31" s="60">
        <f>L31*60*1000</f>
        <v>606.2612314385699</v>
      </c>
      <c r="P31" s="61">
        <f>O31*M31/1000</f>
        <v>161.7686843847536</v>
      </c>
      <c r="R31" s="10"/>
      <c r="S31" s="10"/>
    </row>
    <row r="32" spans="1:26" s="9" customFormat="1" ht="12.75">
      <c r="A32" s="224"/>
      <c r="B32" s="57" t="s">
        <v>491</v>
      </c>
      <c r="C32" s="40">
        <v>60</v>
      </c>
      <c r="D32" s="40">
        <v>1970</v>
      </c>
      <c r="E32" s="58">
        <v>44.8</v>
      </c>
      <c r="F32" s="58">
        <v>6.783</v>
      </c>
      <c r="G32" s="58">
        <v>5.97</v>
      </c>
      <c r="H32" s="58">
        <f>E32-F32-G32</f>
        <v>32.047</v>
      </c>
      <c r="I32" s="72">
        <v>3171</v>
      </c>
      <c r="J32" s="58">
        <f>H32</f>
        <v>32.047</v>
      </c>
      <c r="K32" s="72">
        <f>I32</f>
        <v>3171</v>
      </c>
      <c r="L32" s="59">
        <f>J32/K32</f>
        <v>0.010106275622831914</v>
      </c>
      <c r="M32" s="247">
        <v>279.476</v>
      </c>
      <c r="N32" s="60">
        <f>L32*M32</f>
        <v>2.824461485966572</v>
      </c>
      <c r="O32" s="60">
        <f>L32*60*1000</f>
        <v>606.3765373699148</v>
      </c>
      <c r="P32" s="61">
        <f>O32*M32/1000</f>
        <v>169.46768915799433</v>
      </c>
      <c r="R32" s="10"/>
      <c r="S32" s="10"/>
      <c r="Z32" s="14"/>
    </row>
    <row r="33" spans="1:26" s="14" customFormat="1" ht="12.75" customHeight="1">
      <c r="A33" s="224"/>
      <c r="B33" s="175" t="s">
        <v>195</v>
      </c>
      <c r="C33" s="40">
        <v>32</v>
      </c>
      <c r="D33" s="40">
        <v>1983</v>
      </c>
      <c r="E33" s="58">
        <v>30.8</v>
      </c>
      <c r="F33" s="58">
        <v>3.57</v>
      </c>
      <c r="G33" s="58">
        <v>5.12</v>
      </c>
      <c r="H33" s="58">
        <v>22.11</v>
      </c>
      <c r="I33" s="72">
        <v>2162.72</v>
      </c>
      <c r="J33" s="58">
        <v>22.11</v>
      </c>
      <c r="K33" s="72">
        <v>2162.72</v>
      </c>
      <c r="L33" s="59">
        <f>J33/K33</f>
        <v>0.010223237404749575</v>
      </c>
      <c r="M33" s="247">
        <v>300</v>
      </c>
      <c r="N33" s="60">
        <f>L33*M33</f>
        <v>3.0669712214248728</v>
      </c>
      <c r="O33" s="60">
        <f>L33*60*1000</f>
        <v>613.3942442849745</v>
      </c>
      <c r="P33" s="61">
        <f>O33*M33/1000</f>
        <v>184.01827328549234</v>
      </c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19" s="9" customFormat="1" ht="12.75">
      <c r="A34" s="224"/>
      <c r="B34" s="175" t="s">
        <v>568</v>
      </c>
      <c r="C34" s="40">
        <v>45</v>
      </c>
      <c r="D34" s="40">
        <v>1973</v>
      </c>
      <c r="E34" s="58">
        <v>34.951</v>
      </c>
      <c r="F34" s="58">
        <v>3.808</v>
      </c>
      <c r="G34" s="58">
        <v>7.2</v>
      </c>
      <c r="H34" s="58">
        <v>23.943</v>
      </c>
      <c r="I34" s="72">
        <v>2317.74</v>
      </c>
      <c r="J34" s="58">
        <v>23.943</v>
      </c>
      <c r="K34" s="72">
        <v>2317.74</v>
      </c>
      <c r="L34" s="59">
        <f>J34/K34</f>
        <v>0.010330321778974347</v>
      </c>
      <c r="M34" s="247">
        <v>300</v>
      </c>
      <c r="N34" s="60">
        <f>L34*M34</f>
        <v>3.099096533692304</v>
      </c>
      <c r="O34" s="60">
        <f>L34*60*1000</f>
        <v>619.8193067384608</v>
      </c>
      <c r="P34" s="61">
        <f>O34*M34/1000</f>
        <v>185.94579202153824</v>
      </c>
      <c r="R34" s="10"/>
      <c r="S34" s="10"/>
    </row>
    <row r="35" spans="1:26" s="14" customFormat="1" ht="12.75">
      <c r="A35" s="224"/>
      <c r="B35" s="57" t="s">
        <v>492</v>
      </c>
      <c r="C35" s="40">
        <v>112</v>
      </c>
      <c r="D35" s="40">
        <v>2004</v>
      </c>
      <c r="E35" s="58">
        <v>95.876</v>
      </c>
      <c r="F35" s="58">
        <v>18.901</v>
      </c>
      <c r="G35" s="58">
        <v>8.96</v>
      </c>
      <c r="H35" s="58">
        <f>E35-F35-G35</f>
        <v>68.01500000000001</v>
      </c>
      <c r="I35" s="72">
        <v>6558.28</v>
      </c>
      <c r="J35" s="58">
        <f>H35</f>
        <v>68.01500000000001</v>
      </c>
      <c r="K35" s="72">
        <f>I35</f>
        <v>6558.28</v>
      </c>
      <c r="L35" s="59">
        <f>J35/K35</f>
        <v>0.010370859432656126</v>
      </c>
      <c r="M35" s="247">
        <v>279.476</v>
      </c>
      <c r="N35" s="60">
        <f>L35*M35</f>
        <v>2.898406310801003</v>
      </c>
      <c r="O35" s="60">
        <f>L35*60*1000</f>
        <v>622.2515659593676</v>
      </c>
      <c r="P35" s="61">
        <f>O35*M35/1000</f>
        <v>173.9043786480602</v>
      </c>
      <c r="Q35" s="9"/>
      <c r="R35" s="10"/>
      <c r="S35" s="10"/>
      <c r="T35" s="9"/>
      <c r="U35" s="9"/>
      <c r="V35" s="9"/>
      <c r="W35" s="9"/>
      <c r="X35" s="9"/>
      <c r="Y35" s="9"/>
      <c r="Z35" s="9"/>
    </row>
    <row r="36" spans="1:26" s="9" customFormat="1" ht="12.75">
      <c r="A36" s="224"/>
      <c r="B36" s="240" t="s">
        <v>267</v>
      </c>
      <c r="C36" s="22">
        <v>30</v>
      </c>
      <c r="D36" s="22" t="s">
        <v>158</v>
      </c>
      <c r="E36" s="241">
        <f>F36+G36+H36</f>
        <v>26.701</v>
      </c>
      <c r="F36" s="84">
        <v>4.0356</v>
      </c>
      <c r="G36" s="84">
        <v>4.8</v>
      </c>
      <c r="H36" s="84">
        <v>17.8654</v>
      </c>
      <c r="I36" s="243">
        <v>1717.43</v>
      </c>
      <c r="J36" s="84">
        <v>17.8654</v>
      </c>
      <c r="K36" s="243">
        <v>1717.43</v>
      </c>
      <c r="L36" s="47">
        <f>J36/K36</f>
        <v>0.010402403591412751</v>
      </c>
      <c r="M36" s="242">
        <v>210</v>
      </c>
      <c r="N36" s="242">
        <f>L36*M36</f>
        <v>2.184504754196678</v>
      </c>
      <c r="O36" s="242">
        <f>L36*1000*60</f>
        <v>624.144215484765</v>
      </c>
      <c r="P36" s="325">
        <f>N36*60</f>
        <v>131.07028525180067</v>
      </c>
      <c r="R36" s="10"/>
      <c r="S36" s="10"/>
      <c r="Z36" s="14"/>
    </row>
    <row r="37" spans="1:26" s="14" customFormat="1" ht="12.75" customHeight="1">
      <c r="A37" s="224"/>
      <c r="B37" s="46" t="s">
        <v>906</v>
      </c>
      <c r="C37" s="40">
        <v>60</v>
      </c>
      <c r="D37" s="245">
        <v>1966</v>
      </c>
      <c r="E37" s="211">
        <f>SUM(F37+G37+H37)</f>
        <v>43.406</v>
      </c>
      <c r="F37" s="84">
        <v>5.498</v>
      </c>
      <c r="G37" s="84">
        <v>9.6</v>
      </c>
      <c r="H37" s="84">
        <v>28.308</v>
      </c>
      <c r="I37" s="34">
        <v>2701.99</v>
      </c>
      <c r="J37" s="84">
        <v>28.308</v>
      </c>
      <c r="K37" s="34">
        <v>2701.99</v>
      </c>
      <c r="L37" s="59">
        <f>J37/K37</f>
        <v>0.010476722711779097</v>
      </c>
      <c r="M37" s="30">
        <v>283.51</v>
      </c>
      <c r="N37" s="60">
        <f>L37*M37</f>
        <v>2.9702556560164917</v>
      </c>
      <c r="O37" s="60">
        <f>L37*60*1000</f>
        <v>628.6033627067458</v>
      </c>
      <c r="P37" s="61">
        <f>O37*M37/1000</f>
        <v>178.21533936098947</v>
      </c>
      <c r="Q37" s="9"/>
      <c r="R37" s="10"/>
      <c r="S37" s="10"/>
      <c r="T37" s="9"/>
      <c r="U37" s="9"/>
      <c r="V37" s="9"/>
      <c r="W37" s="9"/>
      <c r="X37" s="9"/>
      <c r="Y37" s="9"/>
      <c r="Z37" s="9"/>
    </row>
    <row r="38" spans="1:25" s="14" customFormat="1" ht="12.75">
      <c r="A38" s="224"/>
      <c r="B38" s="175" t="s">
        <v>191</v>
      </c>
      <c r="C38" s="40">
        <v>30</v>
      </c>
      <c r="D38" s="245">
        <v>1985</v>
      </c>
      <c r="E38" s="58">
        <v>23.581</v>
      </c>
      <c r="F38" s="58">
        <v>3.088</v>
      </c>
      <c r="G38" s="58">
        <v>4.8</v>
      </c>
      <c r="H38" s="58">
        <v>15.693</v>
      </c>
      <c r="I38" s="72">
        <v>1496.17</v>
      </c>
      <c r="J38" s="58">
        <v>15.693</v>
      </c>
      <c r="K38" s="72">
        <v>1496.17</v>
      </c>
      <c r="L38" s="59">
        <f>J38/K38</f>
        <v>0.010488781355059918</v>
      </c>
      <c r="M38" s="247">
        <v>300</v>
      </c>
      <c r="N38" s="60">
        <f>L38*M38</f>
        <v>3.1466344065179754</v>
      </c>
      <c r="O38" s="60">
        <f>L38*60*1000</f>
        <v>629.3268813035951</v>
      </c>
      <c r="P38" s="61">
        <f>O38*M38/1000</f>
        <v>188.79806439107853</v>
      </c>
      <c r="Q38" s="9"/>
      <c r="R38" s="10"/>
      <c r="S38" s="10"/>
      <c r="T38" s="9"/>
      <c r="U38" s="9"/>
      <c r="V38" s="9"/>
      <c r="W38" s="9"/>
      <c r="X38" s="9"/>
      <c r="Y38" s="9"/>
    </row>
    <row r="39" spans="1:19" s="9" customFormat="1" ht="12.75">
      <c r="A39" s="224"/>
      <c r="B39" s="46" t="s">
        <v>905</v>
      </c>
      <c r="C39" s="40">
        <v>60</v>
      </c>
      <c r="D39" s="245">
        <v>1964</v>
      </c>
      <c r="E39" s="58">
        <f>SUM(F39+G39+H39)</f>
        <v>45.933</v>
      </c>
      <c r="F39" s="84">
        <v>6.115</v>
      </c>
      <c r="G39" s="84">
        <v>9.6</v>
      </c>
      <c r="H39" s="84">
        <v>30.218</v>
      </c>
      <c r="I39" s="34">
        <v>2880.51</v>
      </c>
      <c r="J39" s="84">
        <v>30.218</v>
      </c>
      <c r="K39" s="34">
        <v>2880.51</v>
      </c>
      <c r="L39" s="59">
        <f>J39/K39</f>
        <v>0.010490503417797541</v>
      </c>
      <c r="M39" s="30">
        <v>283.51</v>
      </c>
      <c r="N39" s="60">
        <f>L39*M39</f>
        <v>2.974162623979781</v>
      </c>
      <c r="O39" s="60">
        <f>L39*60*1000</f>
        <v>629.4302050678525</v>
      </c>
      <c r="P39" s="61">
        <f>O39*M39/1000</f>
        <v>178.44975743878686</v>
      </c>
      <c r="Q39" s="11"/>
      <c r="R39" s="10"/>
      <c r="S39" s="10"/>
    </row>
    <row r="40" spans="1:26" s="9" customFormat="1" ht="12.75">
      <c r="A40" s="224"/>
      <c r="B40" s="46" t="s">
        <v>907</v>
      </c>
      <c r="C40" s="40">
        <v>60</v>
      </c>
      <c r="D40" s="40">
        <v>1965</v>
      </c>
      <c r="E40" s="58">
        <f>SUM(F40+G40+H40)</f>
        <v>44.674</v>
      </c>
      <c r="F40" s="84">
        <v>6.583</v>
      </c>
      <c r="G40" s="84">
        <v>9.6</v>
      </c>
      <c r="H40" s="84">
        <v>28.491</v>
      </c>
      <c r="I40" s="34">
        <v>2701.06</v>
      </c>
      <c r="J40" s="84">
        <v>28.491</v>
      </c>
      <c r="K40" s="34">
        <v>2701.06</v>
      </c>
      <c r="L40" s="59">
        <f>J40/K40</f>
        <v>0.01054808112370699</v>
      </c>
      <c r="M40" s="30">
        <v>283.51</v>
      </c>
      <c r="N40" s="60">
        <f>L40*M40</f>
        <v>2.990486479382169</v>
      </c>
      <c r="O40" s="60">
        <f>L40*60*1000</f>
        <v>632.8848674224195</v>
      </c>
      <c r="P40" s="61">
        <f>O40*M40/1000</f>
        <v>179.42918876293012</v>
      </c>
      <c r="Q40" s="10"/>
      <c r="R40" s="10"/>
      <c r="S40" s="10"/>
      <c r="T40" s="12"/>
      <c r="U40" s="13"/>
      <c r="V40" s="13"/>
      <c r="Z40" s="14"/>
    </row>
    <row r="41" spans="1:26" s="9" customFormat="1" ht="12.75">
      <c r="A41" s="224"/>
      <c r="B41" s="175" t="s">
        <v>193</v>
      </c>
      <c r="C41" s="40">
        <v>75</v>
      </c>
      <c r="D41" s="40">
        <v>1976</v>
      </c>
      <c r="E41" s="58">
        <v>61.13</v>
      </c>
      <c r="F41" s="58">
        <v>7.213</v>
      </c>
      <c r="G41" s="58">
        <v>12</v>
      </c>
      <c r="H41" s="58">
        <v>41.917</v>
      </c>
      <c r="I41" s="72">
        <v>3969.47</v>
      </c>
      <c r="J41" s="58">
        <v>41.917</v>
      </c>
      <c r="K41" s="72">
        <v>3969.47</v>
      </c>
      <c r="L41" s="59">
        <f>J41/K41</f>
        <v>0.010559848040166572</v>
      </c>
      <c r="M41" s="247">
        <v>300</v>
      </c>
      <c r="N41" s="60">
        <f>L41*M41</f>
        <v>3.1679544120499714</v>
      </c>
      <c r="O41" s="60">
        <f>L41*60*1000</f>
        <v>633.5908824099943</v>
      </c>
      <c r="P41" s="61">
        <f>O41*M41/1000</f>
        <v>190.07726472299828</v>
      </c>
      <c r="R41" s="10"/>
      <c r="S41" s="10"/>
      <c r="Z41" s="14"/>
    </row>
    <row r="42" spans="1:16" s="9" customFormat="1" ht="12.75" customHeight="1">
      <c r="A42" s="224"/>
      <c r="B42" s="46" t="s">
        <v>761</v>
      </c>
      <c r="C42" s="22">
        <v>36</v>
      </c>
      <c r="D42" s="22" t="s">
        <v>24</v>
      </c>
      <c r="E42" s="58">
        <f>F42+G42+H42</f>
        <v>33.5</v>
      </c>
      <c r="F42" s="58">
        <v>3.6</v>
      </c>
      <c r="G42" s="58">
        <v>5.5</v>
      </c>
      <c r="H42" s="58">
        <v>24.4</v>
      </c>
      <c r="I42" s="34">
        <v>2305.31</v>
      </c>
      <c r="J42" s="58">
        <v>23.6</v>
      </c>
      <c r="K42" s="34">
        <v>2232.72</v>
      </c>
      <c r="L42" s="59">
        <f>J42/K42</f>
        <v>0.010570067003475583</v>
      </c>
      <c r="M42" s="30">
        <v>204.4</v>
      </c>
      <c r="N42" s="60">
        <f>L42*M42</f>
        <v>2.1605216955104094</v>
      </c>
      <c r="O42" s="60">
        <f>L42*60*1000</f>
        <v>634.2040202085351</v>
      </c>
      <c r="P42" s="61">
        <f>O42*M42/1000</f>
        <v>129.63130173062459</v>
      </c>
    </row>
    <row r="43" spans="1:22" s="9" customFormat="1" ht="12.75">
      <c r="A43" s="224"/>
      <c r="B43" s="46" t="s">
        <v>908</v>
      </c>
      <c r="C43" s="40">
        <v>60</v>
      </c>
      <c r="D43" s="40">
        <v>1964</v>
      </c>
      <c r="E43" s="58">
        <f>SUM(F43+G43+H43)</f>
        <v>45.061</v>
      </c>
      <c r="F43" s="84">
        <v>6.9</v>
      </c>
      <c r="G43" s="84">
        <v>9.6</v>
      </c>
      <c r="H43" s="84">
        <v>28.561</v>
      </c>
      <c r="I43" s="34">
        <v>2701.1</v>
      </c>
      <c r="J43" s="84">
        <v>28.561</v>
      </c>
      <c r="K43" s="34">
        <v>2701.1</v>
      </c>
      <c r="L43" s="59">
        <f>J43/K43</f>
        <v>0.010573840287290363</v>
      </c>
      <c r="M43" s="30">
        <v>283.51</v>
      </c>
      <c r="N43" s="60">
        <f>L43*M43</f>
        <v>2.997789459849691</v>
      </c>
      <c r="O43" s="60">
        <f>L43*60*1000</f>
        <v>634.4304172374218</v>
      </c>
      <c r="P43" s="61">
        <f>O43*M43/1000</f>
        <v>179.86736759098144</v>
      </c>
      <c r="Q43" s="10"/>
      <c r="R43" s="10"/>
      <c r="S43" s="10"/>
      <c r="T43" s="12"/>
      <c r="U43" s="13"/>
      <c r="V43" s="13"/>
    </row>
    <row r="44" spans="1:19" s="9" customFormat="1" ht="12.75">
      <c r="A44" s="224"/>
      <c r="B44" s="70" t="s">
        <v>196</v>
      </c>
      <c r="C44" s="71">
        <v>71</v>
      </c>
      <c r="D44" s="22">
        <v>1974</v>
      </c>
      <c r="E44" s="84">
        <f>+F44+G44+H44</f>
        <v>56.804113</v>
      </c>
      <c r="F44" s="86">
        <v>6.565064</v>
      </c>
      <c r="G44" s="86">
        <v>11.200000000000001</v>
      </c>
      <c r="H44" s="86">
        <v>39.039049</v>
      </c>
      <c r="I44" s="82">
        <v>3773.31</v>
      </c>
      <c r="J44" s="86">
        <v>39.039049</v>
      </c>
      <c r="K44" s="82">
        <v>3648.6800000000003</v>
      </c>
      <c r="L44" s="47">
        <f>+J44/K44</f>
        <v>0.010699499270969226</v>
      </c>
      <c r="M44" s="23">
        <v>340.189</v>
      </c>
      <c r="N44" s="23">
        <f>+L44*M44</f>
        <v>3.63985195749175</v>
      </c>
      <c r="O44" s="23">
        <f>+L44*60*1000</f>
        <v>641.9699562581536</v>
      </c>
      <c r="P44" s="48">
        <f>+N44*60</f>
        <v>218.391117449505</v>
      </c>
      <c r="Q44" s="11"/>
      <c r="R44" s="10"/>
      <c r="S44" s="10"/>
    </row>
    <row r="45" spans="1:26" s="14" customFormat="1" ht="12.75" customHeight="1">
      <c r="A45" s="224"/>
      <c r="B45" s="70" t="s">
        <v>197</v>
      </c>
      <c r="C45" s="71">
        <v>55</v>
      </c>
      <c r="D45" s="22">
        <v>1967</v>
      </c>
      <c r="E45" s="84">
        <f>+F45+G45+H45</f>
        <v>41.405001</v>
      </c>
      <c r="F45" s="86">
        <v>4.809728</v>
      </c>
      <c r="G45" s="86">
        <v>8.8</v>
      </c>
      <c r="H45" s="86">
        <v>27.795273</v>
      </c>
      <c r="I45" s="82">
        <v>2582.18</v>
      </c>
      <c r="J45" s="86">
        <v>27.795273</v>
      </c>
      <c r="K45" s="82">
        <v>2582.18</v>
      </c>
      <c r="L45" s="47">
        <f>+J45/K45</f>
        <v>0.01076426624015367</v>
      </c>
      <c r="M45" s="23">
        <v>340.189</v>
      </c>
      <c r="N45" s="23">
        <f>+L45*M45</f>
        <v>3.6618849679716368</v>
      </c>
      <c r="O45" s="23">
        <f>+L45*60*1000</f>
        <v>645.8559744092202</v>
      </c>
      <c r="P45" s="48">
        <f>+N45*60</f>
        <v>219.7130980782982</v>
      </c>
      <c r="Q45" s="9"/>
      <c r="R45" s="10"/>
      <c r="S45" s="10"/>
      <c r="T45" s="9"/>
      <c r="U45" s="9"/>
      <c r="V45" s="9"/>
      <c r="W45" s="9"/>
      <c r="X45" s="9"/>
      <c r="Y45" s="9"/>
      <c r="Z45" s="9"/>
    </row>
    <row r="46" spans="1:26" s="14" customFormat="1" ht="12.75" customHeight="1">
      <c r="A46" s="224"/>
      <c r="B46" s="175" t="s">
        <v>194</v>
      </c>
      <c r="C46" s="40">
        <v>30</v>
      </c>
      <c r="D46" s="40">
        <v>1987</v>
      </c>
      <c r="E46" s="58">
        <v>25.59</v>
      </c>
      <c r="F46" s="58">
        <v>3.604</v>
      </c>
      <c r="G46" s="58">
        <v>4.8</v>
      </c>
      <c r="H46" s="58">
        <v>17.186</v>
      </c>
      <c r="I46" s="72">
        <v>1596.15</v>
      </c>
      <c r="J46" s="58">
        <v>17.186</v>
      </c>
      <c r="K46" s="72">
        <v>1596.15</v>
      </c>
      <c r="L46" s="59">
        <f>J46/K46</f>
        <v>0.010767158475080663</v>
      </c>
      <c r="M46" s="247">
        <v>300</v>
      </c>
      <c r="N46" s="60">
        <f>L46*M46</f>
        <v>3.230147542524199</v>
      </c>
      <c r="O46" s="60">
        <f>L46*60*1000</f>
        <v>646.0295085048398</v>
      </c>
      <c r="P46" s="61">
        <f>O46*M46/1000</f>
        <v>193.80885255145193</v>
      </c>
      <c r="Q46" s="10"/>
      <c r="R46" s="10"/>
      <c r="S46" s="10"/>
      <c r="T46" s="12"/>
      <c r="U46" s="13"/>
      <c r="V46" s="13"/>
      <c r="W46" s="9"/>
      <c r="X46" s="9"/>
      <c r="Y46" s="9"/>
      <c r="Z46" s="9"/>
    </row>
    <row r="47" spans="1:19" s="9" customFormat="1" ht="12.75">
      <c r="A47" s="224"/>
      <c r="B47" s="248" t="s">
        <v>531</v>
      </c>
      <c r="C47" s="158">
        <v>45</v>
      </c>
      <c r="D47" s="159" t="s">
        <v>24</v>
      </c>
      <c r="E47" s="160">
        <v>42.01</v>
      </c>
      <c r="F47" s="160">
        <v>9.25</v>
      </c>
      <c r="G47" s="161">
        <v>7.2</v>
      </c>
      <c r="H47" s="160">
        <v>25.56</v>
      </c>
      <c r="I47" s="162">
        <v>2343.95</v>
      </c>
      <c r="J47" s="160">
        <v>25.56</v>
      </c>
      <c r="K47" s="162">
        <v>2343.95</v>
      </c>
      <c r="L47" s="59">
        <f>J47/K47</f>
        <v>0.01090466946820538</v>
      </c>
      <c r="M47" s="30">
        <v>266.83</v>
      </c>
      <c r="N47" s="60">
        <f>L47*M47</f>
        <v>2.9096929542012413</v>
      </c>
      <c r="O47" s="60">
        <f>L47*60*1000</f>
        <v>654.2801680923228</v>
      </c>
      <c r="P47" s="61">
        <f>O47*M47/1000</f>
        <v>174.58157725207448</v>
      </c>
      <c r="R47" s="10"/>
      <c r="S47" s="10"/>
    </row>
    <row r="48" spans="1:19" s="9" customFormat="1" ht="13.5" customHeight="1">
      <c r="A48" s="224"/>
      <c r="B48" s="248" t="s">
        <v>532</v>
      </c>
      <c r="C48" s="158">
        <v>45</v>
      </c>
      <c r="D48" s="159" t="s">
        <v>24</v>
      </c>
      <c r="E48" s="160">
        <v>37.01</v>
      </c>
      <c r="F48" s="160">
        <v>4.42</v>
      </c>
      <c r="G48" s="161">
        <v>7.2</v>
      </c>
      <c r="H48" s="160">
        <v>25.39</v>
      </c>
      <c r="I48" s="162">
        <v>2313.86</v>
      </c>
      <c r="J48" s="160">
        <v>25.39</v>
      </c>
      <c r="K48" s="162">
        <v>2313.86</v>
      </c>
      <c r="L48" s="59">
        <f>J48/K48</f>
        <v>0.010973006145574926</v>
      </c>
      <c r="M48" s="30">
        <v>266.83</v>
      </c>
      <c r="N48" s="60">
        <f>L48*M48</f>
        <v>2.9279272298237573</v>
      </c>
      <c r="O48" s="60">
        <f>L48*60*1000</f>
        <v>658.3803687344956</v>
      </c>
      <c r="P48" s="61">
        <f>O48*M48/1000</f>
        <v>175.67563378942546</v>
      </c>
      <c r="R48" s="10"/>
      <c r="S48" s="10"/>
    </row>
    <row r="49" spans="1:26" s="9" customFormat="1" ht="12.75" customHeight="1">
      <c r="A49" s="224"/>
      <c r="B49" s="240" t="s">
        <v>53</v>
      </c>
      <c r="C49" s="22">
        <v>60</v>
      </c>
      <c r="D49" s="22">
        <v>2005</v>
      </c>
      <c r="E49" s="84">
        <v>71.62</v>
      </c>
      <c r="F49" s="84">
        <v>12.22</v>
      </c>
      <c r="G49" s="241">
        <v>4.96</v>
      </c>
      <c r="H49" s="84">
        <f>E49-F49-G49</f>
        <v>54.440000000000005</v>
      </c>
      <c r="I49" s="34">
        <v>4933.5</v>
      </c>
      <c r="J49" s="84">
        <f>H49/I49*K49</f>
        <v>52.82340731732036</v>
      </c>
      <c r="K49" s="22">
        <v>4787</v>
      </c>
      <c r="L49" s="47">
        <f>J49/K49</f>
        <v>0.011034762339110165</v>
      </c>
      <c r="M49" s="242">
        <v>323.29400000000004</v>
      </c>
      <c r="N49" s="242">
        <f>L49*M49</f>
        <v>3.5674724556602824</v>
      </c>
      <c r="O49" s="23">
        <f>L49*60*1000</f>
        <v>662.0857403466099</v>
      </c>
      <c r="P49" s="48">
        <f>O49*M49/1000</f>
        <v>214.04834733961692</v>
      </c>
      <c r="R49" s="10"/>
      <c r="S49" s="10"/>
      <c r="Z49" s="14"/>
    </row>
    <row r="50" spans="1:19" s="9" customFormat="1" ht="12.75">
      <c r="A50" s="224"/>
      <c r="B50" s="248" t="s">
        <v>528</v>
      </c>
      <c r="C50" s="158">
        <v>61</v>
      </c>
      <c r="D50" s="159" t="s">
        <v>24</v>
      </c>
      <c r="E50" s="160">
        <v>45.14</v>
      </c>
      <c r="F50" s="160">
        <v>5.26</v>
      </c>
      <c r="G50" s="161">
        <v>9.6</v>
      </c>
      <c r="H50" s="160">
        <v>30.28</v>
      </c>
      <c r="I50" s="162">
        <v>2737.01</v>
      </c>
      <c r="J50" s="160">
        <v>30.28</v>
      </c>
      <c r="K50" s="162">
        <v>2737.01</v>
      </c>
      <c r="L50" s="59">
        <f>J50/K50</f>
        <v>0.011063167471072447</v>
      </c>
      <c r="M50" s="30">
        <v>266.83</v>
      </c>
      <c r="N50" s="60">
        <f>L50*M50</f>
        <v>2.951984976306261</v>
      </c>
      <c r="O50" s="60">
        <f>L50*60*1000</f>
        <v>663.7900482643469</v>
      </c>
      <c r="P50" s="61">
        <f>O50*M50/1000</f>
        <v>177.11909857837568</v>
      </c>
      <c r="R50" s="10"/>
      <c r="S50" s="10"/>
    </row>
    <row r="51" spans="1:19" s="9" customFormat="1" ht="12.75">
      <c r="A51" s="224"/>
      <c r="B51" s="46" t="s">
        <v>762</v>
      </c>
      <c r="C51" s="22">
        <v>40</v>
      </c>
      <c r="D51" s="22" t="s">
        <v>24</v>
      </c>
      <c r="E51" s="58">
        <f>F51+G51+H51</f>
        <v>38.2</v>
      </c>
      <c r="F51" s="58">
        <v>6.8</v>
      </c>
      <c r="G51" s="58">
        <v>6</v>
      </c>
      <c r="H51" s="58">
        <v>25.4</v>
      </c>
      <c r="I51" s="34">
        <v>2287.45</v>
      </c>
      <c r="J51" s="58">
        <v>25.4</v>
      </c>
      <c r="K51" s="34">
        <v>2287.45</v>
      </c>
      <c r="L51" s="59">
        <f>J51/K51</f>
        <v>0.011104067848477563</v>
      </c>
      <c r="M51" s="30">
        <v>204.4</v>
      </c>
      <c r="N51" s="60">
        <f>L51*M51</f>
        <v>2.2696714682288137</v>
      </c>
      <c r="O51" s="60">
        <f>L51*60*1000</f>
        <v>666.2440709086538</v>
      </c>
      <c r="P51" s="61">
        <f>O51*M51/1000</f>
        <v>136.18028809372885</v>
      </c>
      <c r="R51" s="10"/>
      <c r="S51" s="10"/>
    </row>
    <row r="52" spans="1:19" s="9" customFormat="1" ht="12.75">
      <c r="A52" s="224"/>
      <c r="B52" s="57" t="s">
        <v>477</v>
      </c>
      <c r="C52" s="245">
        <v>15</v>
      </c>
      <c r="D52" s="245">
        <v>2006</v>
      </c>
      <c r="E52" s="58">
        <v>15.215</v>
      </c>
      <c r="F52" s="58">
        <v>1.68</v>
      </c>
      <c r="G52" s="58">
        <v>1.2</v>
      </c>
      <c r="H52" s="58">
        <v>12.33</v>
      </c>
      <c r="I52" s="205"/>
      <c r="J52" s="58">
        <f>H52</f>
        <v>12.33</v>
      </c>
      <c r="K52" s="72">
        <v>1104</v>
      </c>
      <c r="L52" s="59">
        <f>J52/K52</f>
        <v>0.011168478260869565</v>
      </c>
      <c r="M52" s="247">
        <v>187.7</v>
      </c>
      <c r="N52" s="75">
        <f>L52*M52</f>
        <v>2.096323369565217</v>
      </c>
      <c r="O52" s="75">
        <f>L52*60*1000</f>
        <v>670.1086956521739</v>
      </c>
      <c r="P52" s="73">
        <f>O52*M52/1000</f>
        <v>125.77940217391303</v>
      </c>
      <c r="R52" s="10"/>
      <c r="S52" s="10"/>
    </row>
    <row r="53" spans="1:19" s="9" customFormat="1" ht="12.75">
      <c r="A53" s="224"/>
      <c r="B53" s="57" t="s">
        <v>730</v>
      </c>
      <c r="C53" s="245">
        <v>45</v>
      </c>
      <c r="D53" s="245">
        <v>1990</v>
      </c>
      <c r="E53" s="58">
        <v>37.946</v>
      </c>
      <c r="F53" s="58">
        <v>4.65</v>
      </c>
      <c r="G53" s="58">
        <v>7.2</v>
      </c>
      <c r="H53" s="58">
        <v>26.094</v>
      </c>
      <c r="I53" s="72">
        <v>2333.65</v>
      </c>
      <c r="J53" s="58">
        <f>H53</f>
        <v>26.094</v>
      </c>
      <c r="K53" s="72">
        <f>I53</f>
        <v>2333.65</v>
      </c>
      <c r="L53" s="59">
        <f>J53/K53</f>
        <v>0.011181625350845242</v>
      </c>
      <c r="M53" s="247">
        <v>206.88</v>
      </c>
      <c r="N53" s="75">
        <f>L53*M53</f>
        <v>2.313254652582864</v>
      </c>
      <c r="O53" s="75">
        <f>L53*60*1000</f>
        <v>670.8975210507145</v>
      </c>
      <c r="P53" s="73">
        <f>O53*M53/1000</f>
        <v>138.79527915497184</v>
      </c>
      <c r="R53" s="10"/>
      <c r="S53" s="10"/>
    </row>
    <row r="54" spans="1:19" s="9" customFormat="1" ht="12.75" customHeight="1">
      <c r="A54" s="224"/>
      <c r="B54" s="70" t="s">
        <v>101</v>
      </c>
      <c r="C54" s="71">
        <v>30</v>
      </c>
      <c r="D54" s="22">
        <v>1973</v>
      </c>
      <c r="E54" s="84">
        <f>+F54+G54+H54</f>
        <v>24.988</v>
      </c>
      <c r="F54" s="86">
        <v>2.6061</v>
      </c>
      <c r="G54" s="86">
        <v>4.8</v>
      </c>
      <c r="H54" s="86">
        <v>17.5819</v>
      </c>
      <c r="I54" s="82">
        <v>1569.45</v>
      </c>
      <c r="J54" s="86">
        <v>17.5819</v>
      </c>
      <c r="K54" s="82">
        <v>1569.45</v>
      </c>
      <c r="L54" s="47">
        <f>+J54/K54</f>
        <v>0.011202586893497722</v>
      </c>
      <c r="M54" s="23">
        <v>340.189</v>
      </c>
      <c r="N54" s="23">
        <f>+L54*M54</f>
        <v>3.810996832712097</v>
      </c>
      <c r="O54" s="23">
        <f>+L54*60*1000</f>
        <v>672.1552136098633</v>
      </c>
      <c r="P54" s="48">
        <f>+N54*60</f>
        <v>228.6598099627258</v>
      </c>
      <c r="R54" s="10"/>
      <c r="S54" s="10"/>
    </row>
    <row r="55" spans="1:19" s="9" customFormat="1" ht="12.75" customHeight="1">
      <c r="A55" s="224"/>
      <c r="B55" s="248" t="s">
        <v>533</v>
      </c>
      <c r="C55" s="158">
        <v>45</v>
      </c>
      <c r="D55" s="159" t="s">
        <v>24</v>
      </c>
      <c r="E55" s="160">
        <v>38.27</v>
      </c>
      <c r="F55" s="160">
        <v>5</v>
      </c>
      <c r="G55" s="161">
        <v>7.2</v>
      </c>
      <c r="H55" s="160">
        <v>26.07</v>
      </c>
      <c r="I55" s="162">
        <v>2319.88</v>
      </c>
      <c r="J55" s="160">
        <v>26.07</v>
      </c>
      <c r="K55" s="162">
        <v>2319.88</v>
      </c>
      <c r="L55" s="59">
        <f>J55/K55</f>
        <v>0.011237650223287411</v>
      </c>
      <c r="M55" s="30">
        <v>266.83</v>
      </c>
      <c r="N55" s="60">
        <f>L55*M55</f>
        <v>2.9985422090797798</v>
      </c>
      <c r="O55" s="60">
        <f>L55*60*1000</f>
        <v>674.2590133972446</v>
      </c>
      <c r="P55" s="61">
        <f>O55*M55/1000</f>
        <v>179.91253254478679</v>
      </c>
      <c r="R55" s="10"/>
      <c r="S55" s="10"/>
    </row>
    <row r="56" spans="1:19" s="9" customFormat="1" ht="12.75">
      <c r="A56" s="224"/>
      <c r="B56" s="240" t="s">
        <v>92</v>
      </c>
      <c r="C56" s="22">
        <v>60</v>
      </c>
      <c r="D56" s="22">
        <v>1965</v>
      </c>
      <c r="E56" s="84">
        <v>47.25</v>
      </c>
      <c r="F56" s="84">
        <v>7.17</v>
      </c>
      <c r="G56" s="241">
        <v>9.52</v>
      </c>
      <c r="H56" s="84">
        <f>E56-F56-G56</f>
        <v>30.56</v>
      </c>
      <c r="I56" s="34">
        <v>2708.9</v>
      </c>
      <c r="J56" s="84">
        <f>H56/I56*K56</f>
        <v>30.561128133190593</v>
      </c>
      <c r="K56" s="22">
        <v>2709</v>
      </c>
      <c r="L56" s="47">
        <f>J56/K56</f>
        <v>0.01128133190593968</v>
      </c>
      <c r="M56" s="242">
        <v>323.29400000000004</v>
      </c>
      <c r="N56" s="242">
        <f>L56*M56</f>
        <v>3.647186917198863</v>
      </c>
      <c r="O56" s="23">
        <f>L56*60*1000</f>
        <v>676.8799143563807</v>
      </c>
      <c r="P56" s="48">
        <f>O56*M56/1000</f>
        <v>218.83121503193175</v>
      </c>
      <c r="Q56" s="11"/>
      <c r="R56" s="10"/>
      <c r="S56" s="10"/>
    </row>
    <row r="57" spans="1:19" s="9" customFormat="1" ht="12.75" customHeight="1">
      <c r="A57" s="224"/>
      <c r="B57" s="46" t="s">
        <v>25</v>
      </c>
      <c r="C57" s="22">
        <v>52</v>
      </c>
      <c r="D57" s="22">
        <v>2009</v>
      </c>
      <c r="E57" s="84">
        <v>41.724</v>
      </c>
      <c r="F57" s="84">
        <v>7.123115</v>
      </c>
      <c r="G57" s="84">
        <v>4.16</v>
      </c>
      <c r="H57" s="84">
        <v>30.440884999999998</v>
      </c>
      <c r="I57" s="34">
        <v>2687.24</v>
      </c>
      <c r="J57" s="84">
        <v>30.440859</v>
      </c>
      <c r="K57" s="34">
        <v>2687.24</v>
      </c>
      <c r="L57" s="47">
        <f>J57/K57</f>
        <v>0.01132792716690731</v>
      </c>
      <c r="M57" s="22">
        <v>296.48</v>
      </c>
      <c r="N57" s="23">
        <f>L57*M57</f>
        <v>3.3585038464446795</v>
      </c>
      <c r="O57" s="23">
        <f>L57*60*1000</f>
        <v>679.6756300144386</v>
      </c>
      <c r="P57" s="48">
        <f>O57*M57/1000</f>
        <v>201.51023078668078</v>
      </c>
      <c r="Q57" s="11"/>
      <c r="R57" s="10"/>
      <c r="S57" s="10"/>
    </row>
    <row r="58" spans="1:19" s="9" customFormat="1" ht="12.75" customHeight="1">
      <c r="A58" s="224"/>
      <c r="B58" s="70" t="s">
        <v>200</v>
      </c>
      <c r="C58" s="71">
        <v>30</v>
      </c>
      <c r="D58" s="22">
        <v>1971</v>
      </c>
      <c r="E58" s="84">
        <f>+F58+G58+H58</f>
        <v>26.186005</v>
      </c>
      <c r="F58" s="86">
        <v>3.4892000000000003</v>
      </c>
      <c r="G58" s="86">
        <v>4.8</v>
      </c>
      <c r="H58" s="86">
        <v>17.896805</v>
      </c>
      <c r="I58" s="82">
        <v>1569.65</v>
      </c>
      <c r="J58" s="86">
        <v>17.896805</v>
      </c>
      <c r="K58" s="82">
        <v>1569.65</v>
      </c>
      <c r="L58" s="47">
        <f>+J58/K58</f>
        <v>0.011401780651737648</v>
      </c>
      <c r="M58" s="23">
        <v>340.189</v>
      </c>
      <c r="N58" s="23">
        <f>+L58*M58</f>
        <v>3.878760358133979</v>
      </c>
      <c r="O58" s="23">
        <f>+L58*60*1000</f>
        <v>684.1068391042589</v>
      </c>
      <c r="P58" s="48">
        <f>+N58*60</f>
        <v>232.72562148803874</v>
      </c>
      <c r="R58" s="10"/>
      <c r="S58" s="10"/>
    </row>
    <row r="59" spans="1:19" s="9" customFormat="1" ht="12.75">
      <c r="A59" s="224"/>
      <c r="B59" s="57" t="s">
        <v>223</v>
      </c>
      <c r="C59" s="40">
        <v>59</v>
      </c>
      <c r="D59" s="245">
        <v>2007</v>
      </c>
      <c r="E59" s="58">
        <v>48.458</v>
      </c>
      <c r="F59" s="58">
        <v>1.79418</v>
      </c>
      <c r="G59" s="58">
        <v>5.28</v>
      </c>
      <c r="H59" s="58">
        <v>41.38382</v>
      </c>
      <c r="I59" s="72">
        <v>3992.9</v>
      </c>
      <c r="J59" s="58">
        <v>25.7</v>
      </c>
      <c r="K59" s="72">
        <v>2249.86</v>
      </c>
      <c r="L59" s="59">
        <f>J59/K59</f>
        <v>0.011422932982496688</v>
      </c>
      <c r="M59" s="247">
        <v>328.199</v>
      </c>
      <c r="N59" s="75">
        <f>L59*M59</f>
        <v>3.7489951819224308</v>
      </c>
      <c r="O59" s="75">
        <f>L59*60*1000</f>
        <v>685.3759789498013</v>
      </c>
      <c r="P59" s="73">
        <f>O59*M59/1000</f>
        <v>224.93971091534584</v>
      </c>
      <c r="R59" s="10"/>
      <c r="S59" s="10"/>
    </row>
    <row r="60" spans="1:19" s="9" customFormat="1" ht="12.75">
      <c r="A60" s="224"/>
      <c r="B60" s="46" t="s">
        <v>909</v>
      </c>
      <c r="C60" s="40">
        <v>40</v>
      </c>
      <c r="D60" s="40" t="s">
        <v>24</v>
      </c>
      <c r="E60" s="58">
        <f>SUM(F60+G60+H60)</f>
        <v>37.519</v>
      </c>
      <c r="F60" s="84">
        <v>5.161</v>
      </c>
      <c r="G60" s="84">
        <v>6.4</v>
      </c>
      <c r="H60" s="84">
        <v>25.958</v>
      </c>
      <c r="I60" s="34">
        <v>2270.57</v>
      </c>
      <c r="J60" s="84">
        <v>25.958</v>
      </c>
      <c r="K60" s="34">
        <v>2270.57</v>
      </c>
      <c r="L60" s="59">
        <f>J60/K60</f>
        <v>0.011432371607129486</v>
      </c>
      <c r="M60" s="30">
        <v>283.51</v>
      </c>
      <c r="N60" s="60">
        <f>L60*M60</f>
        <v>3.2411916743372804</v>
      </c>
      <c r="O60" s="60">
        <f>L60*60*1000</f>
        <v>685.9422964277692</v>
      </c>
      <c r="P60" s="61">
        <f>O60*M60/1000</f>
        <v>194.47150046023683</v>
      </c>
      <c r="Q60" s="11"/>
      <c r="R60" s="10"/>
      <c r="S60" s="10"/>
    </row>
    <row r="61" spans="1:19" s="9" customFormat="1" ht="12.75">
      <c r="A61" s="224"/>
      <c r="B61" s="253" t="s">
        <v>470</v>
      </c>
      <c r="C61" s="40">
        <v>8</v>
      </c>
      <c r="D61" s="40" t="s">
        <v>158</v>
      </c>
      <c r="E61" s="85">
        <f>+F61+G61+H61</f>
        <v>5.5796</v>
      </c>
      <c r="F61" s="85">
        <v>0</v>
      </c>
      <c r="G61" s="85">
        <v>0</v>
      </c>
      <c r="H61" s="85">
        <v>5.5796</v>
      </c>
      <c r="I61" s="81">
        <v>487.4</v>
      </c>
      <c r="J61" s="85">
        <v>5.5796</v>
      </c>
      <c r="K61" s="81">
        <v>487.4</v>
      </c>
      <c r="L61" s="76">
        <f>J61/K61</f>
        <v>0.011447681575707839</v>
      </c>
      <c r="M61" s="30">
        <v>283.618</v>
      </c>
      <c r="N61" s="75">
        <f>L61*M61</f>
        <v>3.2467685531391055</v>
      </c>
      <c r="O61" s="75">
        <f>L61*60*1000</f>
        <v>686.8608945424703</v>
      </c>
      <c r="P61" s="73">
        <f>O61*M61/1000</f>
        <v>194.80611318834636</v>
      </c>
      <c r="Q61" s="11"/>
      <c r="R61" s="10"/>
      <c r="S61" s="10"/>
    </row>
    <row r="62" spans="1:19" s="9" customFormat="1" ht="12.75">
      <c r="A62" s="224"/>
      <c r="B62" s="274" t="s">
        <v>534</v>
      </c>
      <c r="C62" s="275">
        <v>78</v>
      </c>
      <c r="D62" s="276" t="s">
        <v>24</v>
      </c>
      <c r="E62" s="277">
        <v>65.4</v>
      </c>
      <c r="F62" s="277">
        <v>7.18</v>
      </c>
      <c r="G62" s="278">
        <v>12.8</v>
      </c>
      <c r="H62" s="277">
        <v>45.42</v>
      </c>
      <c r="I62" s="279">
        <v>3899.32</v>
      </c>
      <c r="J62" s="277">
        <v>43.66</v>
      </c>
      <c r="K62" s="279">
        <v>3799.48</v>
      </c>
      <c r="L62" s="76">
        <f>J62/K62</f>
        <v>0.01149104614315643</v>
      </c>
      <c r="M62" s="30">
        <v>266.83</v>
      </c>
      <c r="N62" s="75">
        <f>L62*M62</f>
        <v>3.0661558423784303</v>
      </c>
      <c r="O62" s="75">
        <f>L62*60*1000</f>
        <v>689.4627685893859</v>
      </c>
      <c r="P62" s="73">
        <f>O62*M62/1000</f>
        <v>183.96935054270583</v>
      </c>
      <c r="R62" s="10"/>
      <c r="S62" s="10"/>
    </row>
    <row r="63" spans="1:19" s="9" customFormat="1" ht="12.75">
      <c r="A63" s="224"/>
      <c r="B63" s="46" t="s">
        <v>691</v>
      </c>
      <c r="C63" s="22">
        <v>20</v>
      </c>
      <c r="D63" s="22" t="s">
        <v>158</v>
      </c>
      <c r="E63" s="84">
        <f>F63+G63+H63</f>
        <v>18.413</v>
      </c>
      <c r="F63" s="84">
        <v>3.06</v>
      </c>
      <c r="G63" s="84">
        <v>3.2</v>
      </c>
      <c r="H63" s="84">
        <v>12.153</v>
      </c>
      <c r="I63" s="34">
        <v>1053.14</v>
      </c>
      <c r="J63" s="84">
        <v>12.153</v>
      </c>
      <c r="K63" s="34">
        <v>1053.14</v>
      </c>
      <c r="L63" s="47">
        <f>J63/K63</f>
        <v>0.01153977628805287</v>
      </c>
      <c r="M63" s="23">
        <v>210</v>
      </c>
      <c r="N63" s="23">
        <f>L63*M63</f>
        <v>2.4233530204911027</v>
      </c>
      <c r="O63" s="23">
        <f>L63*1000*60</f>
        <v>692.3865772831722</v>
      </c>
      <c r="P63" s="48">
        <f>N63*60</f>
        <v>145.40118122946615</v>
      </c>
      <c r="R63" s="10"/>
      <c r="S63" s="10"/>
    </row>
    <row r="64" spans="1:19" s="9" customFormat="1" ht="12.75">
      <c r="A64" s="224"/>
      <c r="B64" s="280" t="s">
        <v>250</v>
      </c>
      <c r="C64" s="40">
        <v>30</v>
      </c>
      <c r="D64" s="40">
        <v>1980</v>
      </c>
      <c r="E64" s="85">
        <v>25.266</v>
      </c>
      <c r="F64" s="85">
        <v>3.145</v>
      </c>
      <c r="G64" s="85">
        <v>4.8</v>
      </c>
      <c r="H64" s="85">
        <v>17.321</v>
      </c>
      <c r="I64" s="81">
        <v>1495.88</v>
      </c>
      <c r="J64" s="85">
        <v>17.321</v>
      </c>
      <c r="K64" s="81">
        <v>1495.88</v>
      </c>
      <c r="L64" s="76">
        <f>J64/K64</f>
        <v>0.011579137363959676</v>
      </c>
      <c r="M64" s="30">
        <v>300</v>
      </c>
      <c r="N64" s="75">
        <f>L64*M64</f>
        <v>3.473741209187903</v>
      </c>
      <c r="O64" s="75">
        <f>L64*60*1000</f>
        <v>694.7482418375805</v>
      </c>
      <c r="P64" s="73">
        <f>O64*M64/1000</f>
        <v>208.42447255127414</v>
      </c>
      <c r="R64" s="10"/>
      <c r="S64" s="10"/>
    </row>
    <row r="65" spans="1:19" s="9" customFormat="1" ht="12.75">
      <c r="A65" s="224"/>
      <c r="B65" s="46" t="s">
        <v>910</v>
      </c>
      <c r="C65" s="40">
        <v>20</v>
      </c>
      <c r="D65" s="40" t="s">
        <v>24</v>
      </c>
      <c r="E65" s="85">
        <f>SUM(F65+G65+H65)</f>
        <v>20.323999999999998</v>
      </c>
      <c r="F65" s="84">
        <v>2.02</v>
      </c>
      <c r="G65" s="84">
        <v>3.2</v>
      </c>
      <c r="H65" s="84">
        <v>15.104</v>
      </c>
      <c r="I65" s="34">
        <v>1299.65</v>
      </c>
      <c r="J65" s="84">
        <v>15.104</v>
      </c>
      <c r="K65" s="34">
        <v>1299.65</v>
      </c>
      <c r="L65" s="76">
        <f>J65/K65</f>
        <v>0.011621590428192205</v>
      </c>
      <c r="M65" s="30">
        <v>283.51</v>
      </c>
      <c r="N65" s="75">
        <f>L65*M65</f>
        <v>3.2948371022967717</v>
      </c>
      <c r="O65" s="75">
        <f>L65*60*1000</f>
        <v>697.2954256915323</v>
      </c>
      <c r="P65" s="73">
        <f>O65*M65/1000</f>
        <v>197.69022613780632</v>
      </c>
      <c r="R65" s="10"/>
      <c r="S65" s="10"/>
    </row>
    <row r="66" spans="1:19" s="9" customFormat="1" ht="12.75">
      <c r="A66" s="224"/>
      <c r="B66" s="253" t="s">
        <v>207</v>
      </c>
      <c r="C66" s="40">
        <v>46</v>
      </c>
      <c r="D66" s="40">
        <v>1993</v>
      </c>
      <c r="E66" s="85">
        <v>50.933982</v>
      </c>
      <c r="F66" s="85">
        <v>6.818598</v>
      </c>
      <c r="G66" s="85">
        <v>9.84</v>
      </c>
      <c r="H66" s="85">
        <v>34.275404</v>
      </c>
      <c r="I66" s="81">
        <v>2941.14</v>
      </c>
      <c r="J66" s="85">
        <v>30.723961</v>
      </c>
      <c r="K66" s="81">
        <v>2706.72</v>
      </c>
      <c r="L66" s="76">
        <v>0.011653781866895151</v>
      </c>
      <c r="M66" s="30">
        <v>302.37</v>
      </c>
      <c r="N66" s="75">
        <f>L66*M66</f>
        <v>3.523754023093087</v>
      </c>
      <c r="O66" s="75">
        <f>L66*60*1000</f>
        <v>699.2269120137091</v>
      </c>
      <c r="P66" s="73">
        <f>N66*60</f>
        <v>211.4252413855852</v>
      </c>
      <c r="R66" s="10"/>
      <c r="S66" s="10"/>
    </row>
    <row r="67" spans="1:19" s="9" customFormat="1" ht="12.75">
      <c r="A67" s="224"/>
      <c r="B67" s="253" t="s">
        <v>406</v>
      </c>
      <c r="C67" s="40">
        <v>55</v>
      </c>
      <c r="D67" s="40" t="s">
        <v>24</v>
      </c>
      <c r="E67" s="85">
        <v>41.9</v>
      </c>
      <c r="F67" s="85">
        <v>3.88</v>
      </c>
      <c r="G67" s="85">
        <v>8.4</v>
      </c>
      <c r="H67" s="85">
        <v>29.62</v>
      </c>
      <c r="I67" s="81">
        <v>2538</v>
      </c>
      <c r="J67" s="85">
        <v>29.62</v>
      </c>
      <c r="K67" s="81">
        <v>2538</v>
      </c>
      <c r="L67" s="76">
        <f>J67/K67</f>
        <v>0.011670606776989756</v>
      </c>
      <c r="M67" s="30">
        <v>235.3</v>
      </c>
      <c r="N67" s="75">
        <f>L67*M67</f>
        <v>2.7460937746256895</v>
      </c>
      <c r="O67" s="75">
        <f>L67*60*1000</f>
        <v>700.2364066193853</v>
      </c>
      <c r="P67" s="73">
        <f>O67*M67/1000</f>
        <v>164.76562647754136</v>
      </c>
      <c r="R67" s="10"/>
      <c r="S67" s="10"/>
    </row>
    <row r="68" spans="1:19" s="9" customFormat="1" ht="12.75" customHeight="1">
      <c r="A68" s="224"/>
      <c r="B68" s="253" t="s">
        <v>461</v>
      </c>
      <c r="C68" s="40">
        <v>51</v>
      </c>
      <c r="D68" s="40" t="s">
        <v>272</v>
      </c>
      <c r="E68" s="85">
        <v>42.2</v>
      </c>
      <c r="F68" s="85">
        <v>3.923</v>
      </c>
      <c r="G68" s="85">
        <v>7.84</v>
      </c>
      <c r="H68" s="85">
        <v>30.537</v>
      </c>
      <c r="I68" s="81">
        <v>2586.98</v>
      </c>
      <c r="J68" s="85">
        <v>30.5</v>
      </c>
      <c r="K68" s="81">
        <v>2587</v>
      </c>
      <c r="L68" s="76">
        <f>J68/K68</f>
        <v>0.011789717819868574</v>
      </c>
      <c r="M68" s="30">
        <v>220.9</v>
      </c>
      <c r="N68" s="75">
        <f>L68*M68</f>
        <v>2.604348666408968</v>
      </c>
      <c r="O68" s="75">
        <f>L68*60*1000</f>
        <v>707.3830691921145</v>
      </c>
      <c r="P68" s="73">
        <f>O68*M68/1000</f>
        <v>156.26091998453808</v>
      </c>
      <c r="Q68" s="11"/>
      <c r="R68" s="10"/>
      <c r="S68" s="10"/>
    </row>
    <row r="69" spans="1:19" s="9" customFormat="1" ht="12.75" customHeight="1">
      <c r="A69" s="224"/>
      <c r="B69" s="70" t="s">
        <v>98</v>
      </c>
      <c r="C69" s="71">
        <v>93</v>
      </c>
      <c r="D69" s="22">
        <v>1973</v>
      </c>
      <c r="E69" s="84">
        <f>+F69+G69+H69</f>
        <v>77.717026</v>
      </c>
      <c r="F69" s="86">
        <v>9.85028</v>
      </c>
      <c r="G69" s="86">
        <v>14.4</v>
      </c>
      <c r="H69" s="86">
        <v>53.466746</v>
      </c>
      <c r="I69" s="82">
        <v>4520.3</v>
      </c>
      <c r="J69" s="86">
        <v>53.466746</v>
      </c>
      <c r="K69" s="82">
        <v>4520.3</v>
      </c>
      <c r="L69" s="47">
        <f>+J69/K69</f>
        <v>0.011828141052585004</v>
      </c>
      <c r="M69" s="23">
        <v>340.189</v>
      </c>
      <c r="N69" s="23">
        <f>+L69*M69</f>
        <v>4.02380347653784</v>
      </c>
      <c r="O69" s="23">
        <f>+L69*60*1000</f>
        <v>709.6884631551003</v>
      </c>
      <c r="P69" s="48">
        <f>+N69*60</f>
        <v>241.4282085922704</v>
      </c>
      <c r="R69" s="10"/>
      <c r="S69" s="10"/>
    </row>
    <row r="70" spans="1:25" s="9" customFormat="1" ht="12.75" customHeight="1">
      <c r="A70" s="224"/>
      <c r="B70" s="46" t="s">
        <v>166</v>
      </c>
      <c r="C70" s="22">
        <v>55</v>
      </c>
      <c r="D70" s="22">
        <v>1966</v>
      </c>
      <c r="E70" s="84">
        <v>44</v>
      </c>
      <c r="F70" s="84">
        <v>4.7785</v>
      </c>
      <c r="G70" s="84">
        <v>8.8</v>
      </c>
      <c r="H70" s="84">
        <v>30.4215</v>
      </c>
      <c r="I70" s="34">
        <v>2564.02</v>
      </c>
      <c r="J70" s="84">
        <v>30.42</v>
      </c>
      <c r="K70" s="34">
        <v>2564.02</v>
      </c>
      <c r="L70" s="47">
        <f>J70/K70</f>
        <v>0.01186418202666126</v>
      </c>
      <c r="M70" s="23">
        <v>263.899</v>
      </c>
      <c r="N70" s="23">
        <f>L70*M70</f>
        <v>3.1309457726538796</v>
      </c>
      <c r="O70" s="23">
        <f>L70*1000*60</f>
        <v>711.8509215996755</v>
      </c>
      <c r="P70" s="48">
        <f>N70*60</f>
        <v>187.85674635923277</v>
      </c>
      <c r="Q70" s="17"/>
      <c r="R70" s="10"/>
      <c r="S70" s="10"/>
      <c r="T70" s="17"/>
      <c r="U70" s="17"/>
      <c r="V70" s="17"/>
      <c r="W70" s="17"/>
      <c r="X70" s="17"/>
      <c r="Y70" s="17"/>
    </row>
    <row r="71" spans="1:22" s="9" customFormat="1" ht="12.75" customHeight="1">
      <c r="A71" s="224"/>
      <c r="B71" s="253" t="s">
        <v>731</v>
      </c>
      <c r="C71" s="40">
        <v>45</v>
      </c>
      <c r="D71" s="40">
        <v>1974</v>
      </c>
      <c r="E71" s="85">
        <v>39.7</v>
      </c>
      <c r="F71" s="85">
        <v>5.438</v>
      </c>
      <c r="G71" s="85">
        <v>7.2</v>
      </c>
      <c r="H71" s="85">
        <v>27.06</v>
      </c>
      <c r="I71" s="81">
        <v>2276.56</v>
      </c>
      <c r="J71" s="85">
        <f>H71</f>
        <v>27.06</v>
      </c>
      <c r="K71" s="81">
        <f>I71</f>
        <v>2276.56</v>
      </c>
      <c r="L71" s="76">
        <f>J71/K71</f>
        <v>0.011886354851178971</v>
      </c>
      <c r="M71" s="30">
        <v>206.88</v>
      </c>
      <c r="N71" s="75">
        <f>L71*M71</f>
        <v>2.4590490916119054</v>
      </c>
      <c r="O71" s="75">
        <f>L71*60*1000</f>
        <v>713.1812910707382</v>
      </c>
      <c r="P71" s="73">
        <f>O71*M71/1000</f>
        <v>147.54294549671434</v>
      </c>
      <c r="Q71" s="10"/>
      <c r="R71" s="10"/>
      <c r="S71" s="10"/>
      <c r="T71" s="12"/>
      <c r="U71" s="13"/>
      <c r="V71" s="13"/>
    </row>
    <row r="72" spans="1:19" s="9" customFormat="1" ht="12.75" customHeight="1">
      <c r="A72" s="224"/>
      <c r="B72" s="253" t="s">
        <v>883</v>
      </c>
      <c r="C72" s="40">
        <v>45</v>
      </c>
      <c r="D72" s="40" t="s">
        <v>158</v>
      </c>
      <c r="E72" s="85"/>
      <c r="F72" s="85">
        <v>3.41649</v>
      </c>
      <c r="G72" s="85">
        <v>6.8</v>
      </c>
      <c r="H72" s="85">
        <v>27.385298</v>
      </c>
      <c r="I72" s="81">
        <v>2290.41</v>
      </c>
      <c r="J72" s="85">
        <v>27.385298</v>
      </c>
      <c r="K72" s="81">
        <v>2290.41</v>
      </c>
      <c r="L72" s="76">
        <f>J72/K72</f>
        <v>0.011956504730594087</v>
      </c>
      <c r="M72" s="30">
        <v>283.618</v>
      </c>
      <c r="N72" s="75">
        <f>L72*M72</f>
        <v>3.3910799586816336</v>
      </c>
      <c r="O72" s="75">
        <f>L72*60*1000</f>
        <v>717.3902838356452</v>
      </c>
      <c r="P72" s="73">
        <f>O72*M72/1000</f>
        <v>203.46479752089803</v>
      </c>
      <c r="R72" s="10"/>
      <c r="S72" s="10"/>
    </row>
    <row r="73" spans="1:25" s="9" customFormat="1" ht="12.75" customHeight="1">
      <c r="A73" s="224"/>
      <c r="B73" s="253" t="s">
        <v>807</v>
      </c>
      <c r="C73" s="40">
        <v>75</v>
      </c>
      <c r="D73" s="40" t="s">
        <v>24</v>
      </c>
      <c r="E73" s="85">
        <f>F73+G73+H73</f>
        <v>61.076</v>
      </c>
      <c r="F73" s="85">
        <v>8.178</v>
      </c>
      <c r="G73" s="85">
        <v>11.84</v>
      </c>
      <c r="H73" s="85">
        <v>41.058</v>
      </c>
      <c r="I73" s="81">
        <v>3389.63</v>
      </c>
      <c r="J73" s="85">
        <v>41.058</v>
      </c>
      <c r="K73" s="81">
        <v>3389.63</v>
      </c>
      <c r="L73" s="76">
        <f>J73/K73</f>
        <v>0.012112826473685919</v>
      </c>
      <c r="M73" s="30">
        <v>350.76</v>
      </c>
      <c r="N73" s="75">
        <f>L73*M73</f>
        <v>4.248695013910073</v>
      </c>
      <c r="O73" s="75">
        <f>L73*60*1000</f>
        <v>726.7695884211552</v>
      </c>
      <c r="P73" s="73">
        <f>O73*M73/1000</f>
        <v>254.9217008346044</v>
      </c>
      <c r="Q73" s="17"/>
      <c r="R73" s="10"/>
      <c r="S73" s="10"/>
      <c r="T73" s="17"/>
      <c r="U73" s="17"/>
      <c r="V73" s="17"/>
      <c r="W73" s="17"/>
      <c r="X73" s="17"/>
      <c r="Y73" s="17"/>
    </row>
    <row r="74" spans="1:16" s="9" customFormat="1" ht="12.75" customHeight="1">
      <c r="A74" s="224"/>
      <c r="B74" s="253" t="s">
        <v>471</v>
      </c>
      <c r="C74" s="40">
        <v>25</v>
      </c>
      <c r="D74" s="40" t="s">
        <v>158</v>
      </c>
      <c r="E74" s="85">
        <f>+F74+G74+H74</f>
        <v>4.829161</v>
      </c>
      <c r="F74" s="85">
        <v>1.66005</v>
      </c>
      <c r="G74" s="85">
        <v>1.86</v>
      </c>
      <c r="H74" s="85">
        <v>1.309111</v>
      </c>
      <c r="I74" s="81">
        <v>1312.39</v>
      </c>
      <c r="J74" s="85">
        <v>15.94911</v>
      </c>
      <c r="K74" s="81">
        <v>1312.39</v>
      </c>
      <c r="L74" s="76">
        <f>J74/K74</f>
        <v>0.012152721370933943</v>
      </c>
      <c r="M74" s="30">
        <v>283.618</v>
      </c>
      <c r="N74" s="75">
        <f>L74*M74</f>
        <v>3.446730529781543</v>
      </c>
      <c r="O74" s="75">
        <f>L74*60*1000</f>
        <v>729.1632822560365</v>
      </c>
      <c r="P74" s="73">
        <f>O74*M74/1000</f>
        <v>206.80383178689254</v>
      </c>
    </row>
    <row r="75" spans="1:16" s="9" customFormat="1" ht="12.75" customHeight="1">
      <c r="A75" s="224"/>
      <c r="B75" s="253" t="s">
        <v>493</v>
      </c>
      <c r="C75" s="40">
        <v>60</v>
      </c>
      <c r="D75" s="40">
        <v>1980</v>
      </c>
      <c r="E75" s="85">
        <v>50.96517</v>
      </c>
      <c r="F75" s="85">
        <v>6.578</v>
      </c>
      <c r="G75" s="85">
        <v>6</v>
      </c>
      <c r="H75" s="85">
        <f>E75-F75-G75</f>
        <v>38.38717</v>
      </c>
      <c r="I75" s="81">
        <v>3156.44</v>
      </c>
      <c r="J75" s="85">
        <f>H75</f>
        <v>38.38717</v>
      </c>
      <c r="K75" s="81">
        <f>I75</f>
        <v>3156.44</v>
      </c>
      <c r="L75" s="76">
        <f>J75/K75</f>
        <v>0.012161539582567701</v>
      </c>
      <c r="M75" s="30">
        <v>279.476</v>
      </c>
      <c r="N75" s="75">
        <f>L75*M75</f>
        <v>3.398858436377691</v>
      </c>
      <c r="O75" s="75">
        <f>L75*60*1000</f>
        <v>729.6923749540621</v>
      </c>
      <c r="P75" s="73">
        <f>O75*M75/1000</f>
        <v>203.93150618266145</v>
      </c>
    </row>
    <row r="76" spans="1:19" s="9" customFormat="1" ht="12.75" customHeight="1">
      <c r="A76" s="224"/>
      <c r="B76" s="46" t="s">
        <v>165</v>
      </c>
      <c r="C76" s="22">
        <v>24</v>
      </c>
      <c r="D76" s="22">
        <v>1991</v>
      </c>
      <c r="E76" s="84">
        <v>19.76</v>
      </c>
      <c r="F76" s="84">
        <v>1.746</v>
      </c>
      <c r="G76" s="84">
        <v>3.84</v>
      </c>
      <c r="H76" s="84">
        <v>14.173</v>
      </c>
      <c r="I76" s="34">
        <v>1163.97</v>
      </c>
      <c r="J76" s="84">
        <v>14.17</v>
      </c>
      <c r="K76" s="34">
        <v>1163.97</v>
      </c>
      <c r="L76" s="244">
        <f>J76/K76</f>
        <v>0.012173853278005447</v>
      </c>
      <c r="M76" s="242">
        <v>263.899</v>
      </c>
      <c r="N76" s="242">
        <f>L76*M76</f>
        <v>3.2126677062123594</v>
      </c>
      <c r="O76" s="242">
        <f>L76*1000*60</f>
        <v>730.4311966803268</v>
      </c>
      <c r="P76" s="48">
        <f>N76*60</f>
        <v>192.76006237274157</v>
      </c>
      <c r="R76" s="10"/>
      <c r="S76" s="10"/>
    </row>
    <row r="77" spans="1:19" s="9" customFormat="1" ht="12.75" customHeight="1">
      <c r="A77" s="224"/>
      <c r="B77" s="175" t="s">
        <v>190</v>
      </c>
      <c r="C77" s="40">
        <v>25</v>
      </c>
      <c r="D77" s="40">
        <v>1969</v>
      </c>
      <c r="E77" s="58">
        <v>21.769</v>
      </c>
      <c r="F77" s="58">
        <v>1.836</v>
      </c>
      <c r="G77" s="58">
        <v>3.84</v>
      </c>
      <c r="H77" s="58">
        <v>16.093</v>
      </c>
      <c r="I77" s="72">
        <v>1321.91</v>
      </c>
      <c r="J77" s="58">
        <v>16.093</v>
      </c>
      <c r="K77" s="72">
        <v>1321.91</v>
      </c>
      <c r="L77" s="59">
        <f>J77/K77</f>
        <v>0.012174051183514762</v>
      </c>
      <c r="M77" s="247">
        <v>300</v>
      </c>
      <c r="N77" s="60">
        <f>L77*M77</f>
        <v>3.6522153550544285</v>
      </c>
      <c r="O77" s="60">
        <f>L77*60*1000</f>
        <v>730.4430710108858</v>
      </c>
      <c r="P77" s="61">
        <f>O77*M77/1000</f>
        <v>219.13292130326573</v>
      </c>
      <c r="R77" s="10"/>
      <c r="S77" s="10"/>
    </row>
    <row r="78" spans="1:25" s="9" customFormat="1" ht="12.75" customHeight="1">
      <c r="A78" s="224"/>
      <c r="B78" s="253" t="s">
        <v>472</v>
      </c>
      <c r="C78" s="40">
        <v>40</v>
      </c>
      <c r="D78" s="40" t="s">
        <v>158</v>
      </c>
      <c r="E78" s="85"/>
      <c r="F78" s="85">
        <v>2.5704</v>
      </c>
      <c r="G78" s="85">
        <v>6.08</v>
      </c>
      <c r="H78" s="85">
        <v>27.561114</v>
      </c>
      <c r="I78" s="81">
        <v>2260.27</v>
      </c>
      <c r="J78" s="85">
        <v>27.561114</v>
      </c>
      <c r="K78" s="81">
        <v>2260.27</v>
      </c>
      <c r="L78" s="76">
        <f>J78/K78</f>
        <v>0.01219372641321612</v>
      </c>
      <c r="M78" s="30">
        <v>283.618</v>
      </c>
      <c r="N78" s="75">
        <f>L78*M78</f>
        <v>3.4583602978635293</v>
      </c>
      <c r="O78" s="75">
        <f>L78*60*1000</f>
        <v>731.6235847929672</v>
      </c>
      <c r="P78" s="73">
        <f>O78*M78/1000</f>
        <v>207.5016178718118</v>
      </c>
      <c r="Q78" s="17"/>
      <c r="R78" s="10"/>
      <c r="S78" s="10"/>
      <c r="T78" s="17"/>
      <c r="U78" s="17"/>
      <c r="V78" s="17"/>
      <c r="W78" s="17"/>
      <c r="X78" s="17"/>
      <c r="Y78" s="17"/>
    </row>
    <row r="79" spans="1:19" s="9" customFormat="1" ht="12.75" customHeight="1">
      <c r="A79" s="224"/>
      <c r="B79" s="253" t="s">
        <v>887</v>
      </c>
      <c r="C79" s="40">
        <v>50</v>
      </c>
      <c r="D79" s="40" t="s">
        <v>158</v>
      </c>
      <c r="E79" s="85">
        <f>+F79+G79+H79</f>
        <v>42.699546</v>
      </c>
      <c r="F79" s="85">
        <v>4.534563</v>
      </c>
      <c r="G79" s="85">
        <v>6.37</v>
      </c>
      <c r="H79" s="85">
        <v>31.794983</v>
      </c>
      <c r="I79" s="81">
        <v>2602.6</v>
      </c>
      <c r="J79" s="85">
        <v>31.7944983</v>
      </c>
      <c r="K79" s="81">
        <v>2602.6</v>
      </c>
      <c r="L79" s="76">
        <f>J79/K79</f>
        <v>0.01221643675555214</v>
      </c>
      <c r="M79" s="30">
        <v>283.618</v>
      </c>
      <c r="N79" s="75">
        <f>L79*M79</f>
        <v>3.464801359736187</v>
      </c>
      <c r="O79" s="75">
        <f>L79*60*1000</f>
        <v>732.9862053331284</v>
      </c>
      <c r="P79" s="73">
        <f>O79*M79/1000</f>
        <v>207.8880815841712</v>
      </c>
      <c r="R79" s="10"/>
      <c r="S79" s="10"/>
    </row>
    <row r="80" spans="1:19" s="9" customFormat="1" ht="12.75" customHeight="1">
      <c r="A80" s="224"/>
      <c r="B80" s="253" t="s">
        <v>884</v>
      </c>
      <c r="C80" s="40">
        <v>45</v>
      </c>
      <c r="D80" s="40" t="s">
        <v>158</v>
      </c>
      <c r="E80" s="85"/>
      <c r="F80" s="85">
        <v>3.34917</v>
      </c>
      <c r="G80" s="85">
        <v>6.48</v>
      </c>
      <c r="H80" s="85">
        <v>28.405509</v>
      </c>
      <c r="I80" s="81">
        <v>2324.7</v>
      </c>
      <c r="J80" s="85">
        <v>28.405509</v>
      </c>
      <c r="K80" s="81">
        <v>2324.7</v>
      </c>
      <c r="L80" s="76">
        <f>J80/K80</f>
        <v>0.01221899987095109</v>
      </c>
      <c r="M80" s="30">
        <v>283.618</v>
      </c>
      <c r="N80" s="75">
        <f>L80*M80</f>
        <v>3.465528305399406</v>
      </c>
      <c r="O80" s="75">
        <f>L80*60*1000</f>
        <v>733.1399922570654</v>
      </c>
      <c r="P80" s="73">
        <f>O80*M80/1000</f>
        <v>207.93169832396438</v>
      </c>
      <c r="R80" s="10"/>
      <c r="S80" s="10"/>
    </row>
    <row r="81" spans="1:19" s="9" customFormat="1" ht="12.75" customHeight="1">
      <c r="A81" s="224"/>
      <c r="B81" s="253" t="s">
        <v>208</v>
      </c>
      <c r="C81" s="40">
        <v>55</v>
      </c>
      <c r="D81" s="40">
        <v>1990</v>
      </c>
      <c r="E81" s="85">
        <v>63.280003</v>
      </c>
      <c r="F81" s="85">
        <v>7.2165</v>
      </c>
      <c r="G81" s="85">
        <v>12.56</v>
      </c>
      <c r="H81" s="85">
        <v>43.503503</v>
      </c>
      <c r="I81" s="81">
        <v>3527.73</v>
      </c>
      <c r="J81" s="85">
        <v>43.503503</v>
      </c>
      <c r="K81" s="81">
        <v>3527.73</v>
      </c>
      <c r="L81" s="76">
        <v>0.012331868652079383</v>
      </c>
      <c r="M81" s="30">
        <v>302.37</v>
      </c>
      <c r="N81" s="75">
        <f>L81*M81</f>
        <v>3.728787124329243</v>
      </c>
      <c r="O81" s="75">
        <f>L81*60*1000</f>
        <v>739.912119124763</v>
      </c>
      <c r="P81" s="73">
        <f>N81*60</f>
        <v>223.72722745975457</v>
      </c>
      <c r="R81" s="10"/>
      <c r="S81" s="10"/>
    </row>
    <row r="82" spans="1:19" s="9" customFormat="1" ht="12.75" customHeight="1">
      <c r="A82" s="224"/>
      <c r="B82" s="175" t="s">
        <v>251</v>
      </c>
      <c r="C82" s="245">
        <v>54</v>
      </c>
      <c r="D82" s="245">
        <v>1981</v>
      </c>
      <c r="E82" s="58">
        <v>50</v>
      </c>
      <c r="F82" s="58">
        <v>4.675</v>
      </c>
      <c r="G82" s="58">
        <v>8.64</v>
      </c>
      <c r="H82" s="58">
        <v>36.685</v>
      </c>
      <c r="I82" s="72">
        <v>2960.66</v>
      </c>
      <c r="J82" s="58">
        <v>35.898</v>
      </c>
      <c r="K82" s="72">
        <v>2897.11</v>
      </c>
      <c r="L82" s="59">
        <f>J82/K82</f>
        <v>0.012390968931107207</v>
      </c>
      <c r="M82" s="247">
        <v>300</v>
      </c>
      <c r="N82" s="60">
        <f>L82*M82</f>
        <v>3.7172906793321623</v>
      </c>
      <c r="O82" s="60">
        <f>L82*60*1000</f>
        <v>743.4581358664325</v>
      </c>
      <c r="P82" s="61">
        <f>O82*M82/1000</f>
        <v>223.03744075992975</v>
      </c>
      <c r="R82" s="10"/>
      <c r="S82" s="10"/>
    </row>
    <row r="83" spans="1:19" s="9" customFormat="1" ht="12.75" customHeight="1">
      <c r="A83" s="224"/>
      <c r="B83" s="143" t="s">
        <v>78</v>
      </c>
      <c r="C83" s="144">
        <v>60</v>
      </c>
      <c r="D83" s="144">
        <v>1965</v>
      </c>
      <c r="E83" s="145">
        <v>51.293</v>
      </c>
      <c r="F83" s="145">
        <v>8.143241</v>
      </c>
      <c r="G83" s="145">
        <v>9.6</v>
      </c>
      <c r="H83" s="145">
        <v>33.549759</v>
      </c>
      <c r="I83" s="146">
        <v>2700.04</v>
      </c>
      <c r="J83" s="145">
        <v>33.549765</v>
      </c>
      <c r="K83" s="146">
        <v>2700.04</v>
      </c>
      <c r="L83" s="147">
        <f>J83/K83</f>
        <v>0.012425654805114</v>
      </c>
      <c r="M83" s="144">
        <v>296.48</v>
      </c>
      <c r="N83" s="148">
        <f>L83*M83</f>
        <v>3.6839581366201988</v>
      </c>
      <c r="O83" s="148">
        <f>L83*60*1000</f>
        <v>745.5392883068399</v>
      </c>
      <c r="P83" s="149">
        <f>O83*M83/1000</f>
        <v>221.0374881972119</v>
      </c>
      <c r="R83" s="10"/>
      <c r="S83" s="10"/>
    </row>
    <row r="84" spans="1:19" s="9" customFormat="1" ht="12.75" customHeight="1">
      <c r="A84" s="224"/>
      <c r="B84" s="70" t="s">
        <v>97</v>
      </c>
      <c r="C84" s="71">
        <v>10</v>
      </c>
      <c r="D84" s="22">
        <v>2008</v>
      </c>
      <c r="E84" s="84">
        <f>+F84+G84+H84</f>
        <v>8.247</v>
      </c>
      <c r="F84" s="86">
        <v>1.2750000000000001</v>
      </c>
      <c r="G84" s="86">
        <v>0</v>
      </c>
      <c r="H84" s="86">
        <v>6.972</v>
      </c>
      <c r="I84" s="82">
        <v>1122.7</v>
      </c>
      <c r="J84" s="86">
        <v>6.972</v>
      </c>
      <c r="K84" s="82">
        <v>552.87</v>
      </c>
      <c r="L84" s="47">
        <f>+J84/K84</f>
        <v>0.012610559444354007</v>
      </c>
      <c r="M84" s="23">
        <v>340.189</v>
      </c>
      <c r="N84" s="23">
        <f>+L84*M84</f>
        <v>4.289973606815345</v>
      </c>
      <c r="O84" s="23">
        <f>+L84*60*1000</f>
        <v>756.6335666612404</v>
      </c>
      <c r="P84" s="48">
        <f>+N84*60</f>
        <v>257.3984164089207</v>
      </c>
      <c r="R84" s="10"/>
      <c r="S84" s="10"/>
    </row>
    <row r="85" spans="1:16" s="9" customFormat="1" ht="13.5" customHeight="1">
      <c r="A85" s="224"/>
      <c r="B85" s="46" t="s">
        <v>87</v>
      </c>
      <c r="C85" s="22">
        <v>100</v>
      </c>
      <c r="D85" s="22">
        <v>1972</v>
      </c>
      <c r="E85" s="84">
        <v>84.15</v>
      </c>
      <c r="F85" s="84">
        <v>12.83</v>
      </c>
      <c r="G85" s="84">
        <v>16.59</v>
      </c>
      <c r="H85" s="84">
        <v>55.906</v>
      </c>
      <c r="I85" s="34">
        <v>4426.6</v>
      </c>
      <c r="J85" s="84">
        <f>H85/I85*K85</f>
        <v>55.91105182306962</v>
      </c>
      <c r="K85" s="22">
        <v>4427</v>
      </c>
      <c r="L85" s="47">
        <f>J85/K85</f>
        <v>0.012629557674061355</v>
      </c>
      <c r="M85" s="23">
        <v>323.29400000000004</v>
      </c>
      <c r="N85" s="23">
        <f>L85*M85</f>
        <v>4.083060218677992</v>
      </c>
      <c r="O85" s="23">
        <f>L85*60*1000</f>
        <v>757.7734604436813</v>
      </c>
      <c r="P85" s="48">
        <f>O85*M85/1000</f>
        <v>244.98361312067954</v>
      </c>
    </row>
    <row r="86" spans="1:19" s="9" customFormat="1" ht="12.75" customHeight="1">
      <c r="A86" s="224"/>
      <c r="B86" s="253" t="s">
        <v>614</v>
      </c>
      <c r="C86" s="40">
        <v>56</v>
      </c>
      <c r="D86" s="40">
        <v>1974</v>
      </c>
      <c r="E86" s="85">
        <v>58.972002</v>
      </c>
      <c r="F86" s="85">
        <v>4.93884</v>
      </c>
      <c r="G86" s="85">
        <v>8.8</v>
      </c>
      <c r="H86" s="85">
        <v>45.233162</v>
      </c>
      <c r="I86" s="81">
        <v>3394.62</v>
      </c>
      <c r="J86" s="85">
        <v>34.63507</v>
      </c>
      <c r="K86" s="81">
        <v>2739.68</v>
      </c>
      <c r="L86" s="76">
        <f>J86/K86</f>
        <v>0.012642012935817322</v>
      </c>
      <c r="M86" s="30">
        <v>254</v>
      </c>
      <c r="N86" s="75">
        <f>L86*M86</f>
        <v>3.2110712856976</v>
      </c>
      <c r="O86" s="75">
        <f>L86*60*1000</f>
        <v>758.5207761490393</v>
      </c>
      <c r="P86" s="73">
        <f>O86*M86/1000</f>
        <v>192.66427714185596</v>
      </c>
      <c r="R86" s="10"/>
      <c r="S86" s="10"/>
    </row>
    <row r="87" spans="1:19" s="9" customFormat="1" ht="12.75" customHeight="1">
      <c r="A87" s="224"/>
      <c r="B87" s="253" t="s">
        <v>615</v>
      </c>
      <c r="C87" s="40">
        <v>52</v>
      </c>
      <c r="D87" s="40">
        <v>1973</v>
      </c>
      <c r="E87" s="85">
        <v>48.883974</v>
      </c>
      <c r="F87" s="85">
        <v>3.298068</v>
      </c>
      <c r="G87" s="85">
        <v>8.01</v>
      </c>
      <c r="H87" s="85">
        <v>37.575906</v>
      </c>
      <c r="I87" s="81">
        <v>2745.79</v>
      </c>
      <c r="J87" s="85">
        <v>33.23593</v>
      </c>
      <c r="K87" s="81">
        <v>2628.69</v>
      </c>
      <c r="L87" s="76">
        <f>J87/K87</f>
        <v>0.012643533471044514</v>
      </c>
      <c r="M87" s="30">
        <v>254</v>
      </c>
      <c r="N87" s="75">
        <f>L87*M87</f>
        <v>3.211457501645307</v>
      </c>
      <c r="O87" s="75">
        <f>L87*60*1000</f>
        <v>758.6120082626709</v>
      </c>
      <c r="P87" s="73">
        <f>O87*M87/1000</f>
        <v>192.6874500987184</v>
      </c>
      <c r="R87" s="10"/>
      <c r="S87" s="10"/>
    </row>
    <row r="88" spans="1:19" s="9" customFormat="1" ht="12.75" customHeight="1">
      <c r="A88" s="224"/>
      <c r="B88" s="253" t="s">
        <v>209</v>
      </c>
      <c r="C88" s="40">
        <v>55</v>
      </c>
      <c r="D88" s="40">
        <v>1993</v>
      </c>
      <c r="E88" s="85">
        <v>61.694003</v>
      </c>
      <c r="F88" s="85">
        <v>8.466</v>
      </c>
      <c r="G88" s="85">
        <v>8.64</v>
      </c>
      <c r="H88" s="85">
        <v>44.588003</v>
      </c>
      <c r="I88" s="81">
        <v>3524.86</v>
      </c>
      <c r="J88" s="85">
        <v>44.588003</v>
      </c>
      <c r="K88" s="81">
        <v>3524.86</v>
      </c>
      <c r="L88" s="76">
        <v>0.012649581259964935</v>
      </c>
      <c r="M88" s="30">
        <v>302.37</v>
      </c>
      <c r="N88" s="75">
        <f>L88*M88</f>
        <v>3.8248538855755974</v>
      </c>
      <c r="O88" s="75">
        <f>L88*60*1000</f>
        <v>758.9748755978961</v>
      </c>
      <c r="P88" s="73">
        <f>N88*60</f>
        <v>229.49123313453583</v>
      </c>
      <c r="R88" s="10"/>
      <c r="S88" s="10"/>
    </row>
    <row r="89" spans="1:19" s="9" customFormat="1" ht="12.75">
      <c r="A89" s="224"/>
      <c r="B89" s="70" t="s">
        <v>199</v>
      </c>
      <c r="C89" s="71">
        <v>10</v>
      </c>
      <c r="D89" s="22">
        <v>1999</v>
      </c>
      <c r="E89" s="84">
        <f>+F89+G89+H89</f>
        <v>16.088900000000002</v>
      </c>
      <c r="F89" s="86">
        <v>0</v>
      </c>
      <c r="G89" s="86">
        <v>0</v>
      </c>
      <c r="H89" s="86">
        <v>16.088900000000002</v>
      </c>
      <c r="I89" s="82">
        <v>1261.9</v>
      </c>
      <c r="J89" s="86">
        <v>16.088900000000002</v>
      </c>
      <c r="K89" s="82">
        <v>1261.9</v>
      </c>
      <c r="L89" s="47">
        <f>+J89/K89</f>
        <v>0.012749742451858309</v>
      </c>
      <c r="M89" s="23">
        <v>335.284</v>
      </c>
      <c r="N89" s="23">
        <f>+L89*M89</f>
        <v>4.274784648228861</v>
      </c>
      <c r="O89" s="23">
        <f>+L89*60*1000</f>
        <v>764.9845471114985</v>
      </c>
      <c r="P89" s="48">
        <f>+N89*60</f>
        <v>256.4870788937317</v>
      </c>
      <c r="Q89" s="11"/>
      <c r="R89" s="10"/>
      <c r="S89" s="10"/>
    </row>
    <row r="90" spans="1:19" s="9" customFormat="1" ht="12.75" customHeight="1">
      <c r="A90" s="224"/>
      <c r="B90" s="46" t="s">
        <v>55</v>
      </c>
      <c r="C90" s="22">
        <v>38</v>
      </c>
      <c r="D90" s="22">
        <v>2004</v>
      </c>
      <c r="E90" s="84">
        <v>36.6</v>
      </c>
      <c r="F90" s="84">
        <v>4.9</v>
      </c>
      <c r="G90" s="84">
        <v>1.45</v>
      </c>
      <c r="H90" s="84">
        <f>E90-F90-G90</f>
        <v>30.250000000000004</v>
      </c>
      <c r="I90" s="34">
        <v>2372</v>
      </c>
      <c r="J90" s="84">
        <f>H90/I90*K90</f>
        <v>29.969435075885333</v>
      </c>
      <c r="K90" s="22">
        <v>2350</v>
      </c>
      <c r="L90" s="47">
        <f>J90/K90</f>
        <v>0.012752951096121418</v>
      </c>
      <c r="M90" s="23">
        <v>323.29400000000004</v>
      </c>
      <c r="N90" s="23">
        <f>L90*M90</f>
        <v>4.122952571669479</v>
      </c>
      <c r="O90" s="23">
        <f>L90*60*1000</f>
        <v>765.1770657672851</v>
      </c>
      <c r="P90" s="48">
        <f>O90*M90/1000</f>
        <v>247.37715430016868</v>
      </c>
      <c r="R90" s="10"/>
      <c r="S90" s="10"/>
    </row>
    <row r="91" spans="1:19" s="9" customFormat="1" ht="12.75">
      <c r="A91" s="224"/>
      <c r="B91" s="281" t="s">
        <v>535</v>
      </c>
      <c r="C91" s="275">
        <v>103</v>
      </c>
      <c r="D91" s="276" t="s">
        <v>24</v>
      </c>
      <c r="E91" s="277">
        <v>81.12</v>
      </c>
      <c r="F91" s="277">
        <v>8.46</v>
      </c>
      <c r="G91" s="278">
        <v>16</v>
      </c>
      <c r="H91" s="277">
        <v>56.66</v>
      </c>
      <c r="I91" s="279">
        <v>4437.08</v>
      </c>
      <c r="J91" s="277">
        <v>56.66</v>
      </c>
      <c r="K91" s="279">
        <v>4437.08</v>
      </c>
      <c r="L91" s="76">
        <f>J91/K91</f>
        <v>0.012769659325502357</v>
      </c>
      <c r="M91" s="30">
        <v>266.83</v>
      </c>
      <c r="N91" s="75">
        <f>L91*M91</f>
        <v>3.4073281978237935</v>
      </c>
      <c r="O91" s="75">
        <f>L91*60*1000</f>
        <v>766.1795595301414</v>
      </c>
      <c r="P91" s="73">
        <f>O91*M91/1000</f>
        <v>204.43969186942763</v>
      </c>
      <c r="R91" s="10"/>
      <c r="S91" s="10"/>
    </row>
    <row r="92" spans="1:19" s="9" customFormat="1" ht="12.75">
      <c r="A92" s="224"/>
      <c r="B92" s="253" t="s">
        <v>616</v>
      </c>
      <c r="C92" s="40">
        <v>34</v>
      </c>
      <c r="D92" s="40">
        <v>1973</v>
      </c>
      <c r="E92" s="85">
        <v>30.900986</v>
      </c>
      <c r="F92" s="85">
        <v>3.1263</v>
      </c>
      <c r="G92" s="85">
        <v>5.14</v>
      </c>
      <c r="H92" s="85">
        <v>22.634686</v>
      </c>
      <c r="I92" s="81">
        <v>1759.84</v>
      </c>
      <c r="J92" s="85">
        <v>22.6347</v>
      </c>
      <c r="K92" s="81">
        <v>1759.84</v>
      </c>
      <c r="L92" s="76">
        <f>J92/K92</f>
        <v>0.012861794254023094</v>
      </c>
      <c r="M92" s="30">
        <v>254</v>
      </c>
      <c r="N92" s="75">
        <f>L92*M92</f>
        <v>3.266895740521866</v>
      </c>
      <c r="O92" s="75">
        <f>L92*60*1000</f>
        <v>771.7076552413856</v>
      </c>
      <c r="P92" s="73">
        <f>O92*M92/1000</f>
        <v>196.01374443131192</v>
      </c>
      <c r="R92" s="10"/>
      <c r="S92" s="10"/>
    </row>
    <row r="93" spans="1:19" s="9" customFormat="1" ht="12.75">
      <c r="A93" s="224"/>
      <c r="B93" s="280" t="s">
        <v>569</v>
      </c>
      <c r="C93" s="40">
        <v>45</v>
      </c>
      <c r="D93" s="40">
        <v>1979</v>
      </c>
      <c r="E93" s="85">
        <v>41.875</v>
      </c>
      <c r="F93" s="85">
        <v>4.42</v>
      </c>
      <c r="G93" s="85">
        <v>7.2</v>
      </c>
      <c r="H93" s="85">
        <v>30.255</v>
      </c>
      <c r="I93" s="81">
        <v>2321.42</v>
      </c>
      <c r="J93" s="85">
        <v>30.255</v>
      </c>
      <c r="K93" s="81">
        <v>2321.42</v>
      </c>
      <c r="L93" s="76">
        <f>J93/K93</f>
        <v>0.013032971198662887</v>
      </c>
      <c r="M93" s="30">
        <v>300</v>
      </c>
      <c r="N93" s="75">
        <f>L93*M93</f>
        <v>3.9098913595988662</v>
      </c>
      <c r="O93" s="75">
        <f>L93*60*1000</f>
        <v>781.9782719197732</v>
      </c>
      <c r="P93" s="73">
        <f>O93*M93/1000</f>
        <v>234.59348157593195</v>
      </c>
      <c r="R93" s="10"/>
      <c r="S93" s="10"/>
    </row>
    <row r="94" spans="1:16" s="9" customFormat="1" ht="12.75" customHeight="1">
      <c r="A94" s="224"/>
      <c r="B94" s="46" t="s">
        <v>763</v>
      </c>
      <c r="C94" s="22">
        <v>20</v>
      </c>
      <c r="D94" s="22" t="s">
        <v>24</v>
      </c>
      <c r="E94" s="85">
        <f>F94+G94+H94</f>
        <v>19.1</v>
      </c>
      <c r="F94" s="85">
        <v>2.2</v>
      </c>
      <c r="G94" s="85">
        <v>3.1</v>
      </c>
      <c r="H94" s="85">
        <v>13.8</v>
      </c>
      <c r="I94" s="34">
        <v>1055.4</v>
      </c>
      <c r="J94" s="85">
        <v>13.8</v>
      </c>
      <c r="K94" s="34">
        <v>1055.4</v>
      </c>
      <c r="L94" s="76">
        <f>J94/K94</f>
        <v>0.013075611142694713</v>
      </c>
      <c r="M94" s="30">
        <v>204.4</v>
      </c>
      <c r="N94" s="75">
        <f>L94*M94</f>
        <v>2.6726549175667995</v>
      </c>
      <c r="O94" s="75">
        <f>L94*60*1000</f>
        <v>784.5366685616829</v>
      </c>
      <c r="P94" s="73">
        <f>O94*M94/1000</f>
        <v>160.359295054008</v>
      </c>
    </row>
    <row r="95" spans="1:19" s="9" customFormat="1" ht="12.75" customHeight="1">
      <c r="A95" s="224"/>
      <c r="B95" s="70" t="s">
        <v>99</v>
      </c>
      <c r="C95" s="71">
        <v>20</v>
      </c>
      <c r="D95" s="22">
        <v>1976</v>
      </c>
      <c r="E95" s="84">
        <f>+F95+G95+H95</f>
        <v>29.21</v>
      </c>
      <c r="F95" s="86">
        <v>3.5700000000000003</v>
      </c>
      <c r="G95" s="86">
        <v>3.04</v>
      </c>
      <c r="H95" s="86">
        <v>22.6</v>
      </c>
      <c r="I95" s="82">
        <v>1720.29</v>
      </c>
      <c r="J95" s="86">
        <v>22.6</v>
      </c>
      <c r="K95" s="82">
        <v>1720.29</v>
      </c>
      <c r="L95" s="47">
        <f>+J95/K95</f>
        <v>0.013137319870486953</v>
      </c>
      <c r="M95" s="23">
        <v>335.284</v>
      </c>
      <c r="N95" s="23">
        <f>+L95*M95</f>
        <v>4.404733155456348</v>
      </c>
      <c r="O95" s="23">
        <f>+L95*60*1000</f>
        <v>788.2391922292172</v>
      </c>
      <c r="P95" s="48">
        <f>+N95*60</f>
        <v>264.2839893273809</v>
      </c>
      <c r="R95" s="10"/>
      <c r="S95" s="10"/>
    </row>
    <row r="96" spans="1:16" s="9" customFormat="1" ht="12.75" customHeight="1">
      <c r="A96" s="224"/>
      <c r="B96" s="282" t="s">
        <v>253</v>
      </c>
      <c r="C96" s="283">
        <v>10</v>
      </c>
      <c r="D96" s="22">
        <v>1994</v>
      </c>
      <c r="E96" s="84">
        <f>+F96+G96+H96</f>
        <v>15.958998999999999</v>
      </c>
      <c r="F96" s="284">
        <v>1.3956800000000003</v>
      </c>
      <c r="G96" s="284">
        <v>1.6</v>
      </c>
      <c r="H96" s="284">
        <v>12.963318999999998</v>
      </c>
      <c r="I96" s="285">
        <v>1100.65</v>
      </c>
      <c r="J96" s="284">
        <v>12.963318999999998</v>
      </c>
      <c r="K96" s="285">
        <v>982.46</v>
      </c>
      <c r="L96" s="47">
        <f>+J96/K96</f>
        <v>0.013194755002748202</v>
      </c>
      <c r="M96" s="23">
        <v>340.189</v>
      </c>
      <c r="N96" s="23">
        <f>+L96*M96</f>
        <v>4.488710509629908</v>
      </c>
      <c r="O96" s="23">
        <f>+L96*60*1000</f>
        <v>791.6853001648922</v>
      </c>
      <c r="P96" s="48">
        <f>+N96*60</f>
        <v>269.3226305777945</v>
      </c>
    </row>
    <row r="97" spans="1:19" s="9" customFormat="1" ht="12.75" customHeight="1">
      <c r="A97" s="224"/>
      <c r="B97" s="70" t="s">
        <v>201</v>
      </c>
      <c r="C97" s="71">
        <v>34</v>
      </c>
      <c r="D97" s="22">
        <v>2001</v>
      </c>
      <c r="E97" s="84">
        <f>+F97+G97+H97</f>
        <v>32.638999999999996</v>
      </c>
      <c r="F97" s="86">
        <v>4.079680000000001</v>
      </c>
      <c r="G97" s="86">
        <v>5.44</v>
      </c>
      <c r="H97" s="86">
        <v>23.11932</v>
      </c>
      <c r="I97" s="82">
        <v>1747.92</v>
      </c>
      <c r="J97" s="86">
        <v>23.11932</v>
      </c>
      <c r="K97" s="82">
        <v>1747.92</v>
      </c>
      <c r="L97" s="47">
        <f>+J97/K97</f>
        <v>0.013226760950157901</v>
      </c>
      <c r="M97" s="23">
        <v>335.284</v>
      </c>
      <c r="N97" s="23">
        <f>+L97*M97</f>
        <v>4.434721318412741</v>
      </c>
      <c r="O97" s="23">
        <f>+L97*60*1000</f>
        <v>793.605657009474</v>
      </c>
      <c r="P97" s="48">
        <f>+N97*60</f>
        <v>266.0832791047645</v>
      </c>
      <c r="R97" s="10"/>
      <c r="S97" s="10"/>
    </row>
    <row r="98" spans="1:19" s="9" customFormat="1" ht="12.75" customHeight="1">
      <c r="A98" s="224"/>
      <c r="B98" s="280" t="s">
        <v>301</v>
      </c>
      <c r="C98" s="40">
        <v>21</v>
      </c>
      <c r="D98" s="40">
        <v>1987</v>
      </c>
      <c r="E98" s="85">
        <v>20.18</v>
      </c>
      <c r="F98" s="85">
        <v>2.244</v>
      </c>
      <c r="G98" s="85">
        <v>3.36</v>
      </c>
      <c r="H98" s="85">
        <v>14.576</v>
      </c>
      <c r="I98" s="81">
        <v>1097.09</v>
      </c>
      <c r="J98" s="85">
        <v>14.576</v>
      </c>
      <c r="K98" s="81">
        <v>1097.09</v>
      </c>
      <c r="L98" s="76">
        <f>J98/K98</f>
        <v>0.01328605675012989</v>
      </c>
      <c r="M98" s="30">
        <v>300</v>
      </c>
      <c r="N98" s="75">
        <f>L98*M98</f>
        <v>3.985817025038967</v>
      </c>
      <c r="O98" s="75">
        <f>L98*60*1000</f>
        <v>797.1634050077934</v>
      </c>
      <c r="P98" s="73">
        <f>O98*M98/1000</f>
        <v>239.149021502338</v>
      </c>
      <c r="R98" s="10"/>
      <c r="S98" s="10"/>
    </row>
    <row r="99" spans="1:22" s="9" customFormat="1" ht="12.75">
      <c r="A99" s="224"/>
      <c r="B99" s="253" t="s">
        <v>617</v>
      </c>
      <c r="C99" s="40">
        <v>30</v>
      </c>
      <c r="D99" s="40">
        <v>1987</v>
      </c>
      <c r="E99" s="85">
        <v>27.162986</v>
      </c>
      <c r="F99" s="85">
        <v>1.734</v>
      </c>
      <c r="G99" s="85">
        <v>4.8</v>
      </c>
      <c r="H99" s="85">
        <v>20.628986</v>
      </c>
      <c r="I99" s="81">
        <v>1509.61</v>
      </c>
      <c r="J99" s="85">
        <v>19.330868</v>
      </c>
      <c r="K99" s="81">
        <v>1453.73</v>
      </c>
      <c r="L99" s="76">
        <f>J99/K99</f>
        <v>0.013297426619798724</v>
      </c>
      <c r="M99" s="30">
        <v>254</v>
      </c>
      <c r="N99" s="75">
        <f>L99*M99</f>
        <v>3.377546361428876</v>
      </c>
      <c r="O99" s="75">
        <f>L99*60*1000</f>
        <v>797.8455971879234</v>
      </c>
      <c r="P99" s="73">
        <f>O99*M99/1000</f>
        <v>202.65278168573255</v>
      </c>
      <c r="Q99" s="10"/>
      <c r="R99" s="10"/>
      <c r="S99" s="10"/>
      <c r="T99" s="12"/>
      <c r="U99" s="13"/>
      <c r="V99" s="13"/>
    </row>
    <row r="100" spans="1:19" s="9" customFormat="1" ht="12.75">
      <c r="A100" s="224"/>
      <c r="B100" s="46" t="s">
        <v>27</v>
      </c>
      <c r="C100" s="22">
        <v>56</v>
      </c>
      <c r="D100" s="22">
        <v>2008</v>
      </c>
      <c r="E100" s="84">
        <v>53.914</v>
      </c>
      <c r="F100" s="84">
        <v>8.087497</v>
      </c>
      <c r="G100" s="84">
        <v>4.48</v>
      </c>
      <c r="H100" s="84">
        <v>41.346503</v>
      </c>
      <c r="I100" s="34">
        <v>3105.9</v>
      </c>
      <c r="J100" s="84">
        <v>41.346475</v>
      </c>
      <c r="K100" s="34">
        <v>3105.9</v>
      </c>
      <c r="L100" s="47">
        <f>J100/K100</f>
        <v>0.013312236388808395</v>
      </c>
      <c r="M100" s="22">
        <v>296.48</v>
      </c>
      <c r="N100" s="23">
        <f>L100*M100</f>
        <v>3.9468118445539133</v>
      </c>
      <c r="O100" s="23">
        <f>L100*60*1000</f>
        <v>798.7341833285036</v>
      </c>
      <c r="P100" s="48">
        <f>O100*M100/1000</f>
        <v>236.80871067323477</v>
      </c>
      <c r="R100" s="10"/>
      <c r="S100" s="10"/>
    </row>
    <row r="101" spans="1:19" s="9" customFormat="1" ht="12.75">
      <c r="A101" s="224"/>
      <c r="B101" s="253" t="s">
        <v>796</v>
      </c>
      <c r="C101" s="40">
        <v>25</v>
      </c>
      <c r="D101" s="40">
        <v>1986</v>
      </c>
      <c r="E101" s="85">
        <v>24.366</v>
      </c>
      <c r="F101" s="85">
        <v>2.5</v>
      </c>
      <c r="G101" s="85">
        <v>4</v>
      </c>
      <c r="H101" s="85">
        <v>17.846</v>
      </c>
      <c r="I101" s="81">
        <v>1339.97</v>
      </c>
      <c r="J101" s="85">
        <v>17.846</v>
      </c>
      <c r="K101" s="81">
        <v>1339.97</v>
      </c>
      <c r="L101" s="76">
        <f>J101/K101</f>
        <v>0.01331820861661082</v>
      </c>
      <c r="M101" s="30">
        <v>216.9</v>
      </c>
      <c r="N101" s="75">
        <f>L101*M101</f>
        <v>2.888719448942887</v>
      </c>
      <c r="O101" s="75">
        <f>L101*60*1000</f>
        <v>799.0925169966492</v>
      </c>
      <c r="P101" s="73">
        <f>O101*M101/1000</f>
        <v>173.32316693657322</v>
      </c>
      <c r="R101" s="10"/>
      <c r="S101" s="10"/>
    </row>
    <row r="102" spans="1:19" s="9" customFormat="1" ht="12.75">
      <c r="A102" s="224"/>
      <c r="B102" s="280" t="s">
        <v>570</v>
      </c>
      <c r="C102" s="40">
        <v>68</v>
      </c>
      <c r="D102" s="40">
        <v>2008</v>
      </c>
      <c r="E102" s="85">
        <v>60.134</v>
      </c>
      <c r="F102" s="85">
        <v>2.601</v>
      </c>
      <c r="G102" s="85">
        <v>5.44</v>
      </c>
      <c r="H102" s="85">
        <v>52.093</v>
      </c>
      <c r="I102" s="81">
        <v>3892.42</v>
      </c>
      <c r="J102" s="85">
        <v>52.093</v>
      </c>
      <c r="K102" s="81">
        <v>3892.42</v>
      </c>
      <c r="L102" s="76">
        <f>J102/K102</f>
        <v>0.01338319091978769</v>
      </c>
      <c r="M102" s="30">
        <v>300</v>
      </c>
      <c r="N102" s="75">
        <f>L102*M102</f>
        <v>4.0149572759363075</v>
      </c>
      <c r="O102" s="75">
        <f>L102*60*1000</f>
        <v>802.9914551872614</v>
      </c>
      <c r="P102" s="73">
        <f>O102*M102/1000</f>
        <v>240.89743655617843</v>
      </c>
      <c r="R102" s="10"/>
      <c r="S102" s="10"/>
    </row>
    <row r="103" spans="1:16" s="9" customFormat="1" ht="12.75" customHeight="1">
      <c r="A103" s="224"/>
      <c r="B103" s="253" t="s">
        <v>494</v>
      </c>
      <c r="C103" s="40">
        <v>8</v>
      </c>
      <c r="D103" s="40">
        <v>1930</v>
      </c>
      <c r="E103" s="85">
        <v>10.78</v>
      </c>
      <c r="F103" s="85">
        <v>0.92</v>
      </c>
      <c r="G103" s="85">
        <v>0.09</v>
      </c>
      <c r="H103" s="85">
        <f>E103-F103-G103</f>
        <v>9.77</v>
      </c>
      <c r="I103" s="81">
        <v>727.91</v>
      </c>
      <c r="J103" s="85">
        <f>H103</f>
        <v>9.77</v>
      </c>
      <c r="K103" s="81">
        <f>I103</f>
        <v>727.91</v>
      </c>
      <c r="L103" s="76">
        <f>J103/K103</f>
        <v>0.013421988982154387</v>
      </c>
      <c r="M103" s="30">
        <v>279.476</v>
      </c>
      <c r="N103" s="75">
        <f>L103*M103</f>
        <v>3.7511237927765793</v>
      </c>
      <c r="O103" s="75">
        <f>L103*60*1000</f>
        <v>805.3193389292633</v>
      </c>
      <c r="P103" s="73">
        <f>O103*M103/1000</f>
        <v>225.0674275665948</v>
      </c>
    </row>
    <row r="104" spans="1:19" s="9" customFormat="1" ht="12.75">
      <c r="A104" s="224"/>
      <c r="B104" s="46" t="s">
        <v>80</v>
      </c>
      <c r="C104" s="22">
        <v>58</v>
      </c>
      <c r="D104" s="22">
        <v>2007</v>
      </c>
      <c r="E104" s="84">
        <v>66.392</v>
      </c>
      <c r="F104" s="84">
        <v>10.579134</v>
      </c>
      <c r="G104" s="84">
        <v>4.64</v>
      </c>
      <c r="H104" s="84">
        <v>51.172866</v>
      </c>
      <c r="I104" s="34">
        <v>3797.15</v>
      </c>
      <c r="J104" s="84">
        <v>51.172827999999996</v>
      </c>
      <c r="K104" s="34">
        <v>3797.15</v>
      </c>
      <c r="L104" s="47">
        <f>J104/K104</f>
        <v>0.013476641165084338</v>
      </c>
      <c r="M104" s="22">
        <v>296.48</v>
      </c>
      <c r="N104" s="23">
        <f>L104*M104</f>
        <v>3.9955545726242048</v>
      </c>
      <c r="O104" s="23">
        <f>L104*60*1000</f>
        <v>808.5984699050603</v>
      </c>
      <c r="P104" s="48">
        <f>O104*M104/1000</f>
        <v>239.7332743574523</v>
      </c>
      <c r="R104" s="10"/>
      <c r="S104" s="10"/>
    </row>
    <row r="105" spans="1:19" s="9" customFormat="1" ht="12.75" customHeight="1">
      <c r="A105" s="224"/>
      <c r="B105" s="253" t="s">
        <v>797</v>
      </c>
      <c r="C105" s="40">
        <v>30</v>
      </c>
      <c r="D105" s="40">
        <v>1990</v>
      </c>
      <c r="E105" s="85">
        <v>21.852</v>
      </c>
      <c r="F105" s="85">
        <v>3.3</v>
      </c>
      <c r="G105" s="85">
        <v>4.8</v>
      </c>
      <c r="H105" s="85">
        <v>21.852</v>
      </c>
      <c r="I105" s="81">
        <v>1614</v>
      </c>
      <c r="J105" s="85">
        <v>21.852</v>
      </c>
      <c r="K105" s="81">
        <v>1614</v>
      </c>
      <c r="L105" s="76">
        <f>J105/K105</f>
        <v>0.013539033457249071</v>
      </c>
      <c r="M105" s="30">
        <v>216.9</v>
      </c>
      <c r="N105" s="75">
        <f>L105*M105</f>
        <v>2.9366163568773236</v>
      </c>
      <c r="O105" s="75">
        <f>L105*60*1000</f>
        <v>812.3420074349442</v>
      </c>
      <c r="P105" s="73">
        <f>O105*M105/1000</f>
        <v>176.19698141263942</v>
      </c>
      <c r="R105" s="10"/>
      <c r="S105" s="10"/>
    </row>
    <row r="106" spans="1:19" s="9" customFormat="1" ht="12.75">
      <c r="A106" s="224"/>
      <c r="B106" s="280" t="s">
        <v>571</v>
      </c>
      <c r="C106" s="40">
        <v>30</v>
      </c>
      <c r="D106" s="40">
        <v>1990</v>
      </c>
      <c r="E106" s="85">
        <v>29.91</v>
      </c>
      <c r="F106" s="85">
        <v>3.184</v>
      </c>
      <c r="G106" s="85">
        <v>4.8</v>
      </c>
      <c r="H106" s="85">
        <v>21.926</v>
      </c>
      <c r="I106" s="81">
        <v>1618.16</v>
      </c>
      <c r="J106" s="85">
        <v>21.926</v>
      </c>
      <c r="K106" s="81">
        <v>1618.16</v>
      </c>
      <c r="L106" s="76">
        <f>J106/K106</f>
        <v>0.013549957976961485</v>
      </c>
      <c r="M106" s="30">
        <v>300</v>
      </c>
      <c r="N106" s="75">
        <f>L106*M106</f>
        <v>4.064987393088446</v>
      </c>
      <c r="O106" s="75">
        <f>L106*60*1000</f>
        <v>812.9974786176891</v>
      </c>
      <c r="P106" s="73">
        <f>O106*M106/1000</f>
        <v>243.89924358530675</v>
      </c>
      <c r="R106" s="10"/>
      <c r="S106" s="10"/>
    </row>
    <row r="107" spans="1:19" s="9" customFormat="1" ht="12.75">
      <c r="A107" s="224"/>
      <c r="B107" s="253" t="s">
        <v>649</v>
      </c>
      <c r="C107" s="40">
        <v>31</v>
      </c>
      <c r="D107" s="40">
        <v>2007</v>
      </c>
      <c r="E107" s="85">
        <v>40.193</v>
      </c>
      <c r="F107" s="85">
        <v>0.405348</v>
      </c>
      <c r="G107" s="85">
        <v>3.6</v>
      </c>
      <c r="H107" s="85">
        <v>36.187652</v>
      </c>
      <c r="I107" s="81">
        <v>2889.73</v>
      </c>
      <c r="J107" s="85">
        <v>33.92</v>
      </c>
      <c r="K107" s="81">
        <v>2478.67</v>
      </c>
      <c r="L107" s="76">
        <f>J107/K107</f>
        <v>0.013684758358313127</v>
      </c>
      <c r="M107" s="30">
        <v>328.199</v>
      </c>
      <c r="N107" s="75">
        <f>L107*M107</f>
        <v>4.49132400844001</v>
      </c>
      <c r="O107" s="75">
        <f>L107*60*1000</f>
        <v>821.0855014987877</v>
      </c>
      <c r="P107" s="73">
        <f>O107*M107/1000</f>
        <v>269.47944050640064</v>
      </c>
      <c r="R107" s="10"/>
      <c r="S107" s="10"/>
    </row>
    <row r="108" spans="1:19" s="9" customFormat="1" ht="12.75" customHeight="1">
      <c r="A108" s="224"/>
      <c r="B108" s="70" t="s">
        <v>202</v>
      </c>
      <c r="C108" s="71">
        <v>40</v>
      </c>
      <c r="D108" s="22">
        <v>2009</v>
      </c>
      <c r="E108" s="84">
        <f>+F108+G108+H108</f>
        <v>39.19400400000001</v>
      </c>
      <c r="F108" s="86">
        <v>5.31432</v>
      </c>
      <c r="G108" s="86">
        <v>3.2</v>
      </c>
      <c r="H108" s="86">
        <v>30.679684</v>
      </c>
      <c r="I108" s="82">
        <v>2225.68</v>
      </c>
      <c r="J108" s="86">
        <v>30.679684</v>
      </c>
      <c r="K108" s="82">
        <v>2225.68</v>
      </c>
      <c r="L108" s="47">
        <f>+J108/K108</f>
        <v>0.013784409259192698</v>
      </c>
      <c r="M108" s="23">
        <v>335.284</v>
      </c>
      <c r="N108" s="23">
        <f>+L108*M108</f>
        <v>4.621691874059164</v>
      </c>
      <c r="O108" s="23">
        <f>+L108*60*1000</f>
        <v>827.0645555515619</v>
      </c>
      <c r="P108" s="48">
        <f>+N108*60</f>
        <v>277.3015124435498</v>
      </c>
      <c r="R108" s="10"/>
      <c r="S108" s="10"/>
    </row>
    <row r="109" spans="1:19" s="9" customFormat="1" ht="12.75" customHeight="1">
      <c r="A109" s="224"/>
      <c r="B109" s="253" t="s">
        <v>618</v>
      </c>
      <c r="C109" s="40">
        <v>12</v>
      </c>
      <c r="D109" s="40">
        <v>1960</v>
      </c>
      <c r="E109" s="85">
        <v>10.330995</v>
      </c>
      <c r="F109" s="85">
        <v>0.561</v>
      </c>
      <c r="G109" s="85">
        <v>1.84</v>
      </c>
      <c r="H109" s="85">
        <v>7.929995</v>
      </c>
      <c r="I109" s="81">
        <v>536.88</v>
      </c>
      <c r="J109" s="85">
        <v>5.548163</v>
      </c>
      <c r="K109" s="81">
        <v>400.83</v>
      </c>
      <c r="L109" s="76">
        <f>J109/K109</f>
        <v>0.013841686001546791</v>
      </c>
      <c r="M109" s="30">
        <v>254</v>
      </c>
      <c r="N109" s="75">
        <f>L109*M109</f>
        <v>3.5157882443928847</v>
      </c>
      <c r="O109" s="75">
        <f>L109*60*1000</f>
        <v>830.5011600928075</v>
      </c>
      <c r="P109" s="73">
        <f>O109*M109/1000</f>
        <v>210.9472946635731</v>
      </c>
      <c r="R109" s="10"/>
      <c r="S109" s="10"/>
    </row>
    <row r="110" spans="1:19" s="9" customFormat="1" ht="12.75" customHeight="1">
      <c r="A110" s="224"/>
      <c r="B110" s="46" t="s">
        <v>157</v>
      </c>
      <c r="C110" s="22">
        <v>22</v>
      </c>
      <c r="D110" s="22">
        <v>2009</v>
      </c>
      <c r="E110" s="84">
        <f>F110+G110+H110</f>
        <v>32.7562</v>
      </c>
      <c r="F110" s="84">
        <v>2.5783</v>
      </c>
      <c r="G110" s="84">
        <v>1.76</v>
      </c>
      <c r="H110" s="84">
        <v>28.4179</v>
      </c>
      <c r="I110" s="34">
        <v>2046.35</v>
      </c>
      <c r="J110" s="84">
        <v>28.4179</v>
      </c>
      <c r="K110" s="34">
        <v>2046.35</v>
      </c>
      <c r="L110" s="47">
        <f>J110/K110</f>
        <v>0.013887116084736239</v>
      </c>
      <c r="M110" s="23">
        <v>210</v>
      </c>
      <c r="N110" s="23">
        <f>L110*M110</f>
        <v>2.91629437779461</v>
      </c>
      <c r="O110" s="23">
        <f>L110*1000*60</f>
        <v>833.2269650841743</v>
      </c>
      <c r="P110" s="48">
        <f>N110*60</f>
        <v>174.9776626676766</v>
      </c>
      <c r="R110" s="10"/>
      <c r="S110" s="10"/>
    </row>
    <row r="111" spans="1:19" s="9" customFormat="1" ht="12.75" customHeight="1">
      <c r="A111" s="224"/>
      <c r="B111" s="70" t="s">
        <v>198</v>
      </c>
      <c r="C111" s="71">
        <v>29</v>
      </c>
      <c r="D111" s="22">
        <v>2007</v>
      </c>
      <c r="E111" s="84">
        <f>+F111+G111+H111</f>
        <v>29.13516</v>
      </c>
      <c r="F111" s="86">
        <v>2.732312</v>
      </c>
      <c r="G111" s="86">
        <v>2.32</v>
      </c>
      <c r="H111" s="86">
        <v>24.082848</v>
      </c>
      <c r="I111" s="82">
        <v>3616.71</v>
      </c>
      <c r="J111" s="86">
        <v>24.082848</v>
      </c>
      <c r="K111" s="82">
        <v>1734.01</v>
      </c>
      <c r="L111" s="47">
        <f>+J111/K111</f>
        <v>0.013888528901217409</v>
      </c>
      <c r="M111" s="23">
        <v>340.189</v>
      </c>
      <c r="N111" s="23">
        <f>+L111*M111</f>
        <v>4.724724758376249</v>
      </c>
      <c r="O111" s="23">
        <f>+L111*60*1000</f>
        <v>833.3117340730445</v>
      </c>
      <c r="P111" s="48">
        <f>+N111*60</f>
        <v>283.4834855025749</v>
      </c>
      <c r="Q111" s="11"/>
      <c r="R111" s="10"/>
      <c r="S111" s="10"/>
    </row>
    <row r="112" spans="1:19" s="9" customFormat="1" ht="12.75" customHeight="1">
      <c r="A112" s="224"/>
      <c r="B112" s="253" t="s">
        <v>275</v>
      </c>
      <c r="C112" s="40">
        <v>8</v>
      </c>
      <c r="D112" s="40" t="s">
        <v>24</v>
      </c>
      <c r="E112" s="85">
        <f>F112+G112+H112</f>
        <v>10.33</v>
      </c>
      <c r="F112" s="85">
        <v>0.864</v>
      </c>
      <c r="G112" s="85">
        <v>0.64</v>
      </c>
      <c r="H112" s="85">
        <v>8.826</v>
      </c>
      <c r="I112" s="81">
        <v>633.84</v>
      </c>
      <c r="J112" s="85">
        <v>8.826</v>
      </c>
      <c r="K112" s="81">
        <v>633.84</v>
      </c>
      <c r="L112" s="76">
        <f>J112/K112</f>
        <v>0.013924649753881106</v>
      </c>
      <c r="M112" s="30">
        <v>350.76</v>
      </c>
      <c r="N112" s="75">
        <f>L112*M112</f>
        <v>4.884210147671337</v>
      </c>
      <c r="O112" s="75">
        <f>L112*60*1000</f>
        <v>835.4789852328663</v>
      </c>
      <c r="P112" s="73">
        <f>O112*M112/1000</f>
        <v>293.0526088602802</v>
      </c>
      <c r="R112" s="10"/>
      <c r="S112" s="10"/>
    </row>
    <row r="113" spans="1:19" s="9" customFormat="1" ht="12.75" customHeight="1">
      <c r="A113" s="224"/>
      <c r="B113" s="46" t="s">
        <v>52</v>
      </c>
      <c r="C113" s="22">
        <v>39</v>
      </c>
      <c r="D113" s="22">
        <v>2007</v>
      </c>
      <c r="E113" s="84">
        <v>42.15</v>
      </c>
      <c r="F113" s="84">
        <v>6.89</v>
      </c>
      <c r="G113" s="84">
        <v>2.24</v>
      </c>
      <c r="H113" s="84">
        <f>E113-F113-G113</f>
        <v>33.019999999999996</v>
      </c>
      <c r="I113" s="34">
        <v>2368.8</v>
      </c>
      <c r="J113" s="84">
        <f>H113/I113*K113</f>
        <v>33.02278790949003</v>
      </c>
      <c r="K113" s="22">
        <v>2369</v>
      </c>
      <c r="L113" s="47">
        <f>J113/K113</f>
        <v>0.013939547450185745</v>
      </c>
      <c r="M113" s="23">
        <v>323.29400000000004</v>
      </c>
      <c r="N113" s="23">
        <f>L113*M113</f>
        <v>4.506572053360351</v>
      </c>
      <c r="O113" s="23">
        <f>L113*60*1000</f>
        <v>836.3728470111447</v>
      </c>
      <c r="P113" s="48">
        <f>O113*M113/1000</f>
        <v>270.3943232016211</v>
      </c>
      <c r="R113" s="10"/>
      <c r="S113" s="10"/>
    </row>
    <row r="114" spans="1:19" s="9" customFormat="1" ht="13.5" customHeight="1">
      <c r="A114" s="224"/>
      <c r="B114" s="253" t="s">
        <v>662</v>
      </c>
      <c r="C114" s="40">
        <v>75</v>
      </c>
      <c r="D114" s="40" t="s">
        <v>24</v>
      </c>
      <c r="E114" s="85">
        <v>74.3</v>
      </c>
      <c r="F114" s="85">
        <v>6.68</v>
      </c>
      <c r="G114" s="85">
        <v>11.84</v>
      </c>
      <c r="H114" s="85">
        <v>55.78</v>
      </c>
      <c r="I114" s="81">
        <v>3995</v>
      </c>
      <c r="J114" s="85">
        <v>55.78</v>
      </c>
      <c r="K114" s="81">
        <v>3995</v>
      </c>
      <c r="L114" s="76">
        <f>J114/K114</f>
        <v>0.013962453066332916</v>
      </c>
      <c r="M114" s="30">
        <v>235.3</v>
      </c>
      <c r="N114" s="75">
        <f>L114*M114</f>
        <v>3.2853652065081356</v>
      </c>
      <c r="O114" s="75">
        <f>L114*60*1000</f>
        <v>837.7471839799749</v>
      </c>
      <c r="P114" s="73">
        <f>O114*M114/1000</f>
        <v>197.12191239048812</v>
      </c>
      <c r="R114" s="10"/>
      <c r="S114" s="10"/>
    </row>
    <row r="115" spans="1:19" s="9" customFormat="1" ht="12.75" customHeight="1">
      <c r="A115" s="224"/>
      <c r="B115" s="274" t="s">
        <v>536</v>
      </c>
      <c r="C115" s="275">
        <v>60</v>
      </c>
      <c r="D115" s="276" t="s">
        <v>24</v>
      </c>
      <c r="E115" s="286">
        <v>52.19</v>
      </c>
      <c r="F115" s="286">
        <v>4.45</v>
      </c>
      <c r="G115" s="278">
        <v>9.6</v>
      </c>
      <c r="H115" s="286">
        <v>38.14</v>
      </c>
      <c r="I115" s="279">
        <v>2723.9</v>
      </c>
      <c r="J115" s="286">
        <v>38.14</v>
      </c>
      <c r="K115" s="279">
        <v>2723.9</v>
      </c>
      <c r="L115" s="287">
        <f>J115/K115</f>
        <v>0.014001982451631851</v>
      </c>
      <c r="M115" s="288">
        <v>266.83</v>
      </c>
      <c r="N115" s="289">
        <f>L115*M115</f>
        <v>3.7361489775689267</v>
      </c>
      <c r="O115" s="289">
        <f>L115*60*1000</f>
        <v>840.1189470979111</v>
      </c>
      <c r="P115" s="326">
        <f>O115*M115/1000</f>
        <v>224.16893865413562</v>
      </c>
      <c r="R115" s="10"/>
      <c r="S115" s="10"/>
    </row>
    <row r="116" spans="1:19" s="9" customFormat="1" ht="12.75" customHeight="1">
      <c r="A116" s="224"/>
      <c r="B116" s="253" t="s">
        <v>333</v>
      </c>
      <c r="C116" s="40">
        <v>9</v>
      </c>
      <c r="D116" s="40">
        <v>2006</v>
      </c>
      <c r="E116" s="85">
        <v>28.870002</v>
      </c>
      <c r="F116" s="85">
        <v>1.122</v>
      </c>
      <c r="G116" s="85">
        <v>2.88</v>
      </c>
      <c r="H116" s="85">
        <v>24.868002</v>
      </c>
      <c r="I116" s="81">
        <v>887.8</v>
      </c>
      <c r="J116" s="85">
        <v>8.148746</v>
      </c>
      <c r="K116" s="81">
        <v>560.62</v>
      </c>
      <c r="L116" s="76">
        <v>0.01400540774949313</v>
      </c>
      <c r="M116" s="30">
        <v>302.37</v>
      </c>
      <c r="N116" s="75">
        <f>L116*M116</f>
        <v>4.234815141214238</v>
      </c>
      <c r="O116" s="75">
        <f>L116*60*1000</f>
        <v>840.3244649695878</v>
      </c>
      <c r="P116" s="73">
        <f>N116*60</f>
        <v>254.08890847285426</v>
      </c>
      <c r="R116" s="10"/>
      <c r="S116" s="10"/>
    </row>
    <row r="117" spans="1:19" s="9" customFormat="1" ht="12.75" customHeight="1">
      <c r="A117" s="224"/>
      <c r="B117" s="253" t="s">
        <v>495</v>
      </c>
      <c r="C117" s="40">
        <v>57</v>
      </c>
      <c r="D117" s="40">
        <v>1965</v>
      </c>
      <c r="E117" s="85">
        <v>50.26691</v>
      </c>
      <c r="F117" s="85">
        <v>9.36344</v>
      </c>
      <c r="G117" s="85">
        <v>5.5</v>
      </c>
      <c r="H117" s="85">
        <f>E117-F117-G117</f>
        <v>35.40347</v>
      </c>
      <c r="I117" s="81">
        <v>2521.47</v>
      </c>
      <c r="J117" s="85">
        <f>H117</f>
        <v>35.40347</v>
      </c>
      <c r="K117" s="81">
        <f>I117</f>
        <v>2521.47</v>
      </c>
      <c r="L117" s="76">
        <f>J117/K117</f>
        <v>0.014040805561834962</v>
      </c>
      <c r="M117" s="30">
        <v>279.476</v>
      </c>
      <c r="N117" s="75">
        <f>L117*M117</f>
        <v>3.924068175199388</v>
      </c>
      <c r="O117" s="75">
        <f>L117*60*1000</f>
        <v>842.4483337100977</v>
      </c>
      <c r="P117" s="73">
        <f>O117*M117/1000</f>
        <v>235.44409051196325</v>
      </c>
      <c r="Q117" s="11"/>
      <c r="R117" s="10"/>
      <c r="S117" s="10"/>
    </row>
    <row r="118" spans="1:19" s="9" customFormat="1" ht="12.75" customHeight="1">
      <c r="A118" s="224"/>
      <c r="B118" s="253" t="s">
        <v>347</v>
      </c>
      <c r="C118" s="40">
        <v>16</v>
      </c>
      <c r="D118" s="40">
        <v>1984</v>
      </c>
      <c r="E118" s="85">
        <v>12.811841</v>
      </c>
      <c r="F118" s="85">
        <v>0.459</v>
      </c>
      <c r="G118" s="85">
        <v>1.76</v>
      </c>
      <c r="H118" s="85">
        <v>10.592841</v>
      </c>
      <c r="I118" s="81">
        <v>766.75</v>
      </c>
      <c r="J118" s="85">
        <v>8.565113</v>
      </c>
      <c r="K118" s="81">
        <v>609.7</v>
      </c>
      <c r="L118" s="76">
        <f>J118/K118</f>
        <v>0.014048077743152369</v>
      </c>
      <c r="M118" s="30">
        <v>254</v>
      </c>
      <c r="N118" s="75">
        <f>L118*M118</f>
        <v>3.5682117467607015</v>
      </c>
      <c r="O118" s="75">
        <f>L118*60*1000</f>
        <v>842.8846645891422</v>
      </c>
      <c r="P118" s="73">
        <f>O118*M118/1000</f>
        <v>214.09270480564211</v>
      </c>
      <c r="R118" s="10"/>
      <c r="S118" s="10"/>
    </row>
    <row r="119" spans="1:19" s="9" customFormat="1" ht="12.75" customHeight="1">
      <c r="A119" s="224"/>
      <c r="B119" s="253" t="s">
        <v>349</v>
      </c>
      <c r="C119" s="40">
        <v>16</v>
      </c>
      <c r="D119" s="40">
        <v>1962</v>
      </c>
      <c r="E119" s="85">
        <v>12.302248</v>
      </c>
      <c r="F119" s="85">
        <v>0.816</v>
      </c>
      <c r="G119" s="85">
        <v>2.56</v>
      </c>
      <c r="H119" s="85">
        <v>8.926248</v>
      </c>
      <c r="I119" s="81">
        <v>719.91</v>
      </c>
      <c r="J119" s="85">
        <v>8.203</v>
      </c>
      <c r="K119" s="81">
        <v>583.82</v>
      </c>
      <c r="L119" s="76">
        <f>J119/K119</f>
        <v>0.01405056352985509</v>
      </c>
      <c r="M119" s="30">
        <v>254</v>
      </c>
      <c r="N119" s="75">
        <f>L119*M119</f>
        <v>3.568843136583193</v>
      </c>
      <c r="O119" s="75">
        <f>L119*60*1000</f>
        <v>843.0338117913054</v>
      </c>
      <c r="P119" s="73">
        <f>O119*M119/1000</f>
        <v>214.1305881949916</v>
      </c>
      <c r="R119" s="10"/>
      <c r="S119" s="10"/>
    </row>
    <row r="120" spans="1:19" s="9" customFormat="1" ht="12.75" customHeight="1">
      <c r="A120" s="224"/>
      <c r="B120" s="280" t="s">
        <v>572</v>
      </c>
      <c r="C120" s="40">
        <v>54</v>
      </c>
      <c r="D120" s="40">
        <v>1976</v>
      </c>
      <c r="E120" s="85">
        <v>56.11</v>
      </c>
      <c r="F120" s="85">
        <v>6.607</v>
      </c>
      <c r="G120" s="85">
        <v>8.64</v>
      </c>
      <c r="H120" s="85">
        <v>40.863</v>
      </c>
      <c r="I120" s="81">
        <v>2897.91</v>
      </c>
      <c r="J120" s="85">
        <v>39.985</v>
      </c>
      <c r="K120" s="81">
        <v>2835.64</v>
      </c>
      <c r="L120" s="76">
        <f>J120/K120</f>
        <v>0.014100873171488624</v>
      </c>
      <c r="M120" s="30">
        <v>300</v>
      </c>
      <c r="N120" s="75">
        <f>L120*M120</f>
        <v>4.230261951446587</v>
      </c>
      <c r="O120" s="75">
        <f>L120*60*1000</f>
        <v>846.0523902893175</v>
      </c>
      <c r="P120" s="73">
        <f>O120*M120/1000</f>
        <v>253.81571708679525</v>
      </c>
      <c r="R120" s="10"/>
      <c r="S120" s="10"/>
    </row>
    <row r="121" spans="1:16" s="9" customFormat="1" ht="12.75" customHeight="1">
      <c r="A121" s="224"/>
      <c r="B121" s="248" t="s">
        <v>537</v>
      </c>
      <c r="C121" s="158">
        <v>88</v>
      </c>
      <c r="D121" s="159">
        <v>2007</v>
      </c>
      <c r="E121" s="160">
        <v>89.25</v>
      </c>
      <c r="F121" s="160">
        <v>0</v>
      </c>
      <c r="G121" s="161">
        <v>0</v>
      </c>
      <c r="H121" s="160">
        <v>89.25</v>
      </c>
      <c r="I121" s="250">
        <v>6315.31</v>
      </c>
      <c r="J121" s="160">
        <v>89.25</v>
      </c>
      <c r="K121" s="250">
        <v>6315.31</v>
      </c>
      <c r="L121" s="59">
        <f>J121/K121</f>
        <v>0.014132322878845218</v>
      </c>
      <c r="M121" s="247">
        <v>266.83</v>
      </c>
      <c r="N121" s="60">
        <f>L121*M121</f>
        <v>3.770927713762269</v>
      </c>
      <c r="O121" s="60">
        <f>L121*60*1000</f>
        <v>847.9393727307131</v>
      </c>
      <c r="P121" s="61">
        <f>O121*M121/1000</f>
        <v>226.25566282573615</v>
      </c>
    </row>
    <row r="122" spans="1:19" s="9" customFormat="1" ht="12.75" customHeight="1">
      <c r="A122" s="224"/>
      <c r="B122" s="46" t="s">
        <v>31</v>
      </c>
      <c r="C122" s="22">
        <v>45</v>
      </c>
      <c r="D122" s="22">
        <v>2001</v>
      </c>
      <c r="E122" s="84">
        <v>59.628</v>
      </c>
      <c r="F122" s="84">
        <v>7.76475</v>
      </c>
      <c r="G122" s="84">
        <v>7.12</v>
      </c>
      <c r="H122" s="84">
        <v>44.74325</v>
      </c>
      <c r="I122" s="34">
        <v>3135.61</v>
      </c>
      <c r="J122" s="84">
        <v>44.743249</v>
      </c>
      <c r="K122" s="34">
        <v>3135.61</v>
      </c>
      <c r="L122" s="47">
        <f>J122/K122</f>
        <v>0.014269392239468555</v>
      </c>
      <c r="M122" s="22">
        <v>296.48</v>
      </c>
      <c r="N122" s="23">
        <f>L122*M122</f>
        <v>4.230589411157637</v>
      </c>
      <c r="O122" s="23">
        <f>L122*60*1000</f>
        <v>856.1635343681133</v>
      </c>
      <c r="P122" s="48">
        <f>O122*M122/1000</f>
        <v>253.83536466945827</v>
      </c>
      <c r="R122" s="10"/>
      <c r="S122" s="10"/>
    </row>
    <row r="123" spans="1:19" s="9" customFormat="1" ht="12.75" customHeight="1">
      <c r="A123" s="224"/>
      <c r="B123" s="253" t="s">
        <v>392</v>
      </c>
      <c r="C123" s="40">
        <v>43</v>
      </c>
      <c r="D123" s="40">
        <v>2008</v>
      </c>
      <c r="E123" s="85">
        <v>58.25</v>
      </c>
      <c r="F123" s="85">
        <v>2.397</v>
      </c>
      <c r="G123" s="85">
        <v>4.56</v>
      </c>
      <c r="H123" s="85">
        <v>51.293</v>
      </c>
      <c r="I123" s="81">
        <v>3836.29</v>
      </c>
      <c r="J123" s="85">
        <v>40.93</v>
      </c>
      <c r="K123" s="81">
        <v>2851.76</v>
      </c>
      <c r="L123" s="76">
        <f>J123/K123</f>
        <v>0.014352540185709877</v>
      </c>
      <c r="M123" s="30">
        <v>328.199</v>
      </c>
      <c r="N123" s="75">
        <f>L123*M123</f>
        <v>4.710489336409796</v>
      </c>
      <c r="O123" s="75">
        <f>L123*60*1000</f>
        <v>861.1524111425925</v>
      </c>
      <c r="P123" s="73">
        <f>O123*M123/1000</f>
        <v>282.6293601845877</v>
      </c>
      <c r="R123" s="10"/>
      <c r="S123" s="10"/>
    </row>
    <row r="124" spans="1:19" s="9" customFormat="1" ht="12.75" customHeight="1">
      <c r="A124" s="224"/>
      <c r="B124" s="46" t="s">
        <v>728</v>
      </c>
      <c r="C124" s="22">
        <v>30</v>
      </c>
      <c r="D124" s="22">
        <v>2000</v>
      </c>
      <c r="E124" s="84">
        <v>28.7</v>
      </c>
      <c r="F124" s="84">
        <v>3.6929</v>
      </c>
      <c r="G124" s="84">
        <v>4.72</v>
      </c>
      <c r="H124" s="84">
        <v>20.29</v>
      </c>
      <c r="I124" s="34">
        <v>1411.56</v>
      </c>
      <c r="J124" s="84">
        <v>20.29</v>
      </c>
      <c r="K124" s="34">
        <v>1411.56</v>
      </c>
      <c r="L124" s="47">
        <f>J124/K124</f>
        <v>0.014374167587633541</v>
      </c>
      <c r="M124" s="23">
        <v>263.899</v>
      </c>
      <c r="N124" s="23">
        <f>L124*M124</f>
        <v>3.793328452208904</v>
      </c>
      <c r="O124" s="23">
        <f>L124*1000*60</f>
        <v>862.4500552580125</v>
      </c>
      <c r="P124" s="48">
        <f>N124*60</f>
        <v>227.59970713253423</v>
      </c>
      <c r="R124" s="10"/>
      <c r="S124" s="10"/>
    </row>
    <row r="125" spans="1:19" s="9" customFormat="1" ht="13.5" customHeight="1">
      <c r="A125" s="224"/>
      <c r="B125" s="253" t="s">
        <v>798</v>
      </c>
      <c r="C125" s="40">
        <v>22</v>
      </c>
      <c r="D125" s="40">
        <v>1979</v>
      </c>
      <c r="E125" s="85">
        <v>21.653</v>
      </c>
      <c r="F125" s="85">
        <v>1.5</v>
      </c>
      <c r="G125" s="85">
        <v>3.5</v>
      </c>
      <c r="H125" s="85">
        <v>16.6</v>
      </c>
      <c r="I125" s="81">
        <v>1154.8</v>
      </c>
      <c r="J125" s="85">
        <v>16.6</v>
      </c>
      <c r="K125" s="81">
        <v>1154.8</v>
      </c>
      <c r="L125" s="76">
        <f>J125/K125</f>
        <v>0.014374783512296504</v>
      </c>
      <c r="M125" s="30">
        <v>216.9</v>
      </c>
      <c r="N125" s="75">
        <f>L125*M125</f>
        <v>3.117890543817112</v>
      </c>
      <c r="O125" s="75">
        <f>L125*60*1000</f>
        <v>862.4870107377902</v>
      </c>
      <c r="P125" s="73">
        <f>O125*M125/1000</f>
        <v>187.0734326290267</v>
      </c>
      <c r="R125" s="10"/>
      <c r="S125" s="10"/>
    </row>
    <row r="126" spans="1:16" s="9" customFormat="1" ht="12.75" customHeight="1">
      <c r="A126" s="224"/>
      <c r="B126" s="253" t="s">
        <v>473</v>
      </c>
      <c r="C126" s="40">
        <v>103</v>
      </c>
      <c r="D126" s="40" t="s">
        <v>158</v>
      </c>
      <c r="E126" s="85">
        <f>+F126+G126+H126</f>
        <v>83.512876</v>
      </c>
      <c r="F126" s="85">
        <v>5.948334</v>
      </c>
      <c r="G126" s="85">
        <v>14.45</v>
      </c>
      <c r="H126" s="85">
        <v>63.114542</v>
      </c>
      <c r="I126" s="81">
        <v>4387.74</v>
      </c>
      <c r="J126" s="85">
        <v>63.114542</v>
      </c>
      <c r="K126" s="81">
        <v>4386.74</v>
      </c>
      <c r="L126" s="76">
        <f>J126/K126</f>
        <v>0.014387573004098717</v>
      </c>
      <c r="M126" s="30">
        <v>283.618</v>
      </c>
      <c r="N126" s="75">
        <f>L126*M126</f>
        <v>4.08057468027647</v>
      </c>
      <c r="O126" s="75">
        <f>L126*60*1000</f>
        <v>863.254380245923</v>
      </c>
      <c r="P126" s="73">
        <f>O126*M126/1000</f>
        <v>244.83448081658818</v>
      </c>
    </row>
    <row r="127" spans="1:19" s="9" customFormat="1" ht="12.75" customHeight="1">
      <c r="A127" s="224"/>
      <c r="B127" s="46" t="s">
        <v>89</v>
      </c>
      <c r="C127" s="22">
        <v>60</v>
      </c>
      <c r="D127" s="22">
        <v>1968</v>
      </c>
      <c r="E127" s="84">
        <v>50.55</v>
      </c>
      <c r="F127" s="84">
        <v>7.51</v>
      </c>
      <c r="G127" s="84">
        <v>3.88</v>
      </c>
      <c r="H127" s="84">
        <v>39.16</v>
      </c>
      <c r="I127" s="34">
        <v>2715.4</v>
      </c>
      <c r="J127" s="84">
        <f>H127/I127*K127</f>
        <v>39.154231420785145</v>
      </c>
      <c r="K127" s="22">
        <v>2715</v>
      </c>
      <c r="L127" s="47">
        <f>J127/K127</f>
        <v>0.0144214480371216</v>
      </c>
      <c r="M127" s="23">
        <v>323.29400000000004</v>
      </c>
      <c r="N127" s="23">
        <f>L127*M127</f>
        <v>4.662367621713192</v>
      </c>
      <c r="O127" s="23">
        <f>L127*60*1000</f>
        <v>865.2868822272961</v>
      </c>
      <c r="P127" s="48">
        <f>O127*M127/1000</f>
        <v>279.7420573027915</v>
      </c>
      <c r="Q127" s="11"/>
      <c r="R127" s="10"/>
      <c r="S127" s="10"/>
    </row>
    <row r="128" spans="1:19" s="9" customFormat="1" ht="12.75" customHeight="1">
      <c r="A128" s="224"/>
      <c r="B128" s="46" t="s">
        <v>88</v>
      </c>
      <c r="C128" s="22">
        <v>61</v>
      </c>
      <c r="D128" s="22">
        <v>1973</v>
      </c>
      <c r="E128" s="84">
        <v>50.38</v>
      </c>
      <c r="F128" s="84">
        <v>8.02</v>
      </c>
      <c r="G128" s="84">
        <v>3.71</v>
      </c>
      <c r="H128" s="84">
        <v>38.65</v>
      </c>
      <c r="I128" s="34">
        <v>2678.3</v>
      </c>
      <c r="J128" s="84">
        <f>H128/I128*K128</f>
        <v>38.645670761303805</v>
      </c>
      <c r="K128" s="22">
        <v>2678</v>
      </c>
      <c r="L128" s="47">
        <f>J128/K128</f>
        <v>0.014430795653959598</v>
      </c>
      <c r="M128" s="23">
        <v>323.29400000000004</v>
      </c>
      <c r="N128" s="23">
        <f>L128*M128</f>
        <v>4.665389650151215</v>
      </c>
      <c r="O128" s="23">
        <f>L128*60*1000</f>
        <v>865.8477392375759</v>
      </c>
      <c r="P128" s="48">
        <f>O128*M128/1000</f>
        <v>279.9233790090729</v>
      </c>
      <c r="R128" s="10"/>
      <c r="S128" s="10"/>
    </row>
    <row r="129" spans="1:19" s="9" customFormat="1" ht="12.75" customHeight="1">
      <c r="A129" s="224"/>
      <c r="B129" s="46" t="s">
        <v>249</v>
      </c>
      <c r="C129" s="22">
        <v>51</v>
      </c>
      <c r="D129" s="22">
        <v>2005</v>
      </c>
      <c r="E129" s="84">
        <v>52.74</v>
      </c>
      <c r="F129" s="84">
        <v>6.27</v>
      </c>
      <c r="G129" s="84">
        <v>2.03</v>
      </c>
      <c r="H129" s="84">
        <f>E129-F129-G129</f>
        <v>44.44</v>
      </c>
      <c r="I129" s="34">
        <v>3073.9</v>
      </c>
      <c r="J129" s="84">
        <f>H129/I129*K129</f>
        <v>43.40052701779498</v>
      </c>
      <c r="K129" s="22">
        <v>3002</v>
      </c>
      <c r="L129" s="47">
        <f>J129/K129</f>
        <v>0.014457204203129573</v>
      </c>
      <c r="M129" s="23">
        <v>323.29400000000004</v>
      </c>
      <c r="N129" s="23">
        <f>L129*M129</f>
        <v>4.6739273756465725</v>
      </c>
      <c r="O129" s="23">
        <f>L129*60*1000</f>
        <v>867.4322521877745</v>
      </c>
      <c r="P129" s="48">
        <f>O129*M129/1000</f>
        <v>280.43564253879435</v>
      </c>
      <c r="R129" s="10"/>
      <c r="S129" s="10"/>
    </row>
    <row r="130" spans="1:19" s="9" customFormat="1" ht="12.75" customHeight="1">
      <c r="A130" s="224"/>
      <c r="B130" s="253" t="s">
        <v>348</v>
      </c>
      <c r="C130" s="40">
        <v>16</v>
      </c>
      <c r="D130" s="40">
        <v>1961</v>
      </c>
      <c r="E130" s="85">
        <v>13.484619</v>
      </c>
      <c r="F130" s="85">
        <v>0.969</v>
      </c>
      <c r="G130" s="85">
        <v>2.56</v>
      </c>
      <c r="H130" s="85">
        <v>9.955619</v>
      </c>
      <c r="I130" s="81">
        <v>714.88</v>
      </c>
      <c r="J130" s="85">
        <v>8.236885</v>
      </c>
      <c r="K130" s="81">
        <v>567.24</v>
      </c>
      <c r="L130" s="76">
        <f>J130/K130</f>
        <v>0.01452098758902757</v>
      </c>
      <c r="M130" s="30">
        <v>254</v>
      </c>
      <c r="N130" s="75">
        <f>L130*M130</f>
        <v>3.688330847613003</v>
      </c>
      <c r="O130" s="75">
        <f>L130*60*1000</f>
        <v>871.2592553416542</v>
      </c>
      <c r="P130" s="73">
        <f>O130*M130/1000</f>
        <v>221.29985085678018</v>
      </c>
      <c r="R130" s="10"/>
      <c r="S130" s="10"/>
    </row>
    <row r="131" spans="1:19" s="9" customFormat="1" ht="12.75">
      <c r="A131" s="224"/>
      <c r="B131" s="253" t="s">
        <v>224</v>
      </c>
      <c r="C131" s="40">
        <v>23</v>
      </c>
      <c r="D131" s="40">
        <v>2007</v>
      </c>
      <c r="E131" s="85">
        <v>46.895</v>
      </c>
      <c r="F131" s="85">
        <v>4.042464</v>
      </c>
      <c r="G131" s="85">
        <v>4</v>
      </c>
      <c r="H131" s="85">
        <v>38.852536</v>
      </c>
      <c r="I131" s="81">
        <v>2693.44</v>
      </c>
      <c r="J131" s="85">
        <v>31.31</v>
      </c>
      <c r="K131" s="81">
        <v>2155.86</v>
      </c>
      <c r="L131" s="76">
        <f>J131/K131</f>
        <v>0.014523206516193073</v>
      </c>
      <c r="M131" s="30">
        <v>328.199</v>
      </c>
      <c r="N131" s="75">
        <f>L131*M131</f>
        <v>4.766501855408051</v>
      </c>
      <c r="O131" s="75">
        <f>L131*60*1000</f>
        <v>871.3923909715844</v>
      </c>
      <c r="P131" s="73">
        <f>O131*M131/1000</f>
        <v>285.99011132448305</v>
      </c>
      <c r="R131" s="10"/>
      <c r="S131" s="10"/>
    </row>
    <row r="132" spans="1:16" s="9" customFormat="1" ht="12.75" customHeight="1">
      <c r="A132" s="224"/>
      <c r="B132" s="253" t="s">
        <v>114</v>
      </c>
      <c r="C132" s="40">
        <v>25</v>
      </c>
      <c r="D132" s="40">
        <v>1978</v>
      </c>
      <c r="E132" s="85">
        <v>21.784</v>
      </c>
      <c r="F132" s="85">
        <v>2.091</v>
      </c>
      <c r="G132" s="85">
        <v>1</v>
      </c>
      <c r="H132" s="85">
        <v>18.693</v>
      </c>
      <c r="I132" s="81">
        <v>1284.25</v>
      </c>
      <c r="J132" s="85">
        <v>18.693</v>
      </c>
      <c r="K132" s="81">
        <v>1284.25</v>
      </c>
      <c r="L132" s="76">
        <v>0.014555577185127507</v>
      </c>
      <c r="M132" s="30">
        <v>302.37</v>
      </c>
      <c r="N132" s="75">
        <f>L132*M132</f>
        <v>4.401169873467005</v>
      </c>
      <c r="O132" s="75">
        <f>L132*60*1000</f>
        <v>873.3346311076505</v>
      </c>
      <c r="P132" s="73">
        <f>N132*60</f>
        <v>264.07019240802026</v>
      </c>
    </row>
    <row r="133" spans="1:19" s="9" customFormat="1" ht="12.75">
      <c r="A133" s="224"/>
      <c r="B133" s="46" t="s">
        <v>51</v>
      </c>
      <c r="C133" s="22">
        <v>18</v>
      </c>
      <c r="D133" s="22">
        <v>2006</v>
      </c>
      <c r="E133" s="84">
        <v>32.65</v>
      </c>
      <c r="F133" s="84">
        <v>2.02</v>
      </c>
      <c r="G133" s="84">
        <v>1.68</v>
      </c>
      <c r="H133" s="84">
        <f>E133-F133-G133</f>
        <v>28.95</v>
      </c>
      <c r="I133" s="34">
        <v>1988.3</v>
      </c>
      <c r="J133" s="84">
        <f>H133/I133*K133</f>
        <v>22.044108031987125</v>
      </c>
      <c r="K133" s="22">
        <v>1514</v>
      </c>
      <c r="L133" s="47">
        <f>J133/K133</f>
        <v>0.014560177035658603</v>
      </c>
      <c r="M133" s="23">
        <v>323.29400000000004</v>
      </c>
      <c r="N133" s="23">
        <f>L133*M133</f>
        <v>4.707217874566213</v>
      </c>
      <c r="O133" s="23">
        <f>L133*60*1000</f>
        <v>873.6106221395162</v>
      </c>
      <c r="P133" s="48">
        <f>O133*M133/1000</f>
        <v>282.4330724739728</v>
      </c>
      <c r="R133" s="10"/>
      <c r="S133" s="10"/>
    </row>
    <row r="134" spans="1:19" s="9" customFormat="1" ht="12.75">
      <c r="A134" s="224"/>
      <c r="B134" s="253" t="s">
        <v>741</v>
      </c>
      <c r="C134" s="40">
        <v>40</v>
      </c>
      <c r="D134" s="40"/>
      <c r="E134" s="85">
        <v>40.6</v>
      </c>
      <c r="F134" s="85">
        <v>1.511</v>
      </c>
      <c r="G134" s="85">
        <v>6.4</v>
      </c>
      <c r="H134" s="85">
        <v>32.689</v>
      </c>
      <c r="I134" s="81">
        <v>2232.79</v>
      </c>
      <c r="J134" s="85">
        <v>32.7</v>
      </c>
      <c r="K134" s="81">
        <v>2232.79</v>
      </c>
      <c r="L134" s="76">
        <f>J134/K134</f>
        <v>0.014645354018962824</v>
      </c>
      <c r="M134" s="30">
        <v>220.9</v>
      </c>
      <c r="N134" s="75">
        <f>L134*M134</f>
        <v>3.2351587027888877</v>
      </c>
      <c r="O134" s="75">
        <f>L134*60*1000</f>
        <v>878.7212411377694</v>
      </c>
      <c r="P134" s="73">
        <f>O134*M134/1000</f>
        <v>194.1095221673333</v>
      </c>
      <c r="R134" s="10"/>
      <c r="S134" s="10"/>
    </row>
    <row r="135" spans="1:19" s="9" customFormat="1" ht="12.75" customHeight="1">
      <c r="A135" s="224"/>
      <c r="B135" s="253" t="s">
        <v>391</v>
      </c>
      <c r="C135" s="40">
        <v>38</v>
      </c>
      <c r="D135" s="40">
        <v>2007</v>
      </c>
      <c r="E135" s="85">
        <v>44.475</v>
      </c>
      <c r="F135" s="85">
        <v>1.887</v>
      </c>
      <c r="G135" s="85">
        <v>3.6</v>
      </c>
      <c r="H135" s="85">
        <v>38.988</v>
      </c>
      <c r="I135" s="81">
        <v>2880.8</v>
      </c>
      <c r="J135" s="85">
        <v>36.15</v>
      </c>
      <c r="K135" s="81">
        <v>2457.74</v>
      </c>
      <c r="L135" s="76">
        <f>J135/K135</f>
        <v>0.014708634762017139</v>
      </c>
      <c r="M135" s="30">
        <v>328.199</v>
      </c>
      <c r="N135" s="75">
        <f>L135*M135</f>
        <v>4.827359220259263</v>
      </c>
      <c r="O135" s="75">
        <f>L135*60*1000</f>
        <v>882.5180857210283</v>
      </c>
      <c r="P135" s="73">
        <f>O135*M135/1000</f>
        <v>289.6415532155558</v>
      </c>
      <c r="R135" s="10"/>
      <c r="S135" s="10"/>
    </row>
    <row r="136" spans="1:19" s="9" customFormat="1" ht="12.75" customHeight="1">
      <c r="A136" s="224"/>
      <c r="B136" s="280" t="s">
        <v>573</v>
      </c>
      <c r="C136" s="40">
        <v>51</v>
      </c>
      <c r="D136" s="40">
        <v>2007</v>
      </c>
      <c r="E136" s="85">
        <v>52.815</v>
      </c>
      <c r="F136" s="85">
        <v>5.355</v>
      </c>
      <c r="G136" s="85">
        <v>4.08</v>
      </c>
      <c r="H136" s="85">
        <v>43.38</v>
      </c>
      <c r="I136" s="81">
        <v>2943.57</v>
      </c>
      <c r="J136" s="85">
        <v>43.38</v>
      </c>
      <c r="K136" s="81">
        <v>2943.57</v>
      </c>
      <c r="L136" s="76">
        <f>J136/K136</f>
        <v>0.014737206861056472</v>
      </c>
      <c r="M136" s="30">
        <v>300</v>
      </c>
      <c r="N136" s="75">
        <f>L136*M136</f>
        <v>4.421162058316941</v>
      </c>
      <c r="O136" s="75">
        <f>L136*60*1000</f>
        <v>884.2324116633882</v>
      </c>
      <c r="P136" s="73">
        <f>O136*M136/1000</f>
        <v>265.2697234990165</v>
      </c>
      <c r="R136" s="10"/>
      <c r="S136" s="10"/>
    </row>
    <row r="137" spans="1:19" s="9" customFormat="1" ht="12.75" customHeight="1">
      <c r="A137" s="224"/>
      <c r="B137" s="253" t="s">
        <v>799</v>
      </c>
      <c r="C137" s="40">
        <v>12</v>
      </c>
      <c r="D137" s="40">
        <v>1994</v>
      </c>
      <c r="E137" s="85">
        <v>12.9</v>
      </c>
      <c r="F137" s="85">
        <v>1.1</v>
      </c>
      <c r="G137" s="85">
        <v>1.9</v>
      </c>
      <c r="H137" s="85">
        <v>9.8</v>
      </c>
      <c r="I137" s="81">
        <v>664.21</v>
      </c>
      <c r="J137" s="85">
        <v>9.8</v>
      </c>
      <c r="K137" s="81">
        <v>664.21</v>
      </c>
      <c r="L137" s="76">
        <f>J137/K137</f>
        <v>0.014754369852907966</v>
      </c>
      <c r="M137" s="30">
        <v>216.9</v>
      </c>
      <c r="N137" s="75">
        <f>L137*M137</f>
        <v>3.200222821095738</v>
      </c>
      <c r="O137" s="75">
        <f>L137*60*1000</f>
        <v>885.2621911744781</v>
      </c>
      <c r="P137" s="73">
        <f>O137*M137/1000</f>
        <v>192.0133692657443</v>
      </c>
      <c r="R137" s="10"/>
      <c r="S137" s="10"/>
    </row>
    <row r="138" spans="1:19" s="9" customFormat="1" ht="12.75" customHeight="1">
      <c r="A138" s="224"/>
      <c r="B138" s="46" t="s">
        <v>79</v>
      </c>
      <c r="C138" s="22">
        <v>64</v>
      </c>
      <c r="D138" s="22">
        <v>2006</v>
      </c>
      <c r="E138" s="84">
        <v>65.37</v>
      </c>
      <c r="F138" s="84">
        <v>10.801947</v>
      </c>
      <c r="G138" s="84">
        <v>5.12</v>
      </c>
      <c r="H138" s="84">
        <v>49.448052999999994</v>
      </c>
      <c r="I138" s="34">
        <v>3331.47</v>
      </c>
      <c r="J138" s="84">
        <v>49.448024000000004</v>
      </c>
      <c r="K138" s="34">
        <v>3331.47</v>
      </c>
      <c r="L138" s="47">
        <f>J138/K138</f>
        <v>0.014842704271687875</v>
      </c>
      <c r="M138" s="22">
        <v>296.48</v>
      </c>
      <c r="N138" s="23">
        <f>L138*M138</f>
        <v>4.400564962470021</v>
      </c>
      <c r="O138" s="23">
        <f>L138*60*1000</f>
        <v>890.5622563012726</v>
      </c>
      <c r="P138" s="48">
        <f>O138*M138/1000</f>
        <v>264.03389774820135</v>
      </c>
      <c r="R138" s="10"/>
      <c r="S138" s="10"/>
    </row>
    <row r="139" spans="1:19" s="9" customFormat="1" ht="12.75">
      <c r="A139" s="224"/>
      <c r="B139" s="46" t="s">
        <v>167</v>
      </c>
      <c r="C139" s="22">
        <v>12</v>
      </c>
      <c r="D139" s="22">
        <v>1962</v>
      </c>
      <c r="E139" s="84">
        <v>10.5</v>
      </c>
      <c r="F139" s="84">
        <v>0.648682</v>
      </c>
      <c r="G139" s="84">
        <v>1.92</v>
      </c>
      <c r="H139" s="84">
        <v>7.93132</v>
      </c>
      <c r="I139" s="34">
        <v>533.7</v>
      </c>
      <c r="J139" s="84">
        <v>7.93</v>
      </c>
      <c r="K139" s="34">
        <v>533.7</v>
      </c>
      <c r="L139" s="47">
        <f>J139/K139</f>
        <v>0.014858534757354318</v>
      </c>
      <c r="M139" s="23">
        <v>263.899</v>
      </c>
      <c r="N139" s="23">
        <f>L139*M139</f>
        <v>3.921152463931047</v>
      </c>
      <c r="O139" s="23">
        <f>L139*1000*60</f>
        <v>891.5120854412592</v>
      </c>
      <c r="P139" s="48">
        <f>N139*60</f>
        <v>235.26914783586284</v>
      </c>
      <c r="R139" s="10"/>
      <c r="S139" s="10"/>
    </row>
    <row r="140" spans="1:19" s="9" customFormat="1" ht="13.5" thickBot="1">
      <c r="A140" s="225"/>
      <c r="B140" s="327" t="s">
        <v>574</v>
      </c>
      <c r="C140" s="190">
        <v>108</v>
      </c>
      <c r="D140" s="190">
        <v>1978</v>
      </c>
      <c r="E140" s="191">
        <v>122.55</v>
      </c>
      <c r="F140" s="191">
        <v>14.539</v>
      </c>
      <c r="G140" s="191">
        <v>17.2</v>
      </c>
      <c r="H140" s="191">
        <v>90.811</v>
      </c>
      <c r="I140" s="192">
        <v>6099.44</v>
      </c>
      <c r="J140" s="191">
        <v>90.811</v>
      </c>
      <c r="K140" s="192">
        <v>6099.44</v>
      </c>
      <c r="L140" s="193">
        <f>J140/K140</f>
        <v>0.01488841598572984</v>
      </c>
      <c r="M140" s="196">
        <v>300</v>
      </c>
      <c r="N140" s="194">
        <f>L140*M140</f>
        <v>4.466524795718952</v>
      </c>
      <c r="O140" s="194">
        <f>L140*60*1000</f>
        <v>893.3049591437904</v>
      </c>
      <c r="P140" s="195">
        <f>O140*M140/1000</f>
        <v>267.9914877431371</v>
      </c>
      <c r="Q140" s="11"/>
      <c r="R140" s="10"/>
      <c r="S140" s="10"/>
    </row>
    <row r="141" spans="1:19" s="9" customFormat="1" ht="12.75" customHeight="1">
      <c r="A141" s="221" t="s">
        <v>72</v>
      </c>
      <c r="B141" s="139" t="s">
        <v>293</v>
      </c>
      <c r="C141" s="140">
        <v>21</v>
      </c>
      <c r="D141" s="140">
        <v>2005</v>
      </c>
      <c r="E141" s="88">
        <v>33.433</v>
      </c>
      <c r="F141" s="88">
        <v>5.244956</v>
      </c>
      <c r="G141" s="88">
        <v>1.68</v>
      </c>
      <c r="H141" s="88">
        <v>26.508043999999998</v>
      </c>
      <c r="I141" s="141">
        <v>1763.36</v>
      </c>
      <c r="J141" s="88">
        <v>26.508036999999998</v>
      </c>
      <c r="K141" s="141">
        <v>1763.36</v>
      </c>
      <c r="L141" s="142">
        <f>J141/K141</f>
        <v>0.015032685895109336</v>
      </c>
      <c r="M141" s="140">
        <v>296.48</v>
      </c>
      <c r="N141" s="56">
        <f>L141*M141</f>
        <v>4.456890714182016</v>
      </c>
      <c r="O141" s="56">
        <f>L141*60*1000</f>
        <v>901.9611537065601</v>
      </c>
      <c r="P141" s="150">
        <f>O141*M141/1000</f>
        <v>267.41344285092094</v>
      </c>
      <c r="R141" s="45"/>
      <c r="S141" s="10"/>
    </row>
    <row r="142" spans="1:22" s="9" customFormat="1" ht="12.75">
      <c r="A142" s="221"/>
      <c r="B142" s="49" t="s">
        <v>729</v>
      </c>
      <c r="C142" s="24">
        <v>60</v>
      </c>
      <c r="D142" s="24">
        <v>1968</v>
      </c>
      <c r="E142" s="87">
        <v>56.1</v>
      </c>
      <c r="F142" s="87">
        <v>4.9573</v>
      </c>
      <c r="G142" s="87">
        <v>9.6</v>
      </c>
      <c r="H142" s="87">
        <v>41.54</v>
      </c>
      <c r="I142" s="35">
        <v>2731.74</v>
      </c>
      <c r="J142" s="87">
        <v>41.54</v>
      </c>
      <c r="K142" s="35">
        <v>2731.74</v>
      </c>
      <c r="L142" s="50">
        <f>J142/K142</f>
        <v>0.015206425208841252</v>
      </c>
      <c r="M142" s="27">
        <v>263.899</v>
      </c>
      <c r="N142" s="27">
        <f>L142*M142</f>
        <v>4.0129604061879975</v>
      </c>
      <c r="O142" s="27">
        <f>L142*1000*60</f>
        <v>912.3855125304751</v>
      </c>
      <c r="P142" s="51">
        <f>N142*60</f>
        <v>240.77762437127984</v>
      </c>
      <c r="Q142" s="10"/>
      <c r="R142" s="10"/>
      <c r="S142" s="10"/>
      <c r="T142" s="12"/>
      <c r="U142" s="13"/>
      <c r="V142" s="13"/>
    </row>
    <row r="143" spans="1:22" s="9" customFormat="1" ht="12.75">
      <c r="A143" s="221"/>
      <c r="B143" s="49" t="s">
        <v>90</v>
      </c>
      <c r="C143" s="24">
        <v>61</v>
      </c>
      <c r="D143" s="24">
        <v>1975</v>
      </c>
      <c r="E143" s="87">
        <v>72.96</v>
      </c>
      <c r="F143" s="87">
        <v>8</v>
      </c>
      <c r="G143" s="87">
        <v>9.6</v>
      </c>
      <c r="H143" s="87">
        <f>E143-F143-G143</f>
        <v>55.35999999999999</v>
      </c>
      <c r="I143" s="35">
        <v>3635</v>
      </c>
      <c r="J143" s="87">
        <f>H143/I143*K143</f>
        <v>55.35999999999999</v>
      </c>
      <c r="K143" s="24">
        <v>3635</v>
      </c>
      <c r="L143" s="50">
        <f>J143/K143</f>
        <v>0.015229711141678128</v>
      </c>
      <c r="M143" s="27">
        <v>323.29400000000004</v>
      </c>
      <c r="N143" s="27">
        <f>L143*M143</f>
        <v>4.923674233837689</v>
      </c>
      <c r="O143" s="27">
        <f>L143*60*1000</f>
        <v>913.7826685006877</v>
      </c>
      <c r="P143" s="51">
        <f>O143*M143/1000</f>
        <v>295.4204540302614</v>
      </c>
      <c r="Q143" s="10"/>
      <c r="R143" s="10"/>
      <c r="S143" s="10"/>
      <c r="T143" s="12"/>
      <c r="U143" s="13"/>
      <c r="V143" s="13"/>
    </row>
    <row r="144" spans="1:19" s="9" customFormat="1" ht="12.75">
      <c r="A144" s="221"/>
      <c r="B144" s="97" t="s">
        <v>302</v>
      </c>
      <c r="C144" s="28">
        <v>54</v>
      </c>
      <c r="D144" s="28">
        <v>2007</v>
      </c>
      <c r="E144" s="38">
        <v>54.862</v>
      </c>
      <c r="F144" s="38">
        <v>4.641</v>
      </c>
      <c r="G144" s="38">
        <v>2.494</v>
      </c>
      <c r="H144" s="38">
        <v>47.727</v>
      </c>
      <c r="I144" s="43">
        <v>3133.4</v>
      </c>
      <c r="J144" s="38">
        <v>47.727</v>
      </c>
      <c r="K144" s="43">
        <v>3133.4</v>
      </c>
      <c r="L144" s="63">
        <f>J144/K144</f>
        <v>0.015231697197931958</v>
      </c>
      <c r="M144" s="31">
        <v>300</v>
      </c>
      <c r="N144" s="65">
        <f>L144*M144</f>
        <v>4.569509159379588</v>
      </c>
      <c r="O144" s="65">
        <f>L144*60*1000</f>
        <v>913.9018318759174</v>
      </c>
      <c r="P144" s="64">
        <f>O144*M144/1000</f>
        <v>274.17054956277525</v>
      </c>
      <c r="R144" s="10"/>
      <c r="S144" s="10"/>
    </row>
    <row r="145" spans="1:19" s="9" customFormat="1" ht="12.75">
      <c r="A145" s="221"/>
      <c r="B145" s="49" t="s">
        <v>143</v>
      </c>
      <c r="C145" s="24">
        <v>50</v>
      </c>
      <c r="D145" s="24">
        <v>1992</v>
      </c>
      <c r="E145" s="87">
        <f>SUM(F145:H145)</f>
        <v>50.751999</v>
      </c>
      <c r="F145" s="87">
        <v>4.993563</v>
      </c>
      <c r="G145" s="87">
        <v>7.84</v>
      </c>
      <c r="H145" s="87">
        <v>37.918436</v>
      </c>
      <c r="I145" s="35">
        <v>2469.68</v>
      </c>
      <c r="J145" s="87">
        <v>37.918436</v>
      </c>
      <c r="K145" s="35">
        <v>2469.68</v>
      </c>
      <c r="L145" s="50">
        <f>J145/K145</f>
        <v>0.015353582650383857</v>
      </c>
      <c r="M145" s="27">
        <v>284.9</v>
      </c>
      <c r="N145" s="27">
        <f>L145*M145*1.09</f>
        <v>4.767916909832853</v>
      </c>
      <c r="O145" s="27">
        <f>L145*60*1000</f>
        <v>921.2149590230314</v>
      </c>
      <c r="P145" s="51">
        <f>N145*60</f>
        <v>286.0750145899712</v>
      </c>
      <c r="R145" s="10"/>
      <c r="S145" s="10"/>
    </row>
    <row r="146" spans="1:19" s="9" customFormat="1" ht="12.75">
      <c r="A146" s="221"/>
      <c r="B146" s="62" t="s">
        <v>227</v>
      </c>
      <c r="C146" s="28">
        <v>20</v>
      </c>
      <c r="D146" s="28">
        <v>1975</v>
      </c>
      <c r="E146" s="38">
        <v>23.053</v>
      </c>
      <c r="F146" s="38">
        <v>2.14</v>
      </c>
      <c r="G146" s="38">
        <v>3.2</v>
      </c>
      <c r="H146" s="38">
        <v>17.71</v>
      </c>
      <c r="I146" s="43">
        <v>1147.92</v>
      </c>
      <c r="J146" s="38">
        <v>17.71</v>
      </c>
      <c r="K146" s="43">
        <v>1147.92</v>
      </c>
      <c r="L146" s="63">
        <f>J146/K146</f>
        <v>0.015427904383580738</v>
      </c>
      <c r="M146" s="31">
        <v>328.199</v>
      </c>
      <c r="N146" s="65">
        <f>L146*M146</f>
        <v>5.063422790786815</v>
      </c>
      <c r="O146" s="65">
        <f>L146*60*1000</f>
        <v>925.6742630148442</v>
      </c>
      <c r="P146" s="64">
        <f>O146*M146/1000</f>
        <v>303.8053674472088</v>
      </c>
      <c r="Q146" s="11"/>
      <c r="R146" s="10"/>
      <c r="S146" s="10"/>
    </row>
    <row r="147" spans="1:16" s="9" customFormat="1" ht="13.5" customHeight="1">
      <c r="A147" s="221"/>
      <c r="B147" s="49" t="s">
        <v>86</v>
      </c>
      <c r="C147" s="24">
        <v>72</v>
      </c>
      <c r="D147" s="24">
        <v>2005</v>
      </c>
      <c r="E147" s="87">
        <v>99.31</v>
      </c>
      <c r="F147" s="87">
        <v>16.14</v>
      </c>
      <c r="G147" s="87">
        <v>0.47</v>
      </c>
      <c r="H147" s="87">
        <f>E147-F147-G147</f>
        <v>82.7</v>
      </c>
      <c r="I147" s="35">
        <v>5350.7</v>
      </c>
      <c r="J147" s="87">
        <f>H147/I147*K147</f>
        <v>82.70463677649653</v>
      </c>
      <c r="K147" s="24">
        <v>5351</v>
      </c>
      <c r="L147" s="50">
        <f>J147/K147</f>
        <v>0.015455921655110545</v>
      </c>
      <c r="M147" s="27">
        <v>323.29400000000004</v>
      </c>
      <c r="N147" s="27">
        <f>L147*M147</f>
        <v>4.996806735567309</v>
      </c>
      <c r="O147" s="27">
        <f>L147*60*1000</f>
        <v>927.3552993066328</v>
      </c>
      <c r="P147" s="51">
        <f>O147*M147/1000</f>
        <v>299.8084041340386</v>
      </c>
    </row>
    <row r="148" spans="1:19" s="9" customFormat="1" ht="11.25" customHeight="1">
      <c r="A148" s="221"/>
      <c r="B148" s="62" t="s">
        <v>663</v>
      </c>
      <c r="C148" s="28">
        <v>75</v>
      </c>
      <c r="D148" s="28" t="s">
        <v>24</v>
      </c>
      <c r="E148" s="38">
        <v>80.31</v>
      </c>
      <c r="F148" s="38">
        <v>6.73</v>
      </c>
      <c r="G148" s="38">
        <v>11.85</v>
      </c>
      <c r="H148" s="38">
        <v>61.73</v>
      </c>
      <c r="I148" s="43">
        <v>3987</v>
      </c>
      <c r="J148" s="38">
        <v>61.73</v>
      </c>
      <c r="K148" s="43">
        <v>3987</v>
      </c>
      <c r="L148" s="63">
        <f>J148/K148</f>
        <v>0.0154828191622774</v>
      </c>
      <c r="M148" s="31">
        <v>235.3</v>
      </c>
      <c r="N148" s="65">
        <f>L148*M148</f>
        <v>3.6431073488838726</v>
      </c>
      <c r="O148" s="65">
        <f>L148*60*1000</f>
        <v>928.969149736644</v>
      </c>
      <c r="P148" s="64">
        <f>O148*M148/1000</f>
        <v>218.58644093303235</v>
      </c>
      <c r="R148" s="10"/>
      <c r="S148" s="10"/>
    </row>
    <row r="149" spans="1:16" s="9" customFormat="1" ht="12.75" customHeight="1">
      <c r="A149" s="221"/>
      <c r="B149" s="113" t="s">
        <v>307</v>
      </c>
      <c r="C149" s="114">
        <v>40</v>
      </c>
      <c r="D149" s="24">
        <v>1996</v>
      </c>
      <c r="E149" s="87">
        <f>+F149+G149+H149</f>
        <v>46.823</v>
      </c>
      <c r="F149" s="115">
        <v>5.916</v>
      </c>
      <c r="G149" s="115">
        <v>6.4</v>
      </c>
      <c r="H149" s="115">
        <v>34.507</v>
      </c>
      <c r="I149" s="116">
        <v>2226.71</v>
      </c>
      <c r="J149" s="115">
        <v>34.507</v>
      </c>
      <c r="K149" s="116">
        <v>2226.71</v>
      </c>
      <c r="L149" s="50">
        <f>+J149/K149</f>
        <v>0.01549685410313871</v>
      </c>
      <c r="M149" s="27">
        <v>340.189</v>
      </c>
      <c r="N149" s="27">
        <f>+L149*M149</f>
        <v>5.271859300492655</v>
      </c>
      <c r="O149" s="27">
        <f>+L149*60*1000</f>
        <v>929.8112461883226</v>
      </c>
      <c r="P149" s="51">
        <f>+N149*60</f>
        <v>316.3115580295593</v>
      </c>
    </row>
    <row r="150" spans="1:19" s="9" customFormat="1" ht="12.75">
      <c r="A150" s="221"/>
      <c r="B150" s="251" t="s">
        <v>538</v>
      </c>
      <c r="C150" s="163">
        <v>20</v>
      </c>
      <c r="D150" s="164" t="s">
        <v>527</v>
      </c>
      <c r="E150" s="165">
        <v>24.2</v>
      </c>
      <c r="F150" s="165">
        <v>2.54</v>
      </c>
      <c r="G150" s="166">
        <v>3.2</v>
      </c>
      <c r="H150" s="165">
        <v>18.46</v>
      </c>
      <c r="I150" s="167">
        <v>1189.16</v>
      </c>
      <c r="J150" s="165">
        <v>18.46</v>
      </c>
      <c r="K150" s="167">
        <v>1189.16</v>
      </c>
      <c r="L150" s="63">
        <f>J150/K150</f>
        <v>0.015523562851088163</v>
      </c>
      <c r="M150" s="31">
        <v>266.83</v>
      </c>
      <c r="N150" s="65">
        <f>L150*M150</f>
        <v>4.142152275555854</v>
      </c>
      <c r="O150" s="65">
        <f>L150*60*1000</f>
        <v>931.4137710652898</v>
      </c>
      <c r="P150" s="64">
        <f>O150*M150/1000</f>
        <v>248.52913653335128</v>
      </c>
      <c r="R150" s="10"/>
      <c r="S150" s="10"/>
    </row>
    <row r="151" spans="1:19" s="9" customFormat="1" ht="12.75">
      <c r="A151" s="221"/>
      <c r="B151" s="49" t="s">
        <v>159</v>
      </c>
      <c r="C151" s="24">
        <v>30</v>
      </c>
      <c r="D151" s="24" t="s">
        <v>24</v>
      </c>
      <c r="E151" s="87">
        <f>F151+G151+H151</f>
        <v>34.15</v>
      </c>
      <c r="F151" s="204">
        <v>2.6344</v>
      </c>
      <c r="G151" s="87">
        <v>4.8</v>
      </c>
      <c r="H151" s="87">
        <v>26.7156</v>
      </c>
      <c r="I151" s="35">
        <v>1712.83</v>
      </c>
      <c r="J151" s="87">
        <v>26.7156</v>
      </c>
      <c r="K151" s="35">
        <v>1712.83</v>
      </c>
      <c r="L151" s="50">
        <f>J151/K151</f>
        <v>0.015597344745246171</v>
      </c>
      <c r="M151" s="27">
        <v>207.1</v>
      </c>
      <c r="N151" s="27">
        <f>L151*M151</f>
        <v>3.230210096740482</v>
      </c>
      <c r="O151" s="27">
        <f>L151*1000*60</f>
        <v>935.8406847147703</v>
      </c>
      <c r="P151" s="51">
        <f>N151*60</f>
        <v>193.81260580442893</v>
      </c>
      <c r="R151" s="10"/>
      <c r="S151" s="10"/>
    </row>
    <row r="152" spans="1:19" s="9" customFormat="1" ht="12.75">
      <c r="A152" s="221"/>
      <c r="B152" s="62" t="s">
        <v>885</v>
      </c>
      <c r="C152" s="28">
        <v>40</v>
      </c>
      <c r="D152" s="28" t="s">
        <v>158</v>
      </c>
      <c r="E152" s="38"/>
      <c r="F152" s="38">
        <v>3.15945</v>
      </c>
      <c r="G152" s="38">
        <v>5.933795</v>
      </c>
      <c r="H152" s="38">
        <v>37.204542000000004</v>
      </c>
      <c r="I152" s="43">
        <v>2370.01</v>
      </c>
      <c r="J152" s="38">
        <v>37.204542000000004</v>
      </c>
      <c r="K152" s="43">
        <v>2370.01</v>
      </c>
      <c r="L152" s="63">
        <f>J152/K152</f>
        <v>0.015698052750832275</v>
      </c>
      <c r="M152" s="31">
        <v>283.618</v>
      </c>
      <c r="N152" s="65">
        <f>L152*M152</f>
        <v>4.452250325085548</v>
      </c>
      <c r="O152" s="65">
        <f>L152*60*1000</f>
        <v>941.8831650499366</v>
      </c>
      <c r="P152" s="64">
        <f>O152*M152/1000</f>
        <v>267.1350195051329</v>
      </c>
      <c r="Q152" s="11"/>
      <c r="R152" s="10"/>
      <c r="S152" s="10"/>
    </row>
    <row r="153" spans="1:19" s="9" customFormat="1" ht="12.75">
      <c r="A153" s="221"/>
      <c r="B153" s="62" t="s">
        <v>206</v>
      </c>
      <c r="C153" s="28">
        <v>20</v>
      </c>
      <c r="D153" s="28">
        <v>2010</v>
      </c>
      <c r="E153" s="38">
        <v>17.113</v>
      </c>
      <c r="F153" s="38">
        <v>1.581</v>
      </c>
      <c r="G153" s="38">
        <v>0.8</v>
      </c>
      <c r="H153" s="38">
        <v>14.732</v>
      </c>
      <c r="I153" s="43">
        <v>935.41</v>
      </c>
      <c r="J153" s="38">
        <v>14.732</v>
      </c>
      <c r="K153" s="43">
        <v>935.41</v>
      </c>
      <c r="L153" s="63">
        <f>J153/K153</f>
        <v>0.015749243647170758</v>
      </c>
      <c r="M153" s="31">
        <v>337.137</v>
      </c>
      <c r="N153" s="65">
        <f>L153*M153</f>
        <v>5.309652755476208</v>
      </c>
      <c r="O153" s="65">
        <f>L153*60*1000</f>
        <v>944.9546188302454</v>
      </c>
      <c r="P153" s="64">
        <f>O153*M153/1000</f>
        <v>318.57916532857246</v>
      </c>
      <c r="R153" s="10"/>
      <c r="S153" s="10"/>
    </row>
    <row r="154" spans="1:19" s="9" customFormat="1" ht="12.75">
      <c r="A154" s="221"/>
      <c r="B154" s="251" t="s">
        <v>539</v>
      </c>
      <c r="C154" s="163">
        <v>119</v>
      </c>
      <c r="D154" s="164" t="s">
        <v>24</v>
      </c>
      <c r="E154" s="165">
        <v>122.85</v>
      </c>
      <c r="F154" s="165">
        <v>13.46</v>
      </c>
      <c r="G154" s="166">
        <v>19.04</v>
      </c>
      <c r="H154" s="165">
        <v>90.35</v>
      </c>
      <c r="I154" s="167">
        <v>5732.68</v>
      </c>
      <c r="J154" s="165">
        <v>90.35</v>
      </c>
      <c r="K154" s="167">
        <v>5732.68</v>
      </c>
      <c r="L154" s="63">
        <f>J154/K154</f>
        <v>0.015760516896111416</v>
      </c>
      <c r="M154" s="31">
        <v>266.83</v>
      </c>
      <c r="N154" s="65">
        <f>L154*M154</f>
        <v>4.205378723389409</v>
      </c>
      <c r="O154" s="65">
        <f>L154*60*1000</f>
        <v>945.631013766685</v>
      </c>
      <c r="P154" s="64">
        <f>O154*M154/1000</f>
        <v>252.32272340336453</v>
      </c>
      <c r="R154" s="10"/>
      <c r="S154" s="10"/>
    </row>
    <row r="155" spans="1:19" s="9" customFormat="1" ht="12.75">
      <c r="A155" s="221"/>
      <c r="B155" s="62" t="s">
        <v>496</v>
      </c>
      <c r="C155" s="28">
        <v>90</v>
      </c>
      <c r="D155" s="28">
        <v>1974</v>
      </c>
      <c r="E155" s="38">
        <v>91</v>
      </c>
      <c r="F155" s="38">
        <v>9.9762</v>
      </c>
      <c r="G155" s="38">
        <v>8.97</v>
      </c>
      <c r="H155" s="38">
        <f>E155-F155-G155</f>
        <v>72.0538</v>
      </c>
      <c r="I155" s="43">
        <v>4571.25</v>
      </c>
      <c r="J155" s="38">
        <f>H155</f>
        <v>72.0538</v>
      </c>
      <c r="K155" s="43">
        <f>I155</f>
        <v>4571.25</v>
      </c>
      <c r="L155" s="63">
        <f>J155/K155</f>
        <v>0.015762384468143285</v>
      </c>
      <c r="M155" s="31">
        <v>279.476</v>
      </c>
      <c r="N155" s="65">
        <f>L155*M155</f>
        <v>4.405208161618813</v>
      </c>
      <c r="O155" s="65">
        <f>L155*60*1000</f>
        <v>945.743068088597</v>
      </c>
      <c r="P155" s="64">
        <f>O155*M155/1000</f>
        <v>264.31248969712874</v>
      </c>
      <c r="R155" s="10"/>
      <c r="S155" s="10"/>
    </row>
    <row r="156" spans="1:19" s="9" customFormat="1" ht="12.75">
      <c r="A156" s="221"/>
      <c r="B156" s="62" t="s">
        <v>116</v>
      </c>
      <c r="C156" s="28">
        <v>54</v>
      </c>
      <c r="D156" s="28">
        <v>2008</v>
      </c>
      <c r="E156" s="38">
        <v>60.046</v>
      </c>
      <c r="F156" s="38">
        <v>8.67</v>
      </c>
      <c r="G156" s="38">
        <v>1.917648</v>
      </c>
      <c r="H156" s="38">
        <v>60.046</v>
      </c>
      <c r="I156" s="43">
        <v>3786.21</v>
      </c>
      <c r="J156" s="38">
        <v>26.1822</v>
      </c>
      <c r="K156" s="43">
        <v>2030.27</v>
      </c>
      <c r="L156" s="63">
        <v>0.015859130898708735</v>
      </c>
      <c r="M156" s="31">
        <v>302.37</v>
      </c>
      <c r="N156" s="65">
        <f>L156*M156</f>
        <v>4.79532540984256</v>
      </c>
      <c r="O156" s="65">
        <f>L156*60*1000</f>
        <v>951.547853922524</v>
      </c>
      <c r="P156" s="64">
        <f>N156*60</f>
        <v>287.7195245905536</v>
      </c>
      <c r="Q156" s="11"/>
      <c r="R156" s="10"/>
      <c r="S156" s="10"/>
    </row>
    <row r="157" spans="1:19" s="9" customFormat="1" ht="12.75">
      <c r="A157" s="221"/>
      <c r="B157" s="49" t="s">
        <v>54</v>
      </c>
      <c r="C157" s="24">
        <v>22</v>
      </c>
      <c r="D157" s="24">
        <v>2006</v>
      </c>
      <c r="E157" s="87">
        <v>29.95</v>
      </c>
      <c r="F157" s="87">
        <v>2.96</v>
      </c>
      <c r="G157" s="87"/>
      <c r="H157" s="87">
        <f>E157-F157-G157</f>
        <v>26.99</v>
      </c>
      <c r="I157" s="35">
        <v>1698.2</v>
      </c>
      <c r="J157" s="87">
        <f>H157/I157*K157</f>
        <v>26.986821340242606</v>
      </c>
      <c r="K157" s="24">
        <v>1698</v>
      </c>
      <c r="L157" s="50">
        <f>J157/K157</f>
        <v>0.015893298786950887</v>
      </c>
      <c r="M157" s="27">
        <v>323.29400000000004</v>
      </c>
      <c r="N157" s="27">
        <f>L157*M157</f>
        <v>5.1382081380285</v>
      </c>
      <c r="O157" s="27">
        <f>L157*60*1000</f>
        <v>953.5979272170532</v>
      </c>
      <c r="P157" s="51">
        <f>O157*M157/1000</f>
        <v>308.29248828171</v>
      </c>
      <c r="R157" s="10"/>
      <c r="S157" s="10"/>
    </row>
    <row r="158" spans="1:19" s="9" customFormat="1" ht="12.75" customHeight="1">
      <c r="A158" s="221"/>
      <c r="B158" s="49" t="s">
        <v>185</v>
      </c>
      <c r="C158" s="24">
        <v>72</v>
      </c>
      <c r="D158" s="24">
        <v>1973</v>
      </c>
      <c r="E158" s="87">
        <v>79.03</v>
      </c>
      <c r="F158" s="87">
        <v>7.24</v>
      </c>
      <c r="G158" s="87">
        <v>11.52</v>
      </c>
      <c r="H158" s="87">
        <f>E158-F158-G158</f>
        <v>60.27000000000001</v>
      </c>
      <c r="I158" s="35">
        <v>3785.4</v>
      </c>
      <c r="J158" s="87">
        <f>H158/I158*K158</f>
        <v>60.26363132033604</v>
      </c>
      <c r="K158" s="24">
        <v>3785</v>
      </c>
      <c r="L158" s="50">
        <f>J158/K158</f>
        <v>0.01592169915993026</v>
      </c>
      <c r="M158" s="27">
        <v>323.29400000000004</v>
      </c>
      <c r="N158" s="27">
        <f>L158*M158</f>
        <v>5.1473898082104945</v>
      </c>
      <c r="O158" s="27">
        <f>L158*60*1000</f>
        <v>955.3019495958157</v>
      </c>
      <c r="P158" s="51">
        <f>O158*M158/1000</f>
        <v>308.8433884926297</v>
      </c>
      <c r="R158" s="10"/>
      <c r="S158" s="10"/>
    </row>
    <row r="159" spans="1:19" s="9" customFormat="1" ht="12.75" customHeight="1">
      <c r="A159" s="221"/>
      <c r="B159" s="62" t="s">
        <v>888</v>
      </c>
      <c r="C159" s="28">
        <v>8</v>
      </c>
      <c r="D159" s="28" t="s">
        <v>158</v>
      </c>
      <c r="E159" s="38">
        <f>+F159+G159+H159</f>
        <v>7.633949</v>
      </c>
      <c r="F159" s="38">
        <v>0</v>
      </c>
      <c r="G159" s="38">
        <v>0</v>
      </c>
      <c r="H159" s="38">
        <v>7.633949</v>
      </c>
      <c r="I159" s="43">
        <v>478.14</v>
      </c>
      <c r="J159" s="38">
        <v>7.633949</v>
      </c>
      <c r="K159" s="43">
        <v>478.14</v>
      </c>
      <c r="L159" s="63">
        <f>J159/K159</f>
        <v>0.01596592838917472</v>
      </c>
      <c r="M159" s="31">
        <v>283.618</v>
      </c>
      <c r="N159" s="65">
        <f>L159*M159</f>
        <v>4.528224677880956</v>
      </c>
      <c r="O159" s="65">
        <f>L159*60*1000</f>
        <v>957.9557033504833</v>
      </c>
      <c r="P159" s="64">
        <f>O159*M159/1000</f>
        <v>271.6934806728574</v>
      </c>
      <c r="R159" s="10"/>
      <c r="S159" s="10"/>
    </row>
    <row r="160" spans="1:19" s="9" customFormat="1" ht="12.75">
      <c r="A160" s="221"/>
      <c r="B160" s="62" t="s">
        <v>228</v>
      </c>
      <c r="C160" s="28">
        <v>37</v>
      </c>
      <c r="D160" s="28">
        <v>2007</v>
      </c>
      <c r="E160" s="38">
        <v>85.829</v>
      </c>
      <c r="F160" s="38">
        <v>3.57</v>
      </c>
      <c r="G160" s="38">
        <v>4.48</v>
      </c>
      <c r="H160" s="38">
        <v>77.779</v>
      </c>
      <c r="I160" s="43">
        <v>4058.88</v>
      </c>
      <c r="J160" s="38">
        <v>42.54</v>
      </c>
      <c r="K160" s="43">
        <v>2663.94</v>
      </c>
      <c r="L160" s="63">
        <f>J160/K160</f>
        <v>0.01596882812675961</v>
      </c>
      <c r="M160" s="31">
        <v>328.199</v>
      </c>
      <c r="N160" s="65">
        <f>L160*M160</f>
        <v>5.2409534223743774</v>
      </c>
      <c r="O160" s="65">
        <f>L160*60*1000</f>
        <v>958.1296876055766</v>
      </c>
      <c r="P160" s="64">
        <f>O160*M160/1000</f>
        <v>314.45720534246266</v>
      </c>
      <c r="Q160" s="11"/>
      <c r="R160" s="10"/>
      <c r="S160" s="10"/>
    </row>
    <row r="161" spans="1:19" s="9" customFormat="1" ht="12.75">
      <c r="A161" s="221"/>
      <c r="B161" s="49" t="s">
        <v>420</v>
      </c>
      <c r="C161" s="24">
        <v>30</v>
      </c>
      <c r="D161" s="24">
        <v>1982</v>
      </c>
      <c r="E161" s="87">
        <v>35.4</v>
      </c>
      <c r="F161" s="87">
        <v>3.0447</v>
      </c>
      <c r="G161" s="87">
        <v>4.8</v>
      </c>
      <c r="H161" s="87">
        <v>27.56</v>
      </c>
      <c r="I161" s="35">
        <v>1725.45</v>
      </c>
      <c r="J161" s="87">
        <v>27.56</v>
      </c>
      <c r="K161" s="35">
        <v>1725.45</v>
      </c>
      <c r="L161" s="50">
        <f>J161/K161</f>
        <v>0.01597264481729404</v>
      </c>
      <c r="M161" s="27">
        <v>263.899</v>
      </c>
      <c r="N161" s="27">
        <f>L161*M161</f>
        <v>4.215164994639079</v>
      </c>
      <c r="O161" s="27">
        <f>L161*1000*60</f>
        <v>958.3586890376423</v>
      </c>
      <c r="P161" s="51">
        <f>N161*60</f>
        <v>252.90989967834474</v>
      </c>
      <c r="R161" s="10"/>
      <c r="S161" s="10"/>
    </row>
    <row r="162" spans="1:19" s="9" customFormat="1" ht="12.75">
      <c r="A162" s="221"/>
      <c r="B162" s="62" t="s">
        <v>889</v>
      </c>
      <c r="C162" s="28">
        <v>12</v>
      </c>
      <c r="D162" s="28" t="s">
        <v>158</v>
      </c>
      <c r="E162" s="38">
        <f>+F162+G162+H162</f>
        <v>8.466144</v>
      </c>
      <c r="F162" s="38">
        <v>0</v>
      </c>
      <c r="G162" s="38">
        <v>0</v>
      </c>
      <c r="H162" s="38">
        <v>8.466144</v>
      </c>
      <c r="I162" s="43">
        <v>529.82</v>
      </c>
      <c r="J162" s="38">
        <v>8.466144</v>
      </c>
      <c r="K162" s="43">
        <v>529.82</v>
      </c>
      <c r="L162" s="63">
        <f>J162/K162</f>
        <v>0.015979283530255555</v>
      </c>
      <c r="M162" s="31">
        <v>283.618</v>
      </c>
      <c r="N162" s="65">
        <f>L162*M162</f>
        <v>4.53201243628402</v>
      </c>
      <c r="O162" s="65">
        <f>L162*60*1000</f>
        <v>958.7570118153334</v>
      </c>
      <c r="P162" s="64">
        <f>O162*M162/1000</f>
        <v>271.9207461770412</v>
      </c>
      <c r="Q162" s="11"/>
      <c r="R162" s="10"/>
      <c r="S162" s="10"/>
    </row>
    <row r="163" spans="1:19" s="9" customFormat="1" ht="12.75">
      <c r="A163" s="221"/>
      <c r="B163" s="251" t="s">
        <v>540</v>
      </c>
      <c r="C163" s="163">
        <v>99</v>
      </c>
      <c r="D163" s="164" t="s">
        <v>24</v>
      </c>
      <c r="E163" s="165">
        <v>95.99</v>
      </c>
      <c r="F163" s="165">
        <v>8.86</v>
      </c>
      <c r="G163" s="166">
        <v>15.92</v>
      </c>
      <c r="H163" s="165">
        <v>71.21</v>
      </c>
      <c r="I163" s="168">
        <v>4437.03</v>
      </c>
      <c r="J163" s="165">
        <v>70.29</v>
      </c>
      <c r="K163" s="167">
        <v>4388.03</v>
      </c>
      <c r="L163" s="63">
        <f>J163/K163</f>
        <v>0.016018577812822614</v>
      </c>
      <c r="M163" s="31">
        <v>266.83</v>
      </c>
      <c r="N163" s="65">
        <f>L163*M163</f>
        <v>4.274237117795458</v>
      </c>
      <c r="O163" s="65">
        <f>L163*60*1000</f>
        <v>961.1146687693569</v>
      </c>
      <c r="P163" s="64">
        <f>O163*M163/1000</f>
        <v>256.45422706772746</v>
      </c>
      <c r="R163" s="10"/>
      <c r="S163" s="10"/>
    </row>
    <row r="164" spans="1:19" s="9" customFormat="1" ht="12.75">
      <c r="A164" s="221"/>
      <c r="B164" s="62" t="s">
        <v>408</v>
      </c>
      <c r="C164" s="28">
        <v>28</v>
      </c>
      <c r="D164" s="28" t="s">
        <v>24</v>
      </c>
      <c r="E164" s="38">
        <v>27.63</v>
      </c>
      <c r="F164" s="38">
        <v>2.3</v>
      </c>
      <c r="G164" s="38">
        <v>3.61</v>
      </c>
      <c r="H164" s="38">
        <v>21.72</v>
      </c>
      <c r="I164" s="43">
        <v>1350</v>
      </c>
      <c r="J164" s="38">
        <v>21.72</v>
      </c>
      <c r="K164" s="43">
        <v>1350</v>
      </c>
      <c r="L164" s="63">
        <f>J164/K164</f>
        <v>0.01608888888888889</v>
      </c>
      <c r="M164" s="31">
        <v>235.3</v>
      </c>
      <c r="N164" s="65">
        <f>L164*M164</f>
        <v>3.7857155555555555</v>
      </c>
      <c r="O164" s="65">
        <f>L164*60*1000</f>
        <v>965.3333333333334</v>
      </c>
      <c r="P164" s="64">
        <f>O164*M164/1000</f>
        <v>227.14293333333336</v>
      </c>
      <c r="R164" s="45"/>
      <c r="S164" s="10"/>
    </row>
    <row r="165" spans="1:19" s="9" customFormat="1" ht="12.75" customHeight="1">
      <c r="A165" s="221"/>
      <c r="B165" s="97" t="s">
        <v>575</v>
      </c>
      <c r="C165" s="28">
        <v>60</v>
      </c>
      <c r="D165" s="28">
        <v>1970</v>
      </c>
      <c r="E165" s="38">
        <v>60.88</v>
      </c>
      <c r="F165" s="38">
        <v>6.35</v>
      </c>
      <c r="G165" s="38">
        <v>9.6</v>
      </c>
      <c r="H165" s="38">
        <v>44.93</v>
      </c>
      <c r="I165" s="43">
        <v>2791.86</v>
      </c>
      <c r="J165" s="38">
        <v>44.404</v>
      </c>
      <c r="K165" s="43">
        <v>2759.2</v>
      </c>
      <c r="L165" s="63">
        <f>J165/K165</f>
        <v>0.01609307045520441</v>
      </c>
      <c r="M165" s="31">
        <v>300</v>
      </c>
      <c r="N165" s="65">
        <f>L165*M165</f>
        <v>4.827921136561323</v>
      </c>
      <c r="O165" s="65">
        <f>L165*60*1000</f>
        <v>965.5842273122646</v>
      </c>
      <c r="P165" s="64">
        <f>O165*M165/1000</f>
        <v>289.6752681936794</v>
      </c>
      <c r="R165" s="10"/>
      <c r="S165" s="10"/>
    </row>
    <row r="166" spans="1:19" s="9" customFormat="1" ht="12.75">
      <c r="A166" s="221"/>
      <c r="B166" s="62" t="s">
        <v>650</v>
      </c>
      <c r="C166" s="28">
        <v>13</v>
      </c>
      <c r="D166" s="28">
        <v>2009</v>
      </c>
      <c r="E166" s="38">
        <v>53.804</v>
      </c>
      <c r="F166" s="38">
        <v>1.377</v>
      </c>
      <c r="G166" s="38">
        <v>0.272</v>
      </c>
      <c r="H166" s="38">
        <v>52.155</v>
      </c>
      <c r="I166" s="43">
        <v>3628.96</v>
      </c>
      <c r="J166" s="38">
        <v>24.6</v>
      </c>
      <c r="K166" s="43">
        <v>1525.96</v>
      </c>
      <c r="L166" s="63">
        <f>J166/K166</f>
        <v>0.0161209992398228</v>
      </c>
      <c r="M166" s="31">
        <v>328.199</v>
      </c>
      <c r="N166" s="65">
        <f>L166*M166</f>
        <v>5.290895829510603</v>
      </c>
      <c r="O166" s="65">
        <f>L166*60*1000</f>
        <v>967.2599543893681</v>
      </c>
      <c r="P166" s="64">
        <f>O166*M166/1000</f>
        <v>317.4537497706362</v>
      </c>
      <c r="R166" s="10"/>
      <c r="S166" s="10"/>
    </row>
    <row r="167" spans="1:19" s="9" customFormat="1" ht="12.75">
      <c r="A167" s="221"/>
      <c r="B167" s="113" t="s">
        <v>102</v>
      </c>
      <c r="C167" s="114">
        <v>41</v>
      </c>
      <c r="D167" s="24">
        <v>1993</v>
      </c>
      <c r="E167" s="87">
        <f>+F167+G167+H167</f>
        <v>48.979003999999996</v>
      </c>
      <c r="F167" s="115">
        <v>6.051938</v>
      </c>
      <c r="G167" s="115">
        <v>6.4</v>
      </c>
      <c r="H167" s="115">
        <v>36.527066</v>
      </c>
      <c r="I167" s="116">
        <v>2265.61</v>
      </c>
      <c r="J167" s="115">
        <v>36.527066</v>
      </c>
      <c r="K167" s="116">
        <v>2265.61</v>
      </c>
      <c r="L167" s="50">
        <f>+J167/K167</f>
        <v>0.016122397941393266</v>
      </c>
      <c r="M167" s="27">
        <v>340.189</v>
      </c>
      <c r="N167" s="27">
        <f>+L167*M167</f>
        <v>5.484662433284634</v>
      </c>
      <c r="O167" s="27">
        <f>+L167*60*1000</f>
        <v>967.343876483596</v>
      </c>
      <c r="P167" s="51">
        <f>+N167*60</f>
        <v>329.079745997078</v>
      </c>
      <c r="R167" s="10"/>
      <c r="S167" s="10"/>
    </row>
    <row r="168" spans="1:19" s="9" customFormat="1" ht="12.75" customHeight="1">
      <c r="A168" s="221"/>
      <c r="B168" s="49" t="s">
        <v>168</v>
      </c>
      <c r="C168" s="24">
        <v>30</v>
      </c>
      <c r="D168" s="24">
        <v>2007</v>
      </c>
      <c r="E168" s="87">
        <v>28.7</v>
      </c>
      <c r="F168" s="87">
        <v>3.23</v>
      </c>
      <c r="G168" s="87">
        <v>2.4</v>
      </c>
      <c r="H168" s="87">
        <v>23.07</v>
      </c>
      <c r="I168" s="35">
        <v>1423.9</v>
      </c>
      <c r="J168" s="87">
        <v>23.07</v>
      </c>
      <c r="K168" s="35">
        <v>1423.9</v>
      </c>
      <c r="L168" s="50">
        <f>J168/K168</f>
        <v>0.01620198047615703</v>
      </c>
      <c r="M168" s="27">
        <v>263.899</v>
      </c>
      <c r="N168" s="27">
        <f>L168*M168</f>
        <v>4.275686445677365</v>
      </c>
      <c r="O168" s="27">
        <f>L168*1000*60</f>
        <v>972.118828569422</v>
      </c>
      <c r="P168" s="51">
        <f>N168*60</f>
        <v>256.5411867406419</v>
      </c>
      <c r="R168" s="10"/>
      <c r="S168" s="10"/>
    </row>
    <row r="169" spans="1:19" s="9" customFormat="1" ht="12.75">
      <c r="A169" s="221"/>
      <c r="B169" s="113" t="s">
        <v>591</v>
      </c>
      <c r="C169" s="114">
        <v>52</v>
      </c>
      <c r="D169" s="24">
        <v>1980</v>
      </c>
      <c r="E169" s="87">
        <f>+F169+G169+H169</f>
        <v>59.881998</v>
      </c>
      <c r="F169" s="115">
        <v>9.442312</v>
      </c>
      <c r="G169" s="115">
        <v>8</v>
      </c>
      <c r="H169" s="115">
        <v>42.439686</v>
      </c>
      <c r="I169" s="116">
        <v>2607.51</v>
      </c>
      <c r="J169" s="115">
        <v>42.439686</v>
      </c>
      <c r="K169" s="116">
        <v>2607.51</v>
      </c>
      <c r="L169" s="50">
        <f>+J169/K169</f>
        <v>0.016275943716419113</v>
      </c>
      <c r="M169" s="27">
        <v>340.189</v>
      </c>
      <c r="N169" s="27">
        <f>+L169*M169</f>
        <v>5.536897016944902</v>
      </c>
      <c r="O169" s="27">
        <f>+L169*60*1000</f>
        <v>976.5566229851468</v>
      </c>
      <c r="P169" s="51">
        <f>+N169*60</f>
        <v>332.2138210166941</v>
      </c>
      <c r="R169" s="10"/>
      <c r="S169" s="10"/>
    </row>
    <row r="170" spans="1:19" s="9" customFormat="1" ht="12.75">
      <c r="A170" s="221"/>
      <c r="B170" s="254" t="s">
        <v>215</v>
      </c>
      <c r="C170" s="131">
        <v>58</v>
      </c>
      <c r="D170" s="28">
        <v>1975</v>
      </c>
      <c r="E170" s="38">
        <f>F170+G170+H170</f>
        <v>59.938995000000006</v>
      </c>
      <c r="F170" s="121">
        <v>6.145499999999999</v>
      </c>
      <c r="G170" s="121">
        <v>9.52</v>
      </c>
      <c r="H170" s="121">
        <v>44.273495000000004</v>
      </c>
      <c r="I170" s="122">
        <v>2706.9700000000003</v>
      </c>
      <c r="J170" s="121">
        <v>44.273495000000004</v>
      </c>
      <c r="K170" s="122">
        <v>2706.9700000000003</v>
      </c>
      <c r="L170" s="63">
        <f>J170/K170</f>
        <v>0.016355369656848803</v>
      </c>
      <c r="M170" s="31">
        <v>314.465</v>
      </c>
      <c r="N170" s="65">
        <f>L170*M170</f>
        <v>5.143191319140958</v>
      </c>
      <c r="O170" s="65">
        <f>L170*60*1000</f>
        <v>981.3221794109281</v>
      </c>
      <c r="P170" s="64">
        <f>O170*M170/1000</f>
        <v>308.5914791484575</v>
      </c>
      <c r="Q170" s="11"/>
      <c r="R170" s="10"/>
      <c r="S170" s="10"/>
    </row>
    <row r="171" spans="1:19" s="9" customFormat="1" ht="12.75">
      <c r="A171" s="221"/>
      <c r="B171" s="113" t="s">
        <v>592</v>
      </c>
      <c r="C171" s="114">
        <v>55</v>
      </c>
      <c r="D171" s="24">
        <v>1995</v>
      </c>
      <c r="E171" s="87">
        <f>+F171+G171+H171</f>
        <v>71.60300000000001</v>
      </c>
      <c r="F171" s="115">
        <v>7.752000000000001</v>
      </c>
      <c r="G171" s="115">
        <v>8.8</v>
      </c>
      <c r="H171" s="115">
        <v>55.051</v>
      </c>
      <c r="I171" s="116">
        <v>3364.89</v>
      </c>
      <c r="J171" s="115">
        <v>55.051</v>
      </c>
      <c r="K171" s="116">
        <v>3364.89</v>
      </c>
      <c r="L171" s="50">
        <f>+J171/K171</f>
        <v>0.016360415942274487</v>
      </c>
      <c r="M171" s="27">
        <v>340.189</v>
      </c>
      <c r="N171" s="27">
        <f>+L171*M171</f>
        <v>5.5656335389864156</v>
      </c>
      <c r="O171" s="27">
        <f>+L171*60*1000</f>
        <v>981.6249565364692</v>
      </c>
      <c r="P171" s="51">
        <f>+N171*60</f>
        <v>333.9380123391849</v>
      </c>
      <c r="Q171" s="11"/>
      <c r="R171" s="10"/>
      <c r="S171" s="10"/>
    </row>
    <row r="172" spans="1:19" s="9" customFormat="1" ht="12.75">
      <c r="A172" s="221"/>
      <c r="B172" s="62" t="s">
        <v>225</v>
      </c>
      <c r="C172" s="28">
        <v>20</v>
      </c>
      <c r="D172" s="28">
        <v>1975</v>
      </c>
      <c r="E172" s="38">
        <v>23.483</v>
      </c>
      <c r="F172" s="38">
        <v>1.84</v>
      </c>
      <c r="G172" s="38">
        <v>3.2</v>
      </c>
      <c r="H172" s="38">
        <v>18.45</v>
      </c>
      <c r="I172" s="43">
        <v>1127.03</v>
      </c>
      <c r="J172" s="38">
        <v>18.45</v>
      </c>
      <c r="K172" s="43">
        <v>1127.03</v>
      </c>
      <c r="L172" s="63">
        <f>J172/K172</f>
        <v>0.016370460413653583</v>
      </c>
      <c r="M172" s="31">
        <v>328.199</v>
      </c>
      <c r="N172" s="65">
        <f>L172*M172</f>
        <v>5.372768737300692</v>
      </c>
      <c r="O172" s="65">
        <f>L172*60*1000</f>
        <v>982.227624819215</v>
      </c>
      <c r="P172" s="64">
        <f>O172*M172/1000</f>
        <v>322.3661242380415</v>
      </c>
      <c r="R172" s="10"/>
      <c r="S172" s="10"/>
    </row>
    <row r="173" spans="1:19" s="9" customFormat="1" ht="12.75">
      <c r="A173" s="221"/>
      <c r="B173" s="62" t="s">
        <v>115</v>
      </c>
      <c r="C173" s="28">
        <v>54</v>
      </c>
      <c r="D173" s="28">
        <v>1992</v>
      </c>
      <c r="E173" s="38">
        <v>57.816975</v>
      </c>
      <c r="F173" s="38">
        <v>6.010554</v>
      </c>
      <c r="G173" s="38">
        <v>8.64</v>
      </c>
      <c r="H173" s="38">
        <v>43.166444</v>
      </c>
      <c r="I173" s="43">
        <v>2632.94</v>
      </c>
      <c r="J173" s="38">
        <v>43.166444</v>
      </c>
      <c r="K173" s="43">
        <v>2632.94</v>
      </c>
      <c r="L173" s="63">
        <v>0.016394769345294612</v>
      </c>
      <c r="M173" s="31">
        <v>302.37</v>
      </c>
      <c r="N173" s="65">
        <f>L173*M173</f>
        <v>4.957286406936732</v>
      </c>
      <c r="O173" s="65">
        <f>L173*60*1000</f>
        <v>983.6861607176768</v>
      </c>
      <c r="P173" s="64">
        <f>N173*60</f>
        <v>297.43718441620393</v>
      </c>
      <c r="Q173" s="11"/>
      <c r="R173" s="10"/>
      <c r="S173" s="10"/>
    </row>
    <row r="174" spans="1:19" s="9" customFormat="1" ht="12.75" customHeight="1">
      <c r="A174" s="221"/>
      <c r="B174" s="49" t="s">
        <v>48</v>
      </c>
      <c r="C174" s="24">
        <v>118</v>
      </c>
      <c r="D174" s="24">
        <v>2007</v>
      </c>
      <c r="E174" s="87">
        <v>152.5</v>
      </c>
      <c r="F174" s="87">
        <v>19.99</v>
      </c>
      <c r="G174" s="87">
        <v>5.33</v>
      </c>
      <c r="H174" s="87">
        <f>E174-F174-G174</f>
        <v>127.17999999999999</v>
      </c>
      <c r="I174" s="35">
        <v>7738</v>
      </c>
      <c r="J174" s="87">
        <f>H174/I174*K174</f>
        <v>114.77099250452312</v>
      </c>
      <c r="K174" s="24">
        <v>6983</v>
      </c>
      <c r="L174" s="50">
        <f>J174/K174</f>
        <v>0.016435771517187902</v>
      </c>
      <c r="M174" s="27">
        <v>323.29400000000004</v>
      </c>
      <c r="N174" s="27">
        <f>L174*M174</f>
        <v>5.313586316877746</v>
      </c>
      <c r="O174" s="27">
        <f>L174*60*1000</f>
        <v>986.1462910312741</v>
      </c>
      <c r="P174" s="51">
        <f>O174*M174/1000</f>
        <v>318.81517901266477</v>
      </c>
      <c r="Q174" s="11"/>
      <c r="R174" s="10"/>
      <c r="S174" s="10"/>
    </row>
    <row r="175" spans="1:19" s="9" customFormat="1" ht="12.75">
      <c r="A175" s="221"/>
      <c r="B175" s="62" t="s">
        <v>619</v>
      </c>
      <c r="C175" s="28">
        <v>12</v>
      </c>
      <c r="D175" s="28">
        <v>1963</v>
      </c>
      <c r="E175" s="38">
        <v>11.734995</v>
      </c>
      <c r="F175" s="38">
        <v>1.122</v>
      </c>
      <c r="G175" s="38">
        <v>1.92</v>
      </c>
      <c r="H175" s="38">
        <v>8.692995</v>
      </c>
      <c r="I175" s="43">
        <v>528.5</v>
      </c>
      <c r="J175" s="38">
        <v>8.693002</v>
      </c>
      <c r="K175" s="43">
        <v>528.5</v>
      </c>
      <c r="L175" s="63">
        <f>J175/K175</f>
        <v>0.016448442762535476</v>
      </c>
      <c r="M175" s="31">
        <v>254</v>
      </c>
      <c r="N175" s="65">
        <f>L175*M175</f>
        <v>4.177904461684011</v>
      </c>
      <c r="O175" s="65">
        <f>L175*60*1000</f>
        <v>986.9065657521286</v>
      </c>
      <c r="P175" s="64">
        <f>O175*M175/1000</f>
        <v>250.67426770104066</v>
      </c>
      <c r="R175" s="10"/>
      <c r="S175" s="10"/>
    </row>
    <row r="176" spans="1:19" s="9" customFormat="1" ht="12.75">
      <c r="A176" s="221"/>
      <c r="B176" s="113" t="s">
        <v>593</v>
      </c>
      <c r="C176" s="114">
        <v>73</v>
      </c>
      <c r="D176" s="24">
        <v>1991</v>
      </c>
      <c r="E176" s="87">
        <f>+F176+G176+H176</f>
        <v>97.150994</v>
      </c>
      <c r="F176" s="115">
        <v>8.583432</v>
      </c>
      <c r="G176" s="115">
        <v>17.28</v>
      </c>
      <c r="H176" s="115">
        <v>71.287562</v>
      </c>
      <c r="I176" s="116">
        <v>4322.72</v>
      </c>
      <c r="J176" s="115">
        <v>71.287562</v>
      </c>
      <c r="K176" s="116">
        <v>4322.72</v>
      </c>
      <c r="L176" s="50">
        <f>+J176/K176</f>
        <v>0.01649136700966058</v>
      </c>
      <c r="M176" s="27">
        <v>340.189</v>
      </c>
      <c r="N176" s="27">
        <f>+L176*M176</f>
        <v>5.610181651649424</v>
      </c>
      <c r="O176" s="27">
        <f>+L176*60*1000</f>
        <v>989.4820205796349</v>
      </c>
      <c r="P176" s="51">
        <f>+N176*60</f>
        <v>336.61089909896543</v>
      </c>
      <c r="R176" s="10"/>
      <c r="S176" s="10"/>
    </row>
    <row r="177" spans="1:19" s="9" customFormat="1" ht="12.75" customHeight="1">
      <c r="A177" s="221"/>
      <c r="B177" s="62" t="s">
        <v>664</v>
      </c>
      <c r="C177" s="28">
        <v>10</v>
      </c>
      <c r="D177" s="28" t="s">
        <v>24</v>
      </c>
      <c r="E177" s="38">
        <v>12.2</v>
      </c>
      <c r="F177" s="38">
        <v>0</v>
      </c>
      <c r="G177" s="38">
        <v>1.6</v>
      </c>
      <c r="H177" s="38">
        <v>10.6</v>
      </c>
      <c r="I177" s="43">
        <v>642</v>
      </c>
      <c r="J177" s="38">
        <v>10.6</v>
      </c>
      <c r="K177" s="43">
        <v>642</v>
      </c>
      <c r="L177" s="63">
        <f>J177/K177</f>
        <v>0.016510903426791276</v>
      </c>
      <c r="M177" s="31">
        <v>235.3</v>
      </c>
      <c r="N177" s="65">
        <f>L177*M177</f>
        <v>3.8850155763239873</v>
      </c>
      <c r="O177" s="65">
        <f>L177*60*1000</f>
        <v>990.6542056074766</v>
      </c>
      <c r="P177" s="64">
        <f>O177*M177/1000</f>
        <v>233.10093457943927</v>
      </c>
      <c r="R177" s="10"/>
      <c r="S177" s="10"/>
    </row>
    <row r="178" spans="1:19" s="9" customFormat="1" ht="12.75" customHeight="1">
      <c r="A178" s="221"/>
      <c r="B178" s="97" t="s">
        <v>252</v>
      </c>
      <c r="C178" s="28">
        <v>100</v>
      </c>
      <c r="D178" s="28">
        <v>1969</v>
      </c>
      <c r="E178" s="38">
        <v>103.5</v>
      </c>
      <c r="F178" s="38">
        <v>9.315</v>
      </c>
      <c r="G178" s="38">
        <v>16</v>
      </c>
      <c r="H178" s="38">
        <v>78.185</v>
      </c>
      <c r="I178" s="43">
        <v>4648.63</v>
      </c>
      <c r="J178" s="38">
        <v>78.185</v>
      </c>
      <c r="K178" s="43">
        <v>4648.63</v>
      </c>
      <c r="L178" s="63">
        <f>J178/K178</f>
        <v>0.016818933750373768</v>
      </c>
      <c r="M178" s="31">
        <v>300</v>
      </c>
      <c r="N178" s="65">
        <f>L178*M178</f>
        <v>5.04568012511213</v>
      </c>
      <c r="O178" s="65">
        <f>L178*60*1000</f>
        <v>1009.1360250224261</v>
      </c>
      <c r="P178" s="64">
        <f>O178*M178/1000</f>
        <v>302.74080750672783</v>
      </c>
      <c r="R178" s="10"/>
      <c r="S178" s="10"/>
    </row>
    <row r="179" spans="1:16" s="9" customFormat="1" ht="12.75" customHeight="1">
      <c r="A179" s="221"/>
      <c r="B179" s="62" t="s">
        <v>336</v>
      </c>
      <c r="C179" s="28">
        <v>101</v>
      </c>
      <c r="D179" s="28">
        <v>1968</v>
      </c>
      <c r="E179" s="38">
        <v>100.061991</v>
      </c>
      <c r="F179" s="38">
        <v>8.7465</v>
      </c>
      <c r="G179" s="38">
        <v>15.92</v>
      </c>
      <c r="H179" s="38">
        <v>75.395491</v>
      </c>
      <c r="I179" s="43">
        <v>4482.08</v>
      </c>
      <c r="J179" s="38">
        <v>75.395491</v>
      </c>
      <c r="K179" s="43">
        <v>4482.08</v>
      </c>
      <c r="L179" s="63">
        <v>0.016821540668618143</v>
      </c>
      <c r="M179" s="31">
        <v>302.37</v>
      </c>
      <c r="N179" s="65">
        <f>L179*M179</f>
        <v>5.086329251970068</v>
      </c>
      <c r="O179" s="65">
        <f>L179*60*1000</f>
        <v>1009.2924401170886</v>
      </c>
      <c r="P179" s="64">
        <f>N179*60</f>
        <v>305.17975511820407</v>
      </c>
    </row>
    <row r="180" spans="1:19" s="9" customFormat="1" ht="12.75" customHeight="1">
      <c r="A180" s="221"/>
      <c r="B180" s="62" t="s">
        <v>210</v>
      </c>
      <c r="C180" s="28">
        <v>103</v>
      </c>
      <c r="D180" s="28">
        <v>1965</v>
      </c>
      <c r="E180" s="38">
        <v>99.824992</v>
      </c>
      <c r="F180" s="38">
        <v>8.7465</v>
      </c>
      <c r="G180" s="38">
        <v>15.92</v>
      </c>
      <c r="H180" s="38">
        <v>75.158492</v>
      </c>
      <c r="I180" s="43">
        <v>4447.51</v>
      </c>
      <c r="J180" s="38">
        <v>75.158492</v>
      </c>
      <c r="K180" s="43">
        <v>4447.51</v>
      </c>
      <c r="L180" s="63">
        <v>0.01689900461156917</v>
      </c>
      <c r="M180" s="31">
        <v>302.37</v>
      </c>
      <c r="N180" s="65">
        <f>L180*M180</f>
        <v>5.109752024400169</v>
      </c>
      <c r="O180" s="65">
        <f>L180*60*1000</f>
        <v>1013.94027669415</v>
      </c>
      <c r="P180" s="64">
        <f>N180*60</f>
        <v>306.5851214640102</v>
      </c>
      <c r="R180" s="10"/>
      <c r="S180" s="10"/>
    </row>
    <row r="181" spans="1:19" s="9" customFormat="1" ht="12.75" customHeight="1">
      <c r="A181" s="221"/>
      <c r="B181" s="62" t="s">
        <v>335</v>
      </c>
      <c r="C181" s="28">
        <v>22</v>
      </c>
      <c r="D181" s="28">
        <v>1994</v>
      </c>
      <c r="E181" s="38">
        <v>25.755</v>
      </c>
      <c r="F181" s="38">
        <v>2.448</v>
      </c>
      <c r="G181" s="38">
        <v>3.52</v>
      </c>
      <c r="H181" s="38">
        <v>19.787</v>
      </c>
      <c r="I181" s="43">
        <v>1170.37</v>
      </c>
      <c r="J181" s="38">
        <v>19.787</v>
      </c>
      <c r="K181" s="43">
        <v>1170.37</v>
      </c>
      <c r="L181" s="63">
        <v>0.016906619274246606</v>
      </c>
      <c r="M181" s="31">
        <v>302.37</v>
      </c>
      <c r="N181" s="65">
        <f>L181*M181</f>
        <v>5.1120544699539465</v>
      </c>
      <c r="O181" s="65">
        <f>L181*60*1000</f>
        <v>1014.3971564547965</v>
      </c>
      <c r="P181" s="64">
        <f>N181*60</f>
        <v>306.7232681972368</v>
      </c>
      <c r="R181" s="10"/>
      <c r="S181" s="10"/>
    </row>
    <row r="182" spans="1:19" s="9" customFormat="1" ht="12.75" customHeight="1">
      <c r="A182" s="221"/>
      <c r="B182" s="251" t="s">
        <v>541</v>
      </c>
      <c r="C182" s="163">
        <v>100</v>
      </c>
      <c r="D182" s="164" t="s">
        <v>24</v>
      </c>
      <c r="E182" s="165">
        <v>100.8</v>
      </c>
      <c r="F182" s="165">
        <v>9.78</v>
      </c>
      <c r="G182" s="166">
        <v>16</v>
      </c>
      <c r="H182" s="165">
        <v>75.02</v>
      </c>
      <c r="I182" s="167">
        <v>4434.25</v>
      </c>
      <c r="J182" s="165">
        <v>75.02</v>
      </c>
      <c r="K182" s="167">
        <v>4434.25</v>
      </c>
      <c r="L182" s="63">
        <f>J182/K182</f>
        <v>0.016918306365225233</v>
      </c>
      <c r="M182" s="31">
        <v>266.83</v>
      </c>
      <c r="N182" s="65">
        <f>L182*M182</f>
        <v>4.5143116874330484</v>
      </c>
      <c r="O182" s="65">
        <f>L182*60*1000</f>
        <v>1015.098381913514</v>
      </c>
      <c r="P182" s="64">
        <f>O182*M182/1000</f>
        <v>270.8587012459829</v>
      </c>
      <c r="R182" s="10"/>
      <c r="S182" s="10"/>
    </row>
    <row r="183" spans="1:19" s="9" customFormat="1" ht="12.75" customHeight="1">
      <c r="A183" s="221"/>
      <c r="B183" s="62" t="s">
        <v>393</v>
      </c>
      <c r="C183" s="28">
        <v>12</v>
      </c>
      <c r="D183" s="28">
        <v>2007</v>
      </c>
      <c r="E183" s="38">
        <v>16.617</v>
      </c>
      <c r="F183" s="38">
        <v>0.255</v>
      </c>
      <c r="G183" s="38" t="s">
        <v>156</v>
      </c>
      <c r="H183" s="38">
        <v>16.362</v>
      </c>
      <c r="I183" s="43">
        <v>1168.64</v>
      </c>
      <c r="J183" s="38">
        <v>14.17</v>
      </c>
      <c r="K183" s="43">
        <v>833</v>
      </c>
      <c r="L183" s="63">
        <f>J183/K183</f>
        <v>0.01701080432172869</v>
      </c>
      <c r="M183" s="31">
        <v>328.199</v>
      </c>
      <c r="N183" s="65">
        <f>L183*M183</f>
        <v>5.582928967587034</v>
      </c>
      <c r="O183" s="65">
        <f>L183*60*1000</f>
        <v>1020.6482593037214</v>
      </c>
      <c r="P183" s="64">
        <f>O183*M183/1000</f>
        <v>334.9757380552221</v>
      </c>
      <c r="R183" s="10"/>
      <c r="S183" s="10"/>
    </row>
    <row r="184" spans="1:16" s="9" customFormat="1" ht="12.75" customHeight="1">
      <c r="A184" s="221"/>
      <c r="B184" s="251" t="s">
        <v>542</v>
      </c>
      <c r="C184" s="163">
        <v>119</v>
      </c>
      <c r="D184" s="164" t="s">
        <v>24</v>
      </c>
      <c r="E184" s="165">
        <v>129.91</v>
      </c>
      <c r="F184" s="165">
        <v>13.3</v>
      </c>
      <c r="G184" s="166">
        <v>19.04</v>
      </c>
      <c r="H184" s="165">
        <v>97.57</v>
      </c>
      <c r="I184" s="167">
        <v>5726.62</v>
      </c>
      <c r="J184" s="165">
        <v>97.57</v>
      </c>
      <c r="K184" s="167">
        <v>5726.62</v>
      </c>
      <c r="L184" s="63">
        <f>J184/K184</f>
        <v>0.017037973534126588</v>
      </c>
      <c r="M184" s="31">
        <v>266.83</v>
      </c>
      <c r="N184" s="65">
        <f>L184*M184</f>
        <v>4.546242478110997</v>
      </c>
      <c r="O184" s="65">
        <f>L184*60*1000</f>
        <v>1022.2784120475952</v>
      </c>
      <c r="P184" s="64">
        <f>O184*M184/1000</f>
        <v>272.77454868665984</v>
      </c>
    </row>
    <row r="185" spans="1:19" s="9" customFormat="1" ht="12.75" customHeight="1">
      <c r="A185" s="221"/>
      <c r="B185" s="49" t="s">
        <v>764</v>
      </c>
      <c r="C185" s="24">
        <v>60</v>
      </c>
      <c r="D185" s="24" t="s">
        <v>24</v>
      </c>
      <c r="E185" s="38">
        <f>F185+G185+H185</f>
        <v>64.3</v>
      </c>
      <c r="F185" s="38">
        <v>6.1</v>
      </c>
      <c r="G185" s="38">
        <v>0.6</v>
      </c>
      <c r="H185" s="38">
        <v>57.6</v>
      </c>
      <c r="I185" s="35">
        <v>3373.53</v>
      </c>
      <c r="J185" s="38">
        <v>57.6</v>
      </c>
      <c r="K185" s="35">
        <v>3373.5</v>
      </c>
      <c r="L185" s="63">
        <f>J185/K185</f>
        <v>0.01707425522454424</v>
      </c>
      <c r="M185" s="31">
        <v>204.4</v>
      </c>
      <c r="N185" s="65">
        <f>L185*M185</f>
        <v>3.489977767896843</v>
      </c>
      <c r="O185" s="65">
        <f>L185*60*1000</f>
        <v>1024.4553134726543</v>
      </c>
      <c r="P185" s="64">
        <f>O185*M185/1000</f>
        <v>209.39866607381055</v>
      </c>
      <c r="R185" s="10"/>
      <c r="S185" s="10"/>
    </row>
    <row r="186" spans="1:16" s="9" customFormat="1" ht="12.75" customHeight="1">
      <c r="A186" s="221"/>
      <c r="B186" s="62" t="s">
        <v>407</v>
      </c>
      <c r="C186" s="28">
        <v>11</v>
      </c>
      <c r="D186" s="28" t="s">
        <v>24</v>
      </c>
      <c r="E186" s="38">
        <v>10.18</v>
      </c>
      <c r="F186" s="38">
        <v>0.41</v>
      </c>
      <c r="G186" s="38">
        <v>0.07</v>
      </c>
      <c r="H186" s="38">
        <v>9.7</v>
      </c>
      <c r="I186" s="43">
        <v>561</v>
      </c>
      <c r="J186" s="38">
        <v>9.7</v>
      </c>
      <c r="K186" s="43">
        <v>561</v>
      </c>
      <c r="L186" s="63">
        <f>J186/K186</f>
        <v>0.01729055258467023</v>
      </c>
      <c r="M186" s="31">
        <v>235.3</v>
      </c>
      <c r="N186" s="65">
        <f>L186*M186</f>
        <v>4.068467023172905</v>
      </c>
      <c r="O186" s="65">
        <f>L186*60*1000</f>
        <v>1037.4331550802137</v>
      </c>
      <c r="P186" s="64">
        <f>O186*M186/1000</f>
        <v>244.10802139037432</v>
      </c>
    </row>
    <row r="187" spans="1:19" s="9" customFormat="1" ht="12.75">
      <c r="A187" s="221"/>
      <c r="B187" s="251" t="s">
        <v>543</v>
      </c>
      <c r="C187" s="163">
        <v>75</v>
      </c>
      <c r="D187" s="164" t="s">
        <v>24</v>
      </c>
      <c r="E187" s="165">
        <v>89.06</v>
      </c>
      <c r="F187" s="165">
        <v>8.31</v>
      </c>
      <c r="G187" s="166">
        <v>11.92</v>
      </c>
      <c r="H187" s="165">
        <v>68.83</v>
      </c>
      <c r="I187" s="167">
        <v>3968.65</v>
      </c>
      <c r="J187" s="165">
        <v>68.83</v>
      </c>
      <c r="K187" s="167">
        <v>3968.65</v>
      </c>
      <c r="L187" s="63">
        <f>J187/K187</f>
        <v>0.017343429125773246</v>
      </c>
      <c r="M187" s="31">
        <v>266.83</v>
      </c>
      <c r="N187" s="65">
        <f>L187*M187</f>
        <v>4.627747193630075</v>
      </c>
      <c r="O187" s="65">
        <f>L187*60*1000</f>
        <v>1040.6057475463947</v>
      </c>
      <c r="P187" s="64">
        <f>O187*M187/1000</f>
        <v>277.66483161780445</v>
      </c>
      <c r="R187" s="10"/>
      <c r="S187" s="10"/>
    </row>
    <row r="188" spans="1:19" s="9" customFormat="1" ht="12.75">
      <c r="A188" s="221"/>
      <c r="B188" s="62" t="s">
        <v>601</v>
      </c>
      <c r="C188" s="28">
        <v>60</v>
      </c>
      <c r="D188" s="28">
        <v>1973</v>
      </c>
      <c r="E188" s="38">
        <v>65.541</v>
      </c>
      <c r="F188" s="38">
        <v>9.69</v>
      </c>
      <c r="G188" s="38">
        <v>9.6</v>
      </c>
      <c r="H188" s="38">
        <v>46.251</v>
      </c>
      <c r="I188" s="43">
        <v>2661.58</v>
      </c>
      <c r="J188" s="38">
        <v>46.251</v>
      </c>
      <c r="K188" s="43">
        <v>2661.58</v>
      </c>
      <c r="L188" s="63">
        <v>0.017377272146619677</v>
      </c>
      <c r="M188" s="31">
        <v>302.37</v>
      </c>
      <c r="N188" s="65">
        <f>L188*M188</f>
        <v>5.2543657789733915</v>
      </c>
      <c r="O188" s="65">
        <f>L188*60*1000</f>
        <v>1042.6363287971808</v>
      </c>
      <c r="P188" s="64">
        <f>N188*60</f>
        <v>315.2619467384035</v>
      </c>
      <c r="R188" s="10"/>
      <c r="S188" s="10"/>
    </row>
    <row r="189" spans="1:19" s="9" customFormat="1" ht="12.75">
      <c r="A189" s="221"/>
      <c r="B189" s="49" t="s">
        <v>414</v>
      </c>
      <c r="C189" s="24">
        <v>22</v>
      </c>
      <c r="D189" s="24" t="s">
        <v>24</v>
      </c>
      <c r="E189" s="87">
        <f>F189+G189+H189</f>
        <v>27.84</v>
      </c>
      <c r="F189" s="87">
        <v>3.2621</v>
      </c>
      <c r="G189" s="87">
        <v>3.52</v>
      </c>
      <c r="H189" s="87">
        <v>21.0579</v>
      </c>
      <c r="I189" s="35">
        <v>1210.94</v>
      </c>
      <c r="J189" s="87">
        <v>21.0579</v>
      </c>
      <c r="K189" s="35">
        <v>1210.94</v>
      </c>
      <c r="L189" s="50">
        <f>J189/K189</f>
        <v>0.017389713776074785</v>
      </c>
      <c r="M189" s="27">
        <v>210</v>
      </c>
      <c r="N189" s="27">
        <f>L189*M189</f>
        <v>3.6518398929757048</v>
      </c>
      <c r="O189" s="27">
        <f>L189*1000*60</f>
        <v>1043.382826564487</v>
      </c>
      <c r="P189" s="51">
        <f>N189*60</f>
        <v>219.1103935785423</v>
      </c>
      <c r="Q189" s="11"/>
      <c r="R189" s="10"/>
      <c r="S189" s="10"/>
    </row>
    <row r="190" spans="1:19" s="9" customFormat="1" ht="12.75">
      <c r="A190" s="221"/>
      <c r="B190" s="62" t="s">
        <v>334</v>
      </c>
      <c r="C190" s="28">
        <v>56</v>
      </c>
      <c r="D190" s="28">
        <v>1995</v>
      </c>
      <c r="E190" s="38">
        <v>74.364</v>
      </c>
      <c r="F190" s="38">
        <v>6.579</v>
      </c>
      <c r="G190" s="38">
        <v>8.72</v>
      </c>
      <c r="H190" s="38">
        <v>59.065</v>
      </c>
      <c r="I190" s="43">
        <v>3391.54</v>
      </c>
      <c r="J190" s="38">
        <v>59.065</v>
      </c>
      <c r="K190" s="43">
        <v>3391.54</v>
      </c>
      <c r="L190" s="63">
        <v>0.0174153924176038</v>
      </c>
      <c r="M190" s="31">
        <v>302.37</v>
      </c>
      <c r="N190" s="65">
        <f>L190*M190</f>
        <v>5.265892205310862</v>
      </c>
      <c r="O190" s="65">
        <f>L190*60*1000</f>
        <v>1044.923545056228</v>
      </c>
      <c r="P190" s="64">
        <f>N190*60</f>
        <v>315.9535323186517</v>
      </c>
      <c r="Q190" s="11"/>
      <c r="R190" s="10"/>
      <c r="S190" s="10"/>
    </row>
    <row r="191" spans="1:19" s="9" customFormat="1" ht="12.75">
      <c r="A191" s="221"/>
      <c r="B191" s="62" t="s">
        <v>732</v>
      </c>
      <c r="C191" s="28">
        <v>45</v>
      </c>
      <c r="D191" s="28">
        <v>1982</v>
      </c>
      <c r="E191" s="38">
        <v>49.811</v>
      </c>
      <c r="F191" s="38">
        <v>3.96</v>
      </c>
      <c r="G191" s="38">
        <v>6.4</v>
      </c>
      <c r="H191" s="38">
        <v>39.453</v>
      </c>
      <c r="I191" s="43">
        <v>2259.52</v>
      </c>
      <c r="J191" s="38">
        <f>H191</f>
        <v>39.453</v>
      </c>
      <c r="K191" s="43">
        <f>I191</f>
        <v>2259.52</v>
      </c>
      <c r="L191" s="63">
        <f>J191/K191</f>
        <v>0.017460788131992637</v>
      </c>
      <c r="M191" s="31">
        <v>206.88</v>
      </c>
      <c r="N191" s="65">
        <f>L191*M191</f>
        <v>3.6122878487466368</v>
      </c>
      <c r="O191" s="65">
        <f>L191*60*1000</f>
        <v>1047.6472879195583</v>
      </c>
      <c r="P191" s="64">
        <f>O191*M191/1000</f>
        <v>216.73727092479822</v>
      </c>
      <c r="R191" s="10"/>
      <c r="S191" s="10"/>
    </row>
    <row r="192" spans="1:19" s="9" customFormat="1" ht="12.75">
      <c r="A192" s="221"/>
      <c r="B192" s="62" t="s">
        <v>256</v>
      </c>
      <c r="C192" s="28">
        <v>100</v>
      </c>
      <c r="D192" s="28">
        <v>1966</v>
      </c>
      <c r="E192" s="38">
        <v>103.032987</v>
      </c>
      <c r="F192" s="38">
        <v>8.88726</v>
      </c>
      <c r="G192" s="38">
        <v>15.84</v>
      </c>
      <c r="H192" s="38">
        <v>78.305727</v>
      </c>
      <c r="I192" s="43">
        <v>4481.51</v>
      </c>
      <c r="J192" s="38">
        <v>78.305727</v>
      </c>
      <c r="K192" s="43">
        <v>4481.51</v>
      </c>
      <c r="L192" s="63">
        <v>0.017473067559818006</v>
      </c>
      <c r="M192" s="31">
        <v>302.37</v>
      </c>
      <c r="N192" s="65">
        <f>L192*M192</f>
        <v>5.283331438062171</v>
      </c>
      <c r="O192" s="65">
        <f>L192*60*1000</f>
        <v>1048.3840535890802</v>
      </c>
      <c r="P192" s="64">
        <f>N192*60</f>
        <v>316.99988628373023</v>
      </c>
      <c r="R192" s="10"/>
      <c r="S192" s="10"/>
    </row>
    <row r="193" spans="1:19" s="9" customFormat="1" ht="12.75" customHeight="1">
      <c r="A193" s="221"/>
      <c r="B193" s="62" t="s">
        <v>338</v>
      </c>
      <c r="C193" s="28">
        <v>80</v>
      </c>
      <c r="D193" s="28">
        <v>1964</v>
      </c>
      <c r="E193" s="38">
        <v>88.503006</v>
      </c>
      <c r="F193" s="38">
        <v>8.3895</v>
      </c>
      <c r="G193" s="38">
        <v>12.72</v>
      </c>
      <c r="H193" s="38">
        <v>67.393506</v>
      </c>
      <c r="I193" s="43">
        <v>3830.86</v>
      </c>
      <c r="J193" s="38">
        <v>67.393506</v>
      </c>
      <c r="K193" s="43">
        <v>3830.86</v>
      </c>
      <c r="L193" s="63">
        <v>0.017592265444312766</v>
      </c>
      <c r="M193" s="31">
        <v>302.37</v>
      </c>
      <c r="N193" s="65">
        <f>L193*M193</f>
        <v>5.319373302396851</v>
      </c>
      <c r="O193" s="65">
        <f>L193*60*1000</f>
        <v>1055.5359266587661</v>
      </c>
      <c r="P193" s="64">
        <f>N193*60</f>
        <v>319.16239814381106</v>
      </c>
      <c r="Q193" s="11"/>
      <c r="R193" s="10"/>
      <c r="S193" s="10"/>
    </row>
    <row r="194" spans="1:19" s="9" customFormat="1" ht="12.75">
      <c r="A194" s="221"/>
      <c r="B194" s="49" t="s">
        <v>91</v>
      </c>
      <c r="C194" s="24">
        <v>54</v>
      </c>
      <c r="D194" s="24">
        <v>1980</v>
      </c>
      <c r="E194" s="87">
        <v>83.07</v>
      </c>
      <c r="F194" s="87">
        <v>8.47</v>
      </c>
      <c r="G194" s="87">
        <v>12.82</v>
      </c>
      <c r="H194" s="87">
        <v>61.78</v>
      </c>
      <c r="I194" s="35">
        <v>3508.9</v>
      </c>
      <c r="J194" s="87">
        <f>H194/I194*K194</f>
        <v>61.7817606657357</v>
      </c>
      <c r="K194" s="24">
        <v>3509</v>
      </c>
      <c r="L194" s="50">
        <f>J194/K194</f>
        <v>0.01760665735700647</v>
      </c>
      <c r="M194" s="27">
        <v>323.29400000000004</v>
      </c>
      <c r="N194" s="27">
        <f>L194*M194</f>
        <v>5.692126683576051</v>
      </c>
      <c r="O194" s="27">
        <f>L194*60*1000</f>
        <v>1056.3994414203883</v>
      </c>
      <c r="P194" s="51">
        <f>O194*M194/1000</f>
        <v>341.52760101456306</v>
      </c>
      <c r="R194" s="10"/>
      <c r="S194" s="10"/>
    </row>
    <row r="195" spans="1:19" s="9" customFormat="1" ht="12.75">
      <c r="A195" s="221"/>
      <c r="B195" s="49" t="s">
        <v>413</v>
      </c>
      <c r="C195" s="24">
        <v>12</v>
      </c>
      <c r="D195" s="24" t="s">
        <v>24</v>
      </c>
      <c r="E195" s="87">
        <f>F195+G195+H195</f>
        <v>15.178</v>
      </c>
      <c r="F195" s="204">
        <v>1.121</v>
      </c>
      <c r="G195" s="87">
        <v>1.92</v>
      </c>
      <c r="H195" s="87">
        <v>12.137</v>
      </c>
      <c r="I195" s="35">
        <v>687.4</v>
      </c>
      <c r="J195" s="87">
        <v>12.137</v>
      </c>
      <c r="K195" s="35">
        <v>687.4</v>
      </c>
      <c r="L195" s="50">
        <f>J195/K195</f>
        <v>0.01765638638347396</v>
      </c>
      <c r="M195" s="27">
        <v>210</v>
      </c>
      <c r="N195" s="27">
        <f>L195*M195</f>
        <v>3.7078411405295317</v>
      </c>
      <c r="O195" s="27">
        <f>L195*1000*60</f>
        <v>1059.3831830084378</v>
      </c>
      <c r="P195" s="51">
        <f>N195*60</f>
        <v>222.4704684317719</v>
      </c>
      <c r="R195" s="10"/>
      <c r="S195" s="10"/>
    </row>
    <row r="196" spans="1:19" s="9" customFormat="1" ht="12.75">
      <c r="A196" s="221"/>
      <c r="B196" s="49" t="s">
        <v>248</v>
      </c>
      <c r="C196" s="24">
        <v>50</v>
      </c>
      <c r="D196" s="24">
        <v>2000</v>
      </c>
      <c r="E196" s="87">
        <v>60.718</v>
      </c>
      <c r="F196" s="87">
        <v>5.96547</v>
      </c>
      <c r="G196" s="87">
        <v>8</v>
      </c>
      <c r="H196" s="87">
        <v>46.75253</v>
      </c>
      <c r="I196" s="35">
        <v>2639.5</v>
      </c>
      <c r="J196" s="87">
        <v>46.752527</v>
      </c>
      <c r="K196" s="35">
        <v>2639.5</v>
      </c>
      <c r="L196" s="50">
        <f>J196/K196</f>
        <v>0.01771264519795416</v>
      </c>
      <c r="M196" s="24">
        <v>296.48</v>
      </c>
      <c r="N196" s="27">
        <f>L196*M196</f>
        <v>5.251445048289449</v>
      </c>
      <c r="O196" s="27">
        <f>L196*60*1000</f>
        <v>1062.7587118772494</v>
      </c>
      <c r="P196" s="51">
        <f>O196*M196/1000</f>
        <v>315.08670289736693</v>
      </c>
      <c r="R196" s="10"/>
      <c r="S196" s="10"/>
    </row>
    <row r="197" spans="1:19" s="9" customFormat="1" ht="12.75">
      <c r="A197" s="221"/>
      <c r="B197" s="62" t="s">
        <v>245</v>
      </c>
      <c r="C197" s="28">
        <v>36</v>
      </c>
      <c r="D197" s="28">
        <v>1967</v>
      </c>
      <c r="E197" s="38">
        <v>36</v>
      </c>
      <c r="F197" s="38">
        <v>3.617</v>
      </c>
      <c r="G197" s="38">
        <v>5.76</v>
      </c>
      <c r="H197" s="38">
        <v>26.623</v>
      </c>
      <c r="I197" s="43">
        <v>1500.89</v>
      </c>
      <c r="J197" s="38">
        <v>26.6</v>
      </c>
      <c r="K197" s="43">
        <v>1500.89</v>
      </c>
      <c r="L197" s="63">
        <f>J197/K197</f>
        <v>0.017722817794775098</v>
      </c>
      <c r="M197" s="31">
        <v>220.9</v>
      </c>
      <c r="N197" s="65">
        <f>L197*M197</f>
        <v>3.914970450865819</v>
      </c>
      <c r="O197" s="65">
        <f>L197*60*1000</f>
        <v>1063.369067686506</v>
      </c>
      <c r="P197" s="64">
        <f>O197*M197/1000</f>
        <v>234.8982270519492</v>
      </c>
      <c r="R197" s="10"/>
      <c r="S197" s="10"/>
    </row>
    <row r="198" spans="1:19" s="9" customFormat="1" ht="12.75">
      <c r="A198" s="221"/>
      <c r="B198" s="49" t="s">
        <v>93</v>
      </c>
      <c r="C198" s="24">
        <v>54</v>
      </c>
      <c r="D198" s="24">
        <v>1985</v>
      </c>
      <c r="E198" s="87">
        <v>78.65</v>
      </c>
      <c r="F198" s="87">
        <v>8.01</v>
      </c>
      <c r="G198" s="87">
        <v>8.48</v>
      </c>
      <c r="H198" s="87">
        <f>E198-F198-G198</f>
        <v>62.16</v>
      </c>
      <c r="I198" s="35">
        <v>3480</v>
      </c>
      <c r="J198" s="87">
        <f>H198/I198*K198</f>
        <v>62.16</v>
      </c>
      <c r="K198" s="24">
        <v>3480</v>
      </c>
      <c r="L198" s="50">
        <f>J198/K198</f>
        <v>0.01786206896551724</v>
      </c>
      <c r="M198" s="27">
        <v>323.29400000000004</v>
      </c>
      <c r="N198" s="27">
        <f>L198*M198</f>
        <v>5.774699724137932</v>
      </c>
      <c r="O198" s="27">
        <f>L198*60*1000</f>
        <v>1071.7241379310344</v>
      </c>
      <c r="P198" s="51">
        <f>O198*M198/1000</f>
        <v>346.4819834482759</v>
      </c>
      <c r="R198" s="10"/>
      <c r="S198" s="10"/>
    </row>
    <row r="199" spans="1:19" s="9" customFormat="1" ht="12.75">
      <c r="A199" s="221"/>
      <c r="B199" s="62" t="s">
        <v>431</v>
      </c>
      <c r="C199" s="28">
        <v>100</v>
      </c>
      <c r="D199" s="28">
        <v>1971</v>
      </c>
      <c r="E199" s="38">
        <v>102.556</v>
      </c>
      <c r="F199" s="38">
        <v>7.86</v>
      </c>
      <c r="G199" s="38">
        <v>16</v>
      </c>
      <c r="H199" s="38">
        <v>78.69</v>
      </c>
      <c r="I199" s="43">
        <v>4404.44</v>
      </c>
      <c r="J199" s="38">
        <f>H199</f>
        <v>78.69</v>
      </c>
      <c r="K199" s="43">
        <f>I199</f>
        <v>4404.44</v>
      </c>
      <c r="L199" s="63">
        <f>J199/K199</f>
        <v>0.01786606242791365</v>
      </c>
      <c r="M199" s="31">
        <v>206.88</v>
      </c>
      <c r="N199" s="65">
        <f>L199*M199</f>
        <v>3.6961309950867762</v>
      </c>
      <c r="O199" s="65">
        <f>L199*60*1000</f>
        <v>1071.963745674819</v>
      </c>
      <c r="P199" s="64">
        <f>O199*M199/1000</f>
        <v>221.76785970520652</v>
      </c>
      <c r="R199" s="10"/>
      <c r="S199" s="10"/>
    </row>
    <row r="200" spans="1:19" s="9" customFormat="1" ht="12.75">
      <c r="A200" s="221"/>
      <c r="B200" s="49" t="s">
        <v>268</v>
      </c>
      <c r="C200" s="24">
        <v>60</v>
      </c>
      <c r="D200" s="24" t="s">
        <v>24</v>
      </c>
      <c r="E200" s="87">
        <f>F200+G200+H200</f>
        <v>72.679</v>
      </c>
      <c r="F200" s="204">
        <v>6.726</v>
      </c>
      <c r="G200" s="87">
        <v>9.6</v>
      </c>
      <c r="H200" s="87">
        <v>56.353</v>
      </c>
      <c r="I200" s="35">
        <v>3137.37</v>
      </c>
      <c r="J200" s="87">
        <v>56.353</v>
      </c>
      <c r="K200" s="35">
        <v>3137.37</v>
      </c>
      <c r="L200" s="50">
        <f>J200/K200</f>
        <v>0.017961859774269534</v>
      </c>
      <c r="M200" s="27">
        <v>210</v>
      </c>
      <c r="N200" s="27">
        <f>L200*M200</f>
        <v>3.771990552596602</v>
      </c>
      <c r="O200" s="27">
        <f>L200*1000*60</f>
        <v>1077.711586456172</v>
      </c>
      <c r="P200" s="51">
        <f>N200*60</f>
        <v>226.3194331557961</v>
      </c>
      <c r="R200" s="10"/>
      <c r="S200" s="10"/>
    </row>
    <row r="201" spans="1:19" s="9" customFormat="1" ht="12.75" customHeight="1">
      <c r="A201" s="221"/>
      <c r="B201" s="49" t="s">
        <v>169</v>
      </c>
      <c r="C201" s="24">
        <v>50</v>
      </c>
      <c r="D201" s="24">
        <v>1975</v>
      </c>
      <c r="E201" s="87">
        <v>56.3</v>
      </c>
      <c r="F201" s="87">
        <v>3.927</v>
      </c>
      <c r="G201" s="87">
        <v>7.68</v>
      </c>
      <c r="H201" s="87">
        <v>44.693</v>
      </c>
      <c r="I201" s="35">
        <v>2485.16</v>
      </c>
      <c r="J201" s="87">
        <v>44.69</v>
      </c>
      <c r="K201" s="35">
        <v>2485.16</v>
      </c>
      <c r="L201" s="50">
        <f>J201/K201</f>
        <v>0.01798274557774952</v>
      </c>
      <c r="M201" s="27">
        <v>263.899</v>
      </c>
      <c r="N201" s="27">
        <f>L201*M201</f>
        <v>4.74562857522252</v>
      </c>
      <c r="O201" s="27">
        <f>L201*1000*60</f>
        <v>1078.964734664971</v>
      </c>
      <c r="P201" s="51">
        <f>N201*60</f>
        <v>284.7377145133512</v>
      </c>
      <c r="R201" s="10"/>
      <c r="S201" s="10"/>
    </row>
    <row r="202" spans="1:19" s="9" customFormat="1" ht="11.25" customHeight="1">
      <c r="A202" s="221"/>
      <c r="B202" s="251" t="s">
        <v>544</v>
      </c>
      <c r="C202" s="163">
        <v>103</v>
      </c>
      <c r="D202" s="164" t="s">
        <v>24</v>
      </c>
      <c r="E202" s="165">
        <v>105.25</v>
      </c>
      <c r="F202" s="165">
        <v>9.29</v>
      </c>
      <c r="G202" s="166">
        <v>16</v>
      </c>
      <c r="H202" s="165">
        <v>79.96</v>
      </c>
      <c r="I202" s="167">
        <v>4436.68</v>
      </c>
      <c r="J202" s="165">
        <v>79.96</v>
      </c>
      <c r="K202" s="167">
        <v>4436.68</v>
      </c>
      <c r="L202" s="63">
        <f>J202/K202</f>
        <v>0.01802248528178728</v>
      </c>
      <c r="M202" s="31">
        <v>266.83</v>
      </c>
      <c r="N202" s="65">
        <f>L202*M202</f>
        <v>4.808939747739299</v>
      </c>
      <c r="O202" s="65">
        <f>L202*60*1000</f>
        <v>1081.3491169072367</v>
      </c>
      <c r="P202" s="64">
        <f>O202*M202/1000</f>
        <v>288.53638486435796</v>
      </c>
      <c r="R202" s="10"/>
      <c r="S202" s="10"/>
    </row>
    <row r="203" spans="1:19" s="9" customFormat="1" ht="12.75" customHeight="1">
      <c r="A203" s="221"/>
      <c r="B203" s="62" t="s">
        <v>602</v>
      </c>
      <c r="C203" s="28">
        <v>80</v>
      </c>
      <c r="D203" s="28">
        <v>1964</v>
      </c>
      <c r="E203" s="38">
        <v>89.086007</v>
      </c>
      <c r="F203" s="38">
        <v>7.063704</v>
      </c>
      <c r="G203" s="38">
        <v>12.8</v>
      </c>
      <c r="H203" s="38">
        <v>69.222303</v>
      </c>
      <c r="I203" s="43">
        <v>3831.94</v>
      </c>
      <c r="J203" s="38">
        <v>69.222303</v>
      </c>
      <c r="K203" s="43">
        <v>3831.94</v>
      </c>
      <c r="L203" s="63">
        <v>0.018064558161140307</v>
      </c>
      <c r="M203" s="31">
        <v>302.37</v>
      </c>
      <c r="N203" s="65">
        <f>L203*M203</f>
        <v>5.462180451183995</v>
      </c>
      <c r="O203" s="65">
        <f>L203*60*1000</f>
        <v>1083.8734896684184</v>
      </c>
      <c r="P203" s="64">
        <f>N203*60</f>
        <v>327.7308270710397</v>
      </c>
      <c r="R203" s="10"/>
      <c r="S203" s="10"/>
    </row>
    <row r="204" spans="1:19" s="9" customFormat="1" ht="12.75" customHeight="1">
      <c r="A204" s="221"/>
      <c r="B204" s="62" t="s">
        <v>299</v>
      </c>
      <c r="C204" s="28">
        <v>72</v>
      </c>
      <c r="D204" s="28">
        <v>1990</v>
      </c>
      <c r="E204" s="38">
        <v>109.53</v>
      </c>
      <c r="F204" s="38">
        <v>12.408</v>
      </c>
      <c r="G204" s="38">
        <v>10.08</v>
      </c>
      <c r="H204" s="38">
        <f>E204-F204-G204</f>
        <v>87.042</v>
      </c>
      <c r="I204" s="43">
        <v>4777.56</v>
      </c>
      <c r="J204" s="38">
        <f>H204</f>
        <v>87.042</v>
      </c>
      <c r="K204" s="43">
        <f>I204</f>
        <v>4777.56</v>
      </c>
      <c r="L204" s="63">
        <f>J204/K204</f>
        <v>0.018218923467209203</v>
      </c>
      <c r="M204" s="31">
        <v>279.476</v>
      </c>
      <c r="N204" s="65">
        <f>L204*M204</f>
        <v>5.0917518549217595</v>
      </c>
      <c r="O204" s="65">
        <f>L204*60*1000</f>
        <v>1093.135408032552</v>
      </c>
      <c r="P204" s="64">
        <f>O204*M204/1000</f>
        <v>305.50511129530554</v>
      </c>
      <c r="Q204" s="11"/>
      <c r="R204" s="10"/>
      <c r="S204" s="10"/>
    </row>
    <row r="205" spans="1:19" s="9" customFormat="1" ht="12.75" customHeight="1">
      <c r="A205" s="221"/>
      <c r="B205" s="62" t="s">
        <v>603</v>
      </c>
      <c r="C205" s="28">
        <v>100</v>
      </c>
      <c r="D205" s="28">
        <v>1973</v>
      </c>
      <c r="E205" s="38">
        <v>105.743995</v>
      </c>
      <c r="F205" s="38">
        <v>10.208568</v>
      </c>
      <c r="G205" s="38">
        <v>15.971</v>
      </c>
      <c r="H205" s="38">
        <v>79.564427</v>
      </c>
      <c r="I205" s="43">
        <v>4362.31</v>
      </c>
      <c r="J205" s="38">
        <v>79.564427</v>
      </c>
      <c r="K205" s="43">
        <v>4362.31</v>
      </c>
      <c r="L205" s="63">
        <v>0.018239058434636694</v>
      </c>
      <c r="M205" s="31">
        <v>302.37</v>
      </c>
      <c r="N205" s="65">
        <f>L205*M205</f>
        <v>5.514944098881097</v>
      </c>
      <c r="O205" s="65">
        <f>L205*60*1000</f>
        <v>1094.3435060782017</v>
      </c>
      <c r="P205" s="64">
        <f>N205*60</f>
        <v>330.8966459328658</v>
      </c>
      <c r="R205" s="10"/>
      <c r="S205" s="10"/>
    </row>
    <row r="206" spans="1:22" s="9" customFormat="1" ht="12.75" customHeight="1">
      <c r="A206" s="221"/>
      <c r="B206" s="49" t="s">
        <v>81</v>
      </c>
      <c r="C206" s="24">
        <v>59</v>
      </c>
      <c r="D206" s="24">
        <v>2001</v>
      </c>
      <c r="E206" s="87">
        <v>80.984</v>
      </c>
      <c r="F206" s="87">
        <v>9.225166</v>
      </c>
      <c r="G206" s="87">
        <v>9.12</v>
      </c>
      <c r="H206" s="87">
        <v>62.638834</v>
      </c>
      <c r="I206" s="35">
        <v>3432.83</v>
      </c>
      <c r="J206" s="87">
        <v>62.638836999999995</v>
      </c>
      <c r="K206" s="35">
        <v>3432.83</v>
      </c>
      <c r="L206" s="50">
        <f>J206/K206</f>
        <v>0.018246996501428848</v>
      </c>
      <c r="M206" s="24">
        <v>296.48</v>
      </c>
      <c r="N206" s="27">
        <f>L206*M206</f>
        <v>5.409869522743625</v>
      </c>
      <c r="O206" s="27">
        <f>L206*60*1000</f>
        <v>1094.8197900857308</v>
      </c>
      <c r="P206" s="51">
        <f>O206*M206/1000</f>
        <v>324.59217136461746</v>
      </c>
      <c r="Q206" s="10"/>
      <c r="R206" s="10"/>
      <c r="S206" s="10"/>
      <c r="T206" s="12"/>
      <c r="U206" s="13"/>
      <c r="V206" s="13"/>
    </row>
    <row r="207" spans="1:19" s="9" customFormat="1" ht="12.75" customHeight="1">
      <c r="A207" s="221"/>
      <c r="B207" s="62" t="s">
        <v>311</v>
      </c>
      <c r="C207" s="28">
        <v>40</v>
      </c>
      <c r="D207" s="28">
        <v>1987</v>
      </c>
      <c r="E207" s="38">
        <v>51.794</v>
      </c>
      <c r="F207" s="38">
        <v>3.723</v>
      </c>
      <c r="G207" s="38">
        <v>6.4</v>
      </c>
      <c r="H207" s="38">
        <v>41.671</v>
      </c>
      <c r="I207" s="43">
        <v>2280.42</v>
      </c>
      <c r="J207" s="38">
        <v>41.671</v>
      </c>
      <c r="K207" s="43">
        <v>2280.4</v>
      </c>
      <c r="L207" s="63">
        <f>J207/K207</f>
        <v>0.01827354850026311</v>
      </c>
      <c r="M207" s="31">
        <v>337.137</v>
      </c>
      <c r="N207" s="65">
        <f>L207*M207</f>
        <v>6.160689320733204</v>
      </c>
      <c r="O207" s="65">
        <f>L207*60*1000</f>
        <v>1096.4129100157866</v>
      </c>
      <c r="P207" s="64">
        <f>O207*M207/1000</f>
        <v>369.64135924399227</v>
      </c>
      <c r="R207" s="10"/>
      <c r="S207" s="10"/>
    </row>
    <row r="208" spans="1:22" s="9" customFormat="1" ht="12.75" customHeight="1">
      <c r="A208" s="221"/>
      <c r="B208" s="62" t="s">
        <v>394</v>
      </c>
      <c r="C208" s="28">
        <v>50</v>
      </c>
      <c r="D208" s="28">
        <v>1971</v>
      </c>
      <c r="E208" s="38">
        <v>59.2</v>
      </c>
      <c r="F208" s="38">
        <v>3.83</v>
      </c>
      <c r="G208" s="38">
        <v>8</v>
      </c>
      <c r="H208" s="38">
        <v>47.38</v>
      </c>
      <c r="I208" s="43">
        <v>2592.75</v>
      </c>
      <c r="J208" s="38">
        <v>47.38</v>
      </c>
      <c r="K208" s="43">
        <v>2592.75</v>
      </c>
      <c r="L208" s="63">
        <f>J208/K208</f>
        <v>0.01827403336226015</v>
      </c>
      <c r="M208" s="31">
        <v>326.128</v>
      </c>
      <c r="N208" s="65">
        <f>L208*M208</f>
        <v>5.9596739523671785</v>
      </c>
      <c r="O208" s="65">
        <f>L208*60*1000</f>
        <v>1096.4420017356092</v>
      </c>
      <c r="P208" s="64">
        <f>O208*M208/1000</f>
        <v>357.58043714203075</v>
      </c>
      <c r="Q208" s="10"/>
      <c r="R208" s="10"/>
      <c r="S208" s="10"/>
      <c r="T208" s="12"/>
      <c r="U208" s="13"/>
      <c r="V208" s="13"/>
    </row>
    <row r="209" spans="1:19" s="9" customFormat="1" ht="13.5" customHeight="1">
      <c r="A209" s="221"/>
      <c r="B209" s="62" t="s">
        <v>108</v>
      </c>
      <c r="C209" s="28">
        <v>38</v>
      </c>
      <c r="D209" s="28">
        <v>1982</v>
      </c>
      <c r="E209" s="38">
        <v>51.313</v>
      </c>
      <c r="F209" s="38">
        <v>3.106</v>
      </c>
      <c r="G209" s="38">
        <v>6.4</v>
      </c>
      <c r="H209" s="38">
        <v>41.8071</v>
      </c>
      <c r="I209" s="43">
        <v>2278.82</v>
      </c>
      <c r="J209" s="38">
        <v>39.5</v>
      </c>
      <c r="K209" s="43">
        <v>2160.52</v>
      </c>
      <c r="L209" s="63">
        <f>J209/K209</f>
        <v>0.018282635661785125</v>
      </c>
      <c r="M209" s="31">
        <v>337.137</v>
      </c>
      <c r="N209" s="65">
        <f>L209*M209</f>
        <v>6.163752939107252</v>
      </c>
      <c r="O209" s="65">
        <f>L209*60*1000</f>
        <v>1096.9581397071076</v>
      </c>
      <c r="P209" s="64">
        <f>O209*M209/1000</f>
        <v>369.82517634643517</v>
      </c>
      <c r="Q209" s="11"/>
      <c r="R209" s="10"/>
      <c r="S209" s="10"/>
    </row>
    <row r="210" spans="1:16" s="9" customFormat="1" ht="13.5" customHeight="1">
      <c r="A210" s="221"/>
      <c r="B210" s="49" t="s">
        <v>29</v>
      </c>
      <c r="C210" s="24">
        <v>60</v>
      </c>
      <c r="D210" s="24">
        <v>1994</v>
      </c>
      <c r="E210" s="87">
        <v>57.507</v>
      </c>
      <c r="F210" s="87">
        <v>7.594195</v>
      </c>
      <c r="G210" s="87">
        <v>9.52</v>
      </c>
      <c r="H210" s="87">
        <v>40.392804999999996</v>
      </c>
      <c r="I210" s="35">
        <v>2203.82</v>
      </c>
      <c r="J210" s="87">
        <v>40.392776999999995</v>
      </c>
      <c r="K210" s="35">
        <v>2203.82</v>
      </c>
      <c r="L210" s="50">
        <f>J210/K210</f>
        <v>0.018328528191957596</v>
      </c>
      <c r="M210" s="24">
        <v>296.48</v>
      </c>
      <c r="N210" s="27">
        <f>L210*M210</f>
        <v>5.434042038351588</v>
      </c>
      <c r="O210" s="27">
        <f>L210*60*1000</f>
        <v>1099.7116915174558</v>
      </c>
      <c r="P210" s="51">
        <f>O210*M210/1000</f>
        <v>326.0425223010953</v>
      </c>
    </row>
    <row r="211" spans="1:19" s="9" customFormat="1" ht="12.75" customHeight="1">
      <c r="A211" s="221"/>
      <c r="B211" s="62" t="s">
        <v>827</v>
      </c>
      <c r="C211" s="28">
        <v>20</v>
      </c>
      <c r="D211" s="28" t="s">
        <v>24</v>
      </c>
      <c r="E211" s="38">
        <v>24.3</v>
      </c>
      <c r="F211" s="38">
        <f>31*0.051</f>
        <v>1.581</v>
      </c>
      <c r="G211" s="38">
        <f>20*0.16</f>
        <v>3.2</v>
      </c>
      <c r="H211" s="38">
        <f>+E211-F211-G211</f>
        <v>19.519000000000002</v>
      </c>
      <c r="I211" s="96"/>
      <c r="J211" s="38">
        <f>+H211</f>
        <v>19.519000000000002</v>
      </c>
      <c r="K211" s="43">
        <v>1062</v>
      </c>
      <c r="L211" s="63">
        <f>J211/K211</f>
        <v>0.018379472693032018</v>
      </c>
      <c r="M211" s="31">
        <v>340.2</v>
      </c>
      <c r="N211" s="65">
        <f>L211*M211</f>
        <v>6.252696610169492</v>
      </c>
      <c r="O211" s="65">
        <f>L211*60*1000</f>
        <v>1102.768361581921</v>
      </c>
      <c r="P211" s="64">
        <f>O211*M211/1000</f>
        <v>375.1617966101695</v>
      </c>
      <c r="Q211" s="11"/>
      <c r="R211" s="10"/>
      <c r="S211" s="10"/>
    </row>
    <row r="212" spans="1:19" s="9" customFormat="1" ht="12.75">
      <c r="A212" s="221"/>
      <c r="B212" s="62" t="s">
        <v>107</v>
      </c>
      <c r="C212" s="28">
        <v>50</v>
      </c>
      <c r="D212" s="28">
        <v>1974</v>
      </c>
      <c r="E212" s="38">
        <v>59.737</v>
      </c>
      <c r="F212" s="38">
        <v>3.774</v>
      </c>
      <c r="G212" s="38">
        <v>8</v>
      </c>
      <c r="H212" s="38">
        <v>47.963</v>
      </c>
      <c r="I212" s="43">
        <v>2591.85</v>
      </c>
      <c r="J212" s="38">
        <v>47.963</v>
      </c>
      <c r="K212" s="43">
        <v>2591.85</v>
      </c>
      <c r="L212" s="63">
        <f>J212/K212</f>
        <v>0.01850531473657812</v>
      </c>
      <c r="M212" s="31">
        <v>337.137</v>
      </c>
      <c r="N212" s="65">
        <f>L212*M212</f>
        <v>6.2388262943457375</v>
      </c>
      <c r="O212" s="65">
        <f>L212*60*1000</f>
        <v>1110.3188841946871</v>
      </c>
      <c r="P212" s="64">
        <f>O212*M212/1000</f>
        <v>374.32957766074423</v>
      </c>
      <c r="Q212" s="11"/>
      <c r="R212" s="10"/>
      <c r="S212" s="10"/>
    </row>
    <row r="213" spans="1:19" s="9" customFormat="1" ht="12.75">
      <c r="A213" s="221"/>
      <c r="B213" s="49" t="s">
        <v>692</v>
      </c>
      <c r="C213" s="24"/>
      <c r="D213" s="24" t="s">
        <v>24</v>
      </c>
      <c r="E213" s="87">
        <f>F213+G213+H213</f>
        <v>60.338</v>
      </c>
      <c r="F213" s="87">
        <v>4.3159</v>
      </c>
      <c r="G213" s="87">
        <v>7.92</v>
      </c>
      <c r="H213" s="87">
        <v>48.1021</v>
      </c>
      <c r="I213" s="35">
        <v>2596.6</v>
      </c>
      <c r="J213" s="87">
        <v>48.1021</v>
      </c>
      <c r="K213" s="35">
        <v>2596.6</v>
      </c>
      <c r="L213" s="50">
        <f>J213/K213</f>
        <v>0.01852503273511515</v>
      </c>
      <c r="M213" s="27">
        <v>210</v>
      </c>
      <c r="N213" s="27">
        <f>L213*M213</f>
        <v>3.8902568743741814</v>
      </c>
      <c r="O213" s="27">
        <f>L213*1000*60</f>
        <v>1111.501964106909</v>
      </c>
      <c r="P213" s="51">
        <f>N213*60</f>
        <v>233.4154124624509</v>
      </c>
      <c r="R213" s="10"/>
      <c r="S213" s="10"/>
    </row>
    <row r="214" spans="1:19" s="9" customFormat="1" ht="12.75">
      <c r="A214" s="221"/>
      <c r="B214" s="62" t="s">
        <v>226</v>
      </c>
      <c r="C214" s="28">
        <v>50</v>
      </c>
      <c r="D214" s="28">
        <v>1970</v>
      </c>
      <c r="E214" s="38">
        <v>60.642</v>
      </c>
      <c r="F214" s="38">
        <v>5.1</v>
      </c>
      <c r="G214" s="38">
        <v>8</v>
      </c>
      <c r="H214" s="38">
        <v>47.54</v>
      </c>
      <c r="I214" s="43">
        <v>2565.37</v>
      </c>
      <c r="J214" s="38">
        <v>47.54</v>
      </c>
      <c r="K214" s="43">
        <v>2565.37</v>
      </c>
      <c r="L214" s="63">
        <f>J214/K214</f>
        <v>0.018531439909252857</v>
      </c>
      <c r="M214" s="31">
        <v>328.199</v>
      </c>
      <c r="N214" s="65">
        <f>L214*M214</f>
        <v>6.082000046776879</v>
      </c>
      <c r="O214" s="65">
        <f>L214*60*1000</f>
        <v>1111.8863945551714</v>
      </c>
      <c r="P214" s="64">
        <f>O214*M214/1000</f>
        <v>364.9200028066127</v>
      </c>
      <c r="R214" s="10"/>
      <c r="S214" s="10"/>
    </row>
    <row r="215" spans="1:19" s="9" customFormat="1" ht="12.75">
      <c r="A215" s="221"/>
      <c r="B215" s="62" t="s">
        <v>409</v>
      </c>
      <c r="C215" s="28">
        <v>45</v>
      </c>
      <c r="D215" s="28" t="s">
        <v>24</v>
      </c>
      <c r="E215" s="38">
        <v>67.08</v>
      </c>
      <c r="F215" s="38">
        <v>5.41</v>
      </c>
      <c r="G215" s="38">
        <v>7.2</v>
      </c>
      <c r="H215" s="38">
        <v>54.47</v>
      </c>
      <c r="I215" s="43">
        <v>2938</v>
      </c>
      <c r="J215" s="38">
        <v>54.47</v>
      </c>
      <c r="K215" s="43">
        <v>2938</v>
      </c>
      <c r="L215" s="63">
        <f>J215/K215</f>
        <v>0.018539823008849557</v>
      </c>
      <c r="M215" s="31">
        <v>235.3</v>
      </c>
      <c r="N215" s="65">
        <f>L215*M215</f>
        <v>4.3624203539823005</v>
      </c>
      <c r="O215" s="65">
        <f>L215*60*1000</f>
        <v>1112.3893805309735</v>
      </c>
      <c r="P215" s="64">
        <f>O215*M215/1000</f>
        <v>261.7452212389381</v>
      </c>
      <c r="R215" s="10"/>
      <c r="S215" s="10"/>
    </row>
    <row r="216" spans="1:19" s="9" customFormat="1" ht="12.75">
      <c r="A216" s="221"/>
      <c r="B216" s="251" t="s">
        <v>545</v>
      </c>
      <c r="C216" s="163">
        <v>75</v>
      </c>
      <c r="D216" s="164" t="s">
        <v>24</v>
      </c>
      <c r="E216" s="165">
        <v>94.29</v>
      </c>
      <c r="F216" s="165">
        <v>8.5</v>
      </c>
      <c r="G216" s="166">
        <v>12</v>
      </c>
      <c r="H216" s="165">
        <v>73.79</v>
      </c>
      <c r="I216" s="168">
        <v>3966.62</v>
      </c>
      <c r="J216" s="165">
        <v>73.27</v>
      </c>
      <c r="K216" s="167">
        <v>3941.34</v>
      </c>
      <c r="L216" s="63">
        <f>J216/K216</f>
        <v>0.018590124170967233</v>
      </c>
      <c r="M216" s="31">
        <v>266.83</v>
      </c>
      <c r="N216" s="65">
        <f>L216*M216</f>
        <v>4.960402832539186</v>
      </c>
      <c r="O216" s="65">
        <f>L216*60*1000</f>
        <v>1115.407450258034</v>
      </c>
      <c r="P216" s="64">
        <f>O216*M216/1000</f>
        <v>297.62416995235117</v>
      </c>
      <c r="R216" s="10"/>
      <c r="S216" s="10"/>
    </row>
    <row r="217" spans="1:19" s="9" customFormat="1" ht="12.75" customHeight="1">
      <c r="A217" s="221"/>
      <c r="B217" s="62" t="s">
        <v>395</v>
      </c>
      <c r="C217" s="28">
        <v>50</v>
      </c>
      <c r="D217" s="28">
        <v>1970</v>
      </c>
      <c r="E217" s="38">
        <v>62.611</v>
      </c>
      <c r="F217" s="38">
        <v>5.05</v>
      </c>
      <c r="G217" s="38">
        <v>8</v>
      </c>
      <c r="H217" s="38">
        <v>49.56</v>
      </c>
      <c r="I217" s="43">
        <v>2665.28</v>
      </c>
      <c r="J217" s="38">
        <v>49.56</v>
      </c>
      <c r="K217" s="43">
        <v>2665.28</v>
      </c>
      <c r="L217" s="63">
        <f>J217/K217</f>
        <v>0.01859466922799856</v>
      </c>
      <c r="M217" s="31">
        <v>328.199</v>
      </c>
      <c r="N217" s="65">
        <f>L217*M217</f>
        <v>6.102751845959899</v>
      </c>
      <c r="O217" s="65">
        <f>L217*60*1000</f>
        <v>1115.6801536799135</v>
      </c>
      <c r="P217" s="64">
        <f>O217*M217/1000</f>
        <v>366.16511075759394</v>
      </c>
      <c r="R217" s="10"/>
      <c r="S217" s="10"/>
    </row>
    <row r="218" spans="1:19" s="9" customFormat="1" ht="12.75">
      <c r="A218" s="221"/>
      <c r="B218" s="62" t="s">
        <v>337</v>
      </c>
      <c r="C218" s="28">
        <v>51</v>
      </c>
      <c r="D218" s="28">
        <v>1976</v>
      </c>
      <c r="E218" s="38">
        <v>72.031003</v>
      </c>
      <c r="F218" s="38">
        <v>6.9513</v>
      </c>
      <c r="G218" s="38">
        <v>8.16</v>
      </c>
      <c r="H218" s="38">
        <v>56.919703</v>
      </c>
      <c r="I218" s="43">
        <v>3060.87</v>
      </c>
      <c r="J218" s="38">
        <v>56.919703</v>
      </c>
      <c r="K218" s="43">
        <v>3060.87</v>
      </c>
      <c r="L218" s="63">
        <v>0.018595923054556384</v>
      </c>
      <c r="M218" s="31">
        <v>302.37</v>
      </c>
      <c r="N218" s="65">
        <f>L218*M218</f>
        <v>5.622849254006214</v>
      </c>
      <c r="O218" s="65">
        <f>L218*60*1000</f>
        <v>1115.7553832733831</v>
      </c>
      <c r="P218" s="64">
        <f>N218*60</f>
        <v>337.37095524037284</v>
      </c>
      <c r="R218" s="10"/>
      <c r="S218" s="10"/>
    </row>
    <row r="219" spans="1:19" s="9" customFormat="1" ht="12.75" customHeight="1">
      <c r="A219" s="221"/>
      <c r="B219" s="62" t="s">
        <v>800</v>
      </c>
      <c r="C219" s="28">
        <v>30</v>
      </c>
      <c r="D219" s="28">
        <v>1992</v>
      </c>
      <c r="E219" s="38">
        <v>37.7</v>
      </c>
      <c r="F219" s="38">
        <v>2.3</v>
      </c>
      <c r="G219" s="38">
        <v>4.8</v>
      </c>
      <c r="H219" s="38">
        <v>30.556</v>
      </c>
      <c r="I219" s="43">
        <v>1638</v>
      </c>
      <c r="J219" s="38">
        <v>30.6</v>
      </c>
      <c r="K219" s="43">
        <v>1638</v>
      </c>
      <c r="L219" s="63">
        <f>J219/K219</f>
        <v>0.01868131868131868</v>
      </c>
      <c r="M219" s="31">
        <v>216.9</v>
      </c>
      <c r="N219" s="65">
        <f>L219*M219</f>
        <v>4.051978021978022</v>
      </c>
      <c r="O219" s="65">
        <f>L219*60*1000</f>
        <v>1120.8791208791208</v>
      </c>
      <c r="P219" s="64">
        <f>O219*M219/1000</f>
        <v>243.1186813186813</v>
      </c>
      <c r="Q219" s="11"/>
      <c r="R219" s="10"/>
      <c r="S219" s="10"/>
    </row>
    <row r="220" spans="1:19" s="9" customFormat="1" ht="12.75">
      <c r="A220" s="221"/>
      <c r="B220" s="251" t="s">
        <v>546</v>
      </c>
      <c r="C220" s="163">
        <v>45</v>
      </c>
      <c r="D220" s="164" t="s">
        <v>24</v>
      </c>
      <c r="E220" s="165">
        <v>57.21</v>
      </c>
      <c r="F220" s="165">
        <v>6.06</v>
      </c>
      <c r="G220" s="166">
        <v>7.2</v>
      </c>
      <c r="H220" s="165">
        <v>43.95</v>
      </c>
      <c r="I220" s="167">
        <v>2340.65</v>
      </c>
      <c r="J220" s="165">
        <v>43.95</v>
      </c>
      <c r="K220" s="167">
        <v>2340.65</v>
      </c>
      <c r="L220" s="63">
        <f>J220/K220</f>
        <v>0.018776835494413946</v>
      </c>
      <c r="M220" s="31">
        <v>266.83</v>
      </c>
      <c r="N220" s="65">
        <f>L220*M220</f>
        <v>5.010223014974473</v>
      </c>
      <c r="O220" s="65">
        <f>L220*60*1000</f>
        <v>1126.6101296648367</v>
      </c>
      <c r="P220" s="64">
        <f>O220*M220/1000</f>
        <v>300.6133808984684</v>
      </c>
      <c r="R220" s="10"/>
      <c r="S220" s="10"/>
    </row>
    <row r="221" spans="1:19" s="9" customFormat="1" ht="12.75">
      <c r="A221" s="221"/>
      <c r="B221" s="49" t="s">
        <v>56</v>
      </c>
      <c r="C221" s="24">
        <v>83</v>
      </c>
      <c r="D221" s="24">
        <v>2006</v>
      </c>
      <c r="E221" s="87">
        <v>124.47</v>
      </c>
      <c r="F221" s="87">
        <v>12.73</v>
      </c>
      <c r="G221" s="87">
        <v>7.36</v>
      </c>
      <c r="H221" s="87">
        <f>E221-F221-G221</f>
        <v>104.38</v>
      </c>
      <c r="I221" s="35">
        <v>5540.2</v>
      </c>
      <c r="J221" s="87">
        <f>H221/I221*K221</f>
        <v>92.7139778347352</v>
      </c>
      <c r="K221" s="24">
        <v>4921</v>
      </c>
      <c r="L221" s="50">
        <f>J221/K221</f>
        <v>0.018840475073102055</v>
      </c>
      <c r="M221" s="27">
        <v>323.29400000000004</v>
      </c>
      <c r="N221" s="27">
        <f>L221*M221</f>
        <v>6.091012548283456</v>
      </c>
      <c r="O221" s="27">
        <f>L221*60*1000</f>
        <v>1130.4285043861232</v>
      </c>
      <c r="P221" s="51">
        <f>O221*M221/1000</f>
        <v>365.4607528970074</v>
      </c>
      <c r="Q221" s="11"/>
      <c r="R221" s="10"/>
      <c r="S221" s="10"/>
    </row>
    <row r="222" spans="1:19" s="9" customFormat="1" ht="12.75">
      <c r="A222" s="221"/>
      <c r="B222" s="62" t="s">
        <v>604</v>
      </c>
      <c r="C222" s="28">
        <v>92</v>
      </c>
      <c r="D222" s="28">
        <v>1972</v>
      </c>
      <c r="E222" s="38">
        <v>108.616294</v>
      </c>
      <c r="F222" s="38">
        <v>8.04729</v>
      </c>
      <c r="G222" s="38">
        <v>14.4</v>
      </c>
      <c r="H222" s="38">
        <v>86.169004</v>
      </c>
      <c r="I222" s="43">
        <v>4572.91</v>
      </c>
      <c r="J222" s="38">
        <v>86.169004</v>
      </c>
      <c r="K222" s="43">
        <v>4572.91</v>
      </c>
      <c r="L222" s="63">
        <v>0.018843363197613774</v>
      </c>
      <c r="M222" s="31">
        <v>302.37</v>
      </c>
      <c r="N222" s="65">
        <f>L222*M222</f>
        <v>5.697667730062477</v>
      </c>
      <c r="O222" s="65">
        <f>L222*60*1000</f>
        <v>1130.6017918568266</v>
      </c>
      <c r="P222" s="64">
        <f>N222*60</f>
        <v>341.86006380374863</v>
      </c>
      <c r="R222" s="10"/>
      <c r="S222" s="10"/>
    </row>
    <row r="223" spans="1:19" s="9" customFormat="1" ht="12.75">
      <c r="A223" s="221"/>
      <c r="B223" s="62" t="s">
        <v>605</v>
      </c>
      <c r="C223" s="28">
        <v>72</v>
      </c>
      <c r="D223" s="28">
        <v>1980</v>
      </c>
      <c r="E223" s="38">
        <v>99.439</v>
      </c>
      <c r="F223" s="38">
        <v>8.058</v>
      </c>
      <c r="G223" s="38">
        <v>11.52</v>
      </c>
      <c r="H223" s="38">
        <v>79.861</v>
      </c>
      <c r="I223" s="43">
        <v>4220</v>
      </c>
      <c r="J223" s="38">
        <v>79.861</v>
      </c>
      <c r="K223" s="43">
        <v>4220</v>
      </c>
      <c r="L223" s="63">
        <v>0.01892440758293839</v>
      </c>
      <c r="M223" s="31">
        <v>302.37</v>
      </c>
      <c r="N223" s="65">
        <f>L223*M223</f>
        <v>5.722173120853081</v>
      </c>
      <c r="O223" s="65">
        <f>L223*60*1000</f>
        <v>1135.4644549763034</v>
      </c>
      <c r="P223" s="64">
        <f>N223*60</f>
        <v>343.33038725118485</v>
      </c>
      <c r="R223" s="10"/>
      <c r="S223" s="10"/>
    </row>
    <row r="224" spans="1:19" s="9" customFormat="1" ht="12.75">
      <c r="A224" s="221"/>
      <c r="B224" s="62" t="s">
        <v>606</v>
      </c>
      <c r="C224" s="28">
        <v>75</v>
      </c>
      <c r="D224" s="28">
        <v>1987</v>
      </c>
      <c r="E224" s="38">
        <v>96.299</v>
      </c>
      <c r="F224" s="38">
        <v>8.1855</v>
      </c>
      <c r="G224" s="38">
        <v>12</v>
      </c>
      <c r="H224" s="38">
        <v>76.1135</v>
      </c>
      <c r="I224" s="43">
        <v>4017.2</v>
      </c>
      <c r="J224" s="38">
        <v>76.1135</v>
      </c>
      <c r="K224" s="43">
        <v>4017.2</v>
      </c>
      <c r="L224" s="63">
        <v>0.018946</v>
      </c>
      <c r="M224" s="31">
        <v>302.37</v>
      </c>
      <c r="N224" s="65">
        <f>L224*M224</f>
        <v>5.72870202</v>
      </c>
      <c r="O224" s="65">
        <f>L224*60*1000</f>
        <v>1136.76</v>
      </c>
      <c r="P224" s="64">
        <f>N224*60</f>
        <v>343.7221212</v>
      </c>
      <c r="R224" s="45"/>
      <c r="S224" s="10"/>
    </row>
    <row r="225" spans="1:19" s="9" customFormat="1" ht="12.75" customHeight="1">
      <c r="A225" s="221"/>
      <c r="B225" s="254" t="s">
        <v>126</v>
      </c>
      <c r="C225" s="131">
        <v>49</v>
      </c>
      <c r="D225" s="28">
        <v>1969</v>
      </c>
      <c r="E225" s="38">
        <f>F225+G225+H225</f>
        <v>60.977602999999995</v>
      </c>
      <c r="F225" s="121">
        <v>5.151000000000001</v>
      </c>
      <c r="G225" s="121">
        <v>7.84</v>
      </c>
      <c r="H225" s="121">
        <v>47.986602999999995</v>
      </c>
      <c r="I225" s="122">
        <v>2600.39</v>
      </c>
      <c r="J225" s="121">
        <v>47.986602999999995</v>
      </c>
      <c r="K225" s="122">
        <v>2528.6</v>
      </c>
      <c r="L225" s="63">
        <f>J225/K225</f>
        <v>0.018977538163410582</v>
      </c>
      <c r="M225" s="31">
        <v>314.465</v>
      </c>
      <c r="N225" s="65">
        <f>L225*M225</f>
        <v>5.967771538556908</v>
      </c>
      <c r="O225" s="65">
        <f>L225*60*1000</f>
        <v>1138.6522898046348</v>
      </c>
      <c r="P225" s="64">
        <f>O225*M225/1000</f>
        <v>358.06629231341446</v>
      </c>
      <c r="R225" s="10"/>
      <c r="S225" s="10"/>
    </row>
    <row r="226" spans="1:19" s="9" customFormat="1" ht="12.75">
      <c r="A226" s="221"/>
      <c r="B226" s="49" t="s">
        <v>693</v>
      </c>
      <c r="C226" s="24">
        <v>20</v>
      </c>
      <c r="D226" s="24" t="s">
        <v>24</v>
      </c>
      <c r="E226" s="87">
        <f>F226+G226+H226</f>
        <v>28.6001</v>
      </c>
      <c r="F226" s="87">
        <v>4.2038</v>
      </c>
      <c r="G226" s="87">
        <v>3.2</v>
      </c>
      <c r="H226" s="87">
        <v>21.1963</v>
      </c>
      <c r="I226" s="35">
        <v>1116.28</v>
      </c>
      <c r="J226" s="87">
        <v>21.1963</v>
      </c>
      <c r="K226" s="35">
        <v>1116.28</v>
      </c>
      <c r="L226" s="50">
        <f>J226/K226</f>
        <v>0.018988336259719785</v>
      </c>
      <c r="M226" s="27">
        <v>210</v>
      </c>
      <c r="N226" s="27">
        <f>L226*M226</f>
        <v>3.987550614541155</v>
      </c>
      <c r="O226" s="27">
        <f>L226*1000*60</f>
        <v>1139.300175583187</v>
      </c>
      <c r="P226" s="51">
        <f>N226*60</f>
        <v>239.2530368724693</v>
      </c>
      <c r="R226" s="10"/>
      <c r="S226" s="10"/>
    </row>
    <row r="227" spans="1:19" s="9" customFormat="1" ht="12.75" customHeight="1">
      <c r="A227" s="221"/>
      <c r="B227" s="62" t="s">
        <v>841</v>
      </c>
      <c r="C227" s="28">
        <v>80</v>
      </c>
      <c r="D227" s="28">
        <v>1972</v>
      </c>
      <c r="E227" s="38">
        <v>94.1</v>
      </c>
      <c r="F227" s="38">
        <v>7.08</v>
      </c>
      <c r="G227" s="38">
        <v>12.72</v>
      </c>
      <c r="H227" s="38">
        <v>74.3</v>
      </c>
      <c r="I227" s="43">
        <v>3909</v>
      </c>
      <c r="J227" s="38">
        <v>74.3</v>
      </c>
      <c r="K227" s="43">
        <v>3909</v>
      </c>
      <c r="L227" s="63">
        <f>J227/K227</f>
        <v>0.019007418777180863</v>
      </c>
      <c r="M227" s="31">
        <v>254.2</v>
      </c>
      <c r="N227" s="65">
        <f>L227*M227</f>
        <v>4.831685853159375</v>
      </c>
      <c r="O227" s="65">
        <f>L227*60*1000</f>
        <v>1140.4451266308517</v>
      </c>
      <c r="P227" s="64">
        <f>O227*M227/1000</f>
        <v>289.90115118956254</v>
      </c>
      <c r="R227" s="10"/>
      <c r="S227" s="10"/>
    </row>
    <row r="228" spans="1:19" s="9" customFormat="1" ht="12.75">
      <c r="A228" s="221"/>
      <c r="B228" s="49" t="s">
        <v>170</v>
      </c>
      <c r="C228" s="24">
        <v>60</v>
      </c>
      <c r="D228" s="24">
        <v>1980</v>
      </c>
      <c r="E228" s="87">
        <v>82.1</v>
      </c>
      <c r="F228" s="87">
        <v>13.95</v>
      </c>
      <c r="G228" s="87">
        <v>9.44</v>
      </c>
      <c r="H228" s="87">
        <v>58.71</v>
      </c>
      <c r="I228" s="35">
        <v>3087.75</v>
      </c>
      <c r="J228" s="87">
        <v>58.71</v>
      </c>
      <c r="K228" s="35">
        <v>3087.75</v>
      </c>
      <c r="L228" s="50">
        <f>J228/K228</f>
        <v>0.01901384503279087</v>
      </c>
      <c r="M228" s="27">
        <v>263.899</v>
      </c>
      <c r="N228" s="27">
        <f>L228*M228</f>
        <v>5.017734690308478</v>
      </c>
      <c r="O228" s="27">
        <f>L228*1000*60</f>
        <v>1140.8307019674521</v>
      </c>
      <c r="P228" s="51">
        <f>N228*60</f>
        <v>301.0640814185087</v>
      </c>
      <c r="R228" s="10"/>
      <c r="S228" s="10"/>
    </row>
    <row r="229" spans="1:19" s="9" customFormat="1" ht="12.75">
      <c r="A229" s="221"/>
      <c r="B229" s="62" t="s">
        <v>228</v>
      </c>
      <c r="C229" s="28">
        <v>80</v>
      </c>
      <c r="D229" s="28">
        <v>2007</v>
      </c>
      <c r="E229" s="38">
        <v>139.001</v>
      </c>
      <c r="F229" s="38">
        <v>5.406</v>
      </c>
      <c r="G229" s="38">
        <v>8.08</v>
      </c>
      <c r="H229" s="38">
        <v>125.515</v>
      </c>
      <c r="I229" s="43">
        <v>6813.25</v>
      </c>
      <c r="J229" s="38">
        <v>101.43</v>
      </c>
      <c r="K229" s="43">
        <v>5290.73</v>
      </c>
      <c r="L229" s="63">
        <f>J229/K229</f>
        <v>0.01917126748104704</v>
      </c>
      <c r="M229" s="31">
        <v>328.199</v>
      </c>
      <c r="N229" s="65">
        <f>L229*M229</f>
        <v>6.2919908160121585</v>
      </c>
      <c r="O229" s="65">
        <f>L229*60*1000</f>
        <v>1150.2760488628226</v>
      </c>
      <c r="P229" s="64">
        <f>O229*M229/1000</f>
        <v>377.5194489607295</v>
      </c>
      <c r="R229" s="10"/>
      <c r="S229" s="10"/>
    </row>
    <row r="230" spans="1:19" s="9" customFormat="1" ht="12.75">
      <c r="A230" s="221"/>
      <c r="B230" s="254" t="s">
        <v>131</v>
      </c>
      <c r="C230" s="131">
        <v>58</v>
      </c>
      <c r="D230" s="28">
        <v>1991</v>
      </c>
      <c r="E230" s="38">
        <f>F230+G230+H230</f>
        <v>61.701997</v>
      </c>
      <c r="F230" s="121">
        <v>5.4825</v>
      </c>
      <c r="G230" s="121">
        <v>9.44</v>
      </c>
      <c r="H230" s="121">
        <v>46.779497</v>
      </c>
      <c r="I230" s="122">
        <v>2439.79</v>
      </c>
      <c r="J230" s="121">
        <v>46.779497</v>
      </c>
      <c r="K230" s="122">
        <v>2439.79</v>
      </c>
      <c r="L230" s="63">
        <f>J230/K230</f>
        <v>0.019173575184749506</v>
      </c>
      <c r="M230" s="31">
        <v>314.465</v>
      </c>
      <c r="N230" s="65">
        <f>L230*M230</f>
        <v>6.029418320472253</v>
      </c>
      <c r="O230" s="65">
        <f>L230*60*1000</f>
        <v>1150.4145110849704</v>
      </c>
      <c r="P230" s="64">
        <f>O230*M230/1000</f>
        <v>361.7650992283352</v>
      </c>
      <c r="R230" s="10"/>
      <c r="S230" s="10"/>
    </row>
    <row r="231" spans="1:23" s="9" customFormat="1" ht="12.75">
      <c r="A231" s="221"/>
      <c r="B231" s="62" t="s">
        <v>665</v>
      </c>
      <c r="C231" s="28">
        <v>60</v>
      </c>
      <c r="D231" s="28" t="s">
        <v>24</v>
      </c>
      <c r="E231" s="38">
        <v>65.88</v>
      </c>
      <c r="F231" s="38">
        <v>3.99</v>
      </c>
      <c r="G231" s="38">
        <v>9.6</v>
      </c>
      <c r="H231" s="38">
        <v>52.29</v>
      </c>
      <c r="I231" s="43">
        <v>2726</v>
      </c>
      <c r="J231" s="38">
        <v>52.29</v>
      </c>
      <c r="K231" s="43">
        <v>2726</v>
      </c>
      <c r="L231" s="63">
        <f>J231/K231</f>
        <v>0.019181951577402788</v>
      </c>
      <c r="M231" s="31">
        <v>235.3</v>
      </c>
      <c r="N231" s="65">
        <f>L231*M231</f>
        <v>4.513513206162877</v>
      </c>
      <c r="O231" s="65">
        <f>L231*60*1000</f>
        <v>1150.9170946441673</v>
      </c>
      <c r="P231" s="64">
        <f>O231*M231/1000</f>
        <v>270.81079236977257</v>
      </c>
      <c r="Q231" s="10"/>
      <c r="R231" s="10"/>
      <c r="S231" s="10"/>
      <c r="T231" s="12"/>
      <c r="U231" s="15"/>
      <c r="V231" s="15"/>
      <c r="W231" s="16"/>
    </row>
    <row r="232" spans="1:19" s="9" customFormat="1" ht="12.75">
      <c r="A232" s="221"/>
      <c r="B232" s="254" t="s">
        <v>137</v>
      </c>
      <c r="C232" s="131">
        <v>39</v>
      </c>
      <c r="D232" s="28">
        <v>1990</v>
      </c>
      <c r="E232" s="38">
        <f>F232+G232+H232</f>
        <v>55.39999699999999</v>
      </c>
      <c r="F232" s="121">
        <v>4.692</v>
      </c>
      <c r="G232" s="121">
        <v>6.4</v>
      </c>
      <c r="H232" s="121">
        <v>44.30799699999999</v>
      </c>
      <c r="I232" s="122">
        <v>2295.46</v>
      </c>
      <c r="J232" s="121">
        <v>44.30799699999999</v>
      </c>
      <c r="K232" s="122">
        <v>2295.46</v>
      </c>
      <c r="L232" s="63">
        <f>J232/K232</f>
        <v>0.019302447875371383</v>
      </c>
      <c r="M232" s="31">
        <v>314.465</v>
      </c>
      <c r="N232" s="65">
        <f>L232*M232</f>
        <v>6.069944271128661</v>
      </c>
      <c r="O232" s="65">
        <f>L232*60*1000</f>
        <v>1158.146872522283</v>
      </c>
      <c r="P232" s="64">
        <f>O232*M232/1000</f>
        <v>364.1966562677197</v>
      </c>
      <c r="R232" s="10"/>
      <c r="S232" s="10"/>
    </row>
    <row r="233" spans="1:19" s="9" customFormat="1" ht="12.75">
      <c r="A233" s="221"/>
      <c r="B233" s="49" t="s">
        <v>30</v>
      </c>
      <c r="C233" s="24">
        <v>50</v>
      </c>
      <c r="D233" s="24">
        <v>2006</v>
      </c>
      <c r="E233" s="87">
        <v>62.17</v>
      </c>
      <c r="F233" s="87">
        <v>9.16653</v>
      </c>
      <c r="G233" s="87">
        <v>4</v>
      </c>
      <c r="H233" s="87">
        <v>49.00346999999999</v>
      </c>
      <c r="I233" s="35">
        <v>2532.37</v>
      </c>
      <c r="J233" s="87">
        <v>49.003443000000004</v>
      </c>
      <c r="K233" s="35">
        <v>2532.37</v>
      </c>
      <c r="L233" s="50">
        <f>J233/K233</f>
        <v>0.01935082274707093</v>
      </c>
      <c r="M233" s="24">
        <v>296.48</v>
      </c>
      <c r="N233" s="27">
        <f>L233*M233</f>
        <v>5.737131928051589</v>
      </c>
      <c r="O233" s="27">
        <f>L233*60*1000</f>
        <v>1161.0493648242557</v>
      </c>
      <c r="P233" s="51">
        <f>O233*M233/1000</f>
        <v>344.2279156830953</v>
      </c>
      <c r="R233" s="10"/>
      <c r="S233" s="10"/>
    </row>
    <row r="234" spans="1:19" s="9" customFormat="1" ht="12.75">
      <c r="A234" s="221"/>
      <c r="B234" s="251" t="s">
        <v>547</v>
      </c>
      <c r="C234" s="163">
        <v>75</v>
      </c>
      <c r="D234" s="164" t="s">
        <v>24</v>
      </c>
      <c r="E234" s="165">
        <v>97.31</v>
      </c>
      <c r="F234" s="165">
        <v>8.3</v>
      </c>
      <c r="G234" s="166">
        <v>12</v>
      </c>
      <c r="H234" s="165">
        <v>77.01</v>
      </c>
      <c r="I234" s="167">
        <v>3954.15</v>
      </c>
      <c r="J234" s="165">
        <v>77.01</v>
      </c>
      <c r="K234" s="167">
        <v>3954.15</v>
      </c>
      <c r="L234" s="63">
        <f>J234/K234</f>
        <v>0.019475740677516028</v>
      </c>
      <c r="M234" s="31">
        <v>266.83</v>
      </c>
      <c r="N234" s="65">
        <f>L234*M234</f>
        <v>5.196711884981601</v>
      </c>
      <c r="O234" s="65">
        <f>L234*60*1000</f>
        <v>1168.5444406509619</v>
      </c>
      <c r="P234" s="64">
        <f>O234*M234/1000</f>
        <v>311.80271309889616</v>
      </c>
      <c r="Q234" s="11"/>
      <c r="R234" s="10"/>
      <c r="S234" s="10"/>
    </row>
    <row r="235" spans="1:19" s="9" customFormat="1" ht="11.25" customHeight="1">
      <c r="A235" s="221"/>
      <c r="B235" s="254" t="s">
        <v>129</v>
      </c>
      <c r="C235" s="131">
        <v>30</v>
      </c>
      <c r="D235" s="28">
        <v>1990</v>
      </c>
      <c r="E235" s="38">
        <f>F235+G235+H235</f>
        <v>40</v>
      </c>
      <c r="F235" s="121">
        <v>3.774</v>
      </c>
      <c r="G235" s="121">
        <v>4.8</v>
      </c>
      <c r="H235" s="121">
        <v>31.426</v>
      </c>
      <c r="I235" s="122">
        <v>1613.04</v>
      </c>
      <c r="J235" s="121">
        <v>31.426</v>
      </c>
      <c r="K235" s="122">
        <v>1613.04</v>
      </c>
      <c r="L235" s="63">
        <f>J235/K235</f>
        <v>0.019482467886723205</v>
      </c>
      <c r="M235" s="31">
        <v>314.465</v>
      </c>
      <c r="N235" s="65">
        <f>L235*M235</f>
        <v>6.126554263998412</v>
      </c>
      <c r="O235" s="65">
        <f>L235*60*1000</f>
        <v>1168.9480732033924</v>
      </c>
      <c r="P235" s="64">
        <f>O235*M235/1000</f>
        <v>367.59325583990477</v>
      </c>
      <c r="Q235" s="11"/>
      <c r="R235" s="10"/>
      <c r="S235" s="10"/>
    </row>
    <row r="236" spans="1:19" s="9" customFormat="1" ht="12.75" customHeight="1">
      <c r="A236" s="221"/>
      <c r="B236" s="254" t="s">
        <v>135</v>
      </c>
      <c r="C236" s="131">
        <v>59</v>
      </c>
      <c r="D236" s="28">
        <v>1974</v>
      </c>
      <c r="E236" s="38">
        <f>F236+G236+H236</f>
        <v>67.476006</v>
      </c>
      <c r="F236" s="121">
        <v>4.437</v>
      </c>
      <c r="G236" s="121">
        <v>9.6</v>
      </c>
      <c r="H236" s="121">
        <v>53.439006</v>
      </c>
      <c r="I236" s="122">
        <v>2729.69</v>
      </c>
      <c r="J236" s="121">
        <v>53.439006</v>
      </c>
      <c r="K236" s="122">
        <v>2729.69</v>
      </c>
      <c r="L236" s="63">
        <f>J236/K236</f>
        <v>0.01957695049621019</v>
      </c>
      <c r="M236" s="31">
        <v>314.465</v>
      </c>
      <c r="N236" s="65">
        <f>L236*M236</f>
        <v>6.156265737790737</v>
      </c>
      <c r="O236" s="65">
        <f>L236*60*1000</f>
        <v>1174.6170297726114</v>
      </c>
      <c r="P236" s="64">
        <f>O236*M236/1000</f>
        <v>369.3759442674442</v>
      </c>
      <c r="R236" s="10"/>
      <c r="S236" s="10"/>
    </row>
    <row r="237" spans="1:19" s="9" customFormat="1" ht="12.75" customHeight="1">
      <c r="A237" s="221"/>
      <c r="B237" s="62" t="s">
        <v>497</v>
      </c>
      <c r="C237" s="28">
        <v>36</v>
      </c>
      <c r="D237" s="28">
        <v>1989</v>
      </c>
      <c r="E237" s="38">
        <v>57.16961</v>
      </c>
      <c r="F237" s="38">
        <v>9.32822</v>
      </c>
      <c r="G237" s="38">
        <v>3.6</v>
      </c>
      <c r="H237" s="38">
        <f>E237-F237-G237</f>
        <v>44.241389999999996</v>
      </c>
      <c r="I237" s="43">
        <v>2253.85</v>
      </c>
      <c r="J237" s="38">
        <f>H237</f>
        <v>44.241389999999996</v>
      </c>
      <c r="K237" s="43">
        <f>I237</f>
        <v>2253.85</v>
      </c>
      <c r="L237" s="63">
        <f>J237/K237</f>
        <v>0.019629252168511656</v>
      </c>
      <c r="M237" s="31">
        <v>279.476</v>
      </c>
      <c r="N237" s="65">
        <f>L237*M237</f>
        <v>5.485904879046964</v>
      </c>
      <c r="O237" s="65">
        <f>L237*60*1000</f>
        <v>1177.7551301106994</v>
      </c>
      <c r="P237" s="64">
        <f>O237*M237/1000</f>
        <v>329.15429274281786</v>
      </c>
      <c r="R237" s="10"/>
      <c r="S237" s="10"/>
    </row>
    <row r="238" spans="1:22" s="9" customFormat="1" ht="12.75" customHeight="1">
      <c r="A238" s="221"/>
      <c r="B238" s="62" t="s">
        <v>109</v>
      </c>
      <c r="C238" s="28">
        <v>19</v>
      </c>
      <c r="D238" s="28">
        <v>1984</v>
      </c>
      <c r="E238" s="38">
        <v>24.635</v>
      </c>
      <c r="F238" s="38">
        <v>1.836</v>
      </c>
      <c r="G238" s="38">
        <v>3.04</v>
      </c>
      <c r="H238" s="38">
        <v>19.759</v>
      </c>
      <c r="I238" s="43">
        <v>1053.81</v>
      </c>
      <c r="J238" s="38">
        <v>19.56</v>
      </c>
      <c r="K238" s="43">
        <v>994.89</v>
      </c>
      <c r="L238" s="63">
        <f>J238/K238</f>
        <v>0.0196604649760275</v>
      </c>
      <c r="M238" s="31">
        <v>337.137</v>
      </c>
      <c r="N238" s="65">
        <f>L238*M238</f>
        <v>6.628270180622984</v>
      </c>
      <c r="O238" s="65">
        <f>L238*60*1000</f>
        <v>1179.62789856165</v>
      </c>
      <c r="P238" s="64">
        <f>O238*M238/1000</f>
        <v>397.696210837379</v>
      </c>
      <c r="Q238" s="10"/>
      <c r="R238" s="10"/>
      <c r="S238" s="10"/>
      <c r="T238" s="12"/>
      <c r="U238" s="13"/>
      <c r="V238" s="13"/>
    </row>
    <row r="239" spans="1:19" s="9" customFormat="1" ht="12.75" customHeight="1">
      <c r="A239" s="221"/>
      <c r="B239" s="49" t="s">
        <v>765</v>
      </c>
      <c r="C239" s="24">
        <v>60</v>
      </c>
      <c r="D239" s="24" t="s">
        <v>24</v>
      </c>
      <c r="E239" s="87">
        <f>SUM(F239:H239)</f>
        <v>65.8</v>
      </c>
      <c r="F239" s="87">
        <v>9.2</v>
      </c>
      <c r="G239" s="87">
        <v>9.2</v>
      </c>
      <c r="H239" s="87">
        <v>47.4</v>
      </c>
      <c r="I239" s="35">
        <v>2404.54</v>
      </c>
      <c r="J239" s="87">
        <v>47.4</v>
      </c>
      <c r="K239" s="35">
        <v>2404.54</v>
      </c>
      <c r="L239" s="63">
        <f>J239/K239</f>
        <v>0.019712710123349995</v>
      </c>
      <c r="M239" s="31">
        <v>204.4</v>
      </c>
      <c r="N239" s="65">
        <f>L239*M239</f>
        <v>4.029277949212739</v>
      </c>
      <c r="O239" s="65">
        <f>L239*60*1000</f>
        <v>1182.7626074009995</v>
      </c>
      <c r="P239" s="64">
        <f>O239*M239/1000</f>
        <v>241.7566769527643</v>
      </c>
      <c r="R239" s="10"/>
      <c r="S239" s="10"/>
    </row>
    <row r="240" spans="1:19" s="9" customFormat="1" ht="12.75" customHeight="1">
      <c r="A240" s="221"/>
      <c r="B240" s="62" t="s">
        <v>265</v>
      </c>
      <c r="C240" s="28">
        <v>24</v>
      </c>
      <c r="D240" s="28">
        <v>2010</v>
      </c>
      <c r="E240" s="38">
        <v>22.0069</v>
      </c>
      <c r="F240" s="38">
        <v>0.051</v>
      </c>
      <c r="G240" s="38">
        <v>1.92</v>
      </c>
      <c r="H240" s="38">
        <v>20.0359</v>
      </c>
      <c r="I240" s="43">
        <v>1016.52</v>
      </c>
      <c r="J240" s="38">
        <v>20.04</v>
      </c>
      <c r="K240" s="43">
        <v>1016.52</v>
      </c>
      <c r="L240" s="63">
        <f>J240/K240</f>
        <v>0.019714319442804863</v>
      </c>
      <c r="M240" s="31">
        <v>328.199</v>
      </c>
      <c r="N240" s="65">
        <f>L240*M240</f>
        <v>6.470219926809113</v>
      </c>
      <c r="O240" s="65">
        <f>L240*60*1000</f>
        <v>1182.8591665682918</v>
      </c>
      <c r="P240" s="64">
        <f>O240*M240/1000</f>
        <v>388.21319560854687</v>
      </c>
      <c r="R240" s="10"/>
      <c r="S240" s="10"/>
    </row>
    <row r="241" spans="1:19" s="9" customFormat="1" ht="12.75" customHeight="1">
      <c r="A241" s="221"/>
      <c r="B241" s="62" t="s">
        <v>397</v>
      </c>
      <c r="C241" s="28">
        <v>55</v>
      </c>
      <c r="D241" s="28">
        <v>1968</v>
      </c>
      <c r="E241" s="38">
        <v>63.319</v>
      </c>
      <c r="F241" s="38">
        <v>4.08</v>
      </c>
      <c r="G241" s="38">
        <v>8.8</v>
      </c>
      <c r="H241" s="38">
        <v>50.44</v>
      </c>
      <c r="I241" s="43">
        <v>2555.52</v>
      </c>
      <c r="J241" s="38">
        <v>50.44</v>
      </c>
      <c r="K241" s="43">
        <v>2555.52</v>
      </c>
      <c r="L241" s="63">
        <f>J241/K241</f>
        <v>0.019737665915351865</v>
      </c>
      <c r="M241" s="31">
        <v>328.199</v>
      </c>
      <c r="N241" s="65">
        <f>L241*M241</f>
        <v>6.477882215752567</v>
      </c>
      <c r="O241" s="65">
        <f>L241*60*1000</f>
        <v>1184.259954921112</v>
      </c>
      <c r="P241" s="64">
        <f>O241*M241/1000</f>
        <v>388.67293294515406</v>
      </c>
      <c r="R241" s="10"/>
      <c r="S241" s="10"/>
    </row>
    <row r="242" spans="1:19" s="9" customFormat="1" ht="12.75" customHeight="1">
      <c r="A242" s="221"/>
      <c r="B242" s="49" t="s">
        <v>160</v>
      </c>
      <c r="C242" s="24">
        <v>60</v>
      </c>
      <c r="D242" s="24" t="s">
        <v>24</v>
      </c>
      <c r="E242" s="87">
        <f>F242+G242+H242</f>
        <v>78.9296</v>
      </c>
      <c r="F242" s="87">
        <v>7.393</v>
      </c>
      <c r="G242" s="87">
        <v>9.6</v>
      </c>
      <c r="H242" s="87">
        <v>61.9366</v>
      </c>
      <c r="I242" s="35">
        <v>3136.98</v>
      </c>
      <c r="J242" s="87">
        <v>61.9366</v>
      </c>
      <c r="K242" s="35">
        <v>3136.98</v>
      </c>
      <c r="L242" s="50">
        <f>J242/K242</f>
        <v>0.019744021319868153</v>
      </c>
      <c r="M242" s="27">
        <v>210</v>
      </c>
      <c r="N242" s="27">
        <f>L242*M242</f>
        <v>4.146244477172313</v>
      </c>
      <c r="O242" s="27">
        <f>L242*1000*60</f>
        <v>1184.6412791920893</v>
      </c>
      <c r="P242" s="51">
        <f>N242*60</f>
        <v>248.77466863033877</v>
      </c>
      <c r="R242" s="10"/>
      <c r="S242" s="10"/>
    </row>
    <row r="243" spans="1:19" s="9" customFormat="1" ht="13.5" customHeight="1">
      <c r="A243" s="221"/>
      <c r="B243" s="49" t="s">
        <v>912</v>
      </c>
      <c r="C243" s="28">
        <v>14</v>
      </c>
      <c r="D243" s="28" t="s">
        <v>24</v>
      </c>
      <c r="E243" s="38">
        <f>SUM(F243+G243+H243)</f>
        <v>20.753</v>
      </c>
      <c r="F243" s="87">
        <v>2.861</v>
      </c>
      <c r="G243" s="87">
        <v>2.24</v>
      </c>
      <c r="H243" s="87">
        <v>15.652</v>
      </c>
      <c r="I243" s="35">
        <v>789.47</v>
      </c>
      <c r="J243" s="87">
        <v>15.652</v>
      </c>
      <c r="K243" s="35">
        <v>789.47</v>
      </c>
      <c r="L243" s="63">
        <f>J243/K243</f>
        <v>0.019825959187809543</v>
      </c>
      <c r="M243" s="31">
        <v>283.51</v>
      </c>
      <c r="N243" s="65">
        <f>L243*M243</f>
        <v>5.6208576893358835</v>
      </c>
      <c r="O243" s="65">
        <f>L243*60*1000</f>
        <v>1189.5575512685725</v>
      </c>
      <c r="P243" s="64">
        <f>O243*M243/1000</f>
        <v>337.251461360153</v>
      </c>
      <c r="R243" s="10"/>
      <c r="S243" s="10"/>
    </row>
    <row r="244" spans="1:23" s="9" customFormat="1" ht="13.5" customHeight="1">
      <c r="A244" s="221"/>
      <c r="B244" s="49" t="s">
        <v>235</v>
      </c>
      <c r="C244" s="24">
        <v>100</v>
      </c>
      <c r="D244" s="24" t="s">
        <v>24</v>
      </c>
      <c r="E244" s="87">
        <f>F244+G244+H244</f>
        <v>97.10317</v>
      </c>
      <c r="F244" s="87">
        <v>7.8863</v>
      </c>
      <c r="G244" s="87">
        <v>16</v>
      </c>
      <c r="H244" s="87">
        <v>73.21687</v>
      </c>
      <c r="I244" s="35">
        <v>3692.95</v>
      </c>
      <c r="J244" s="87">
        <v>73.2168</v>
      </c>
      <c r="K244" s="35">
        <v>3692.95</v>
      </c>
      <c r="L244" s="50">
        <f>J244/K244</f>
        <v>0.019826101084498844</v>
      </c>
      <c r="M244" s="27">
        <v>210</v>
      </c>
      <c r="N244" s="27">
        <f>L244*M244</f>
        <v>4.163481227744757</v>
      </c>
      <c r="O244" s="27">
        <f>L244*1000*60</f>
        <v>1189.5660650699306</v>
      </c>
      <c r="P244" s="51">
        <f>N244*60</f>
        <v>249.80887366468545</v>
      </c>
      <c r="Q244" s="10"/>
      <c r="R244" s="10"/>
      <c r="S244" s="10"/>
      <c r="T244" s="12"/>
      <c r="U244" s="13"/>
      <c r="V244" s="13"/>
      <c r="W244" s="14"/>
    </row>
    <row r="245" spans="1:19" s="9" customFormat="1" ht="12.75" customHeight="1">
      <c r="A245" s="221"/>
      <c r="B245" s="49" t="s">
        <v>911</v>
      </c>
      <c r="C245" s="28">
        <v>60</v>
      </c>
      <c r="D245" s="28">
        <v>1968</v>
      </c>
      <c r="E245" s="38">
        <f>SUM(F245+G245+H245)</f>
        <v>69.384</v>
      </c>
      <c r="F245" s="87">
        <v>6.19</v>
      </c>
      <c r="G245" s="87">
        <v>9.6</v>
      </c>
      <c r="H245" s="87">
        <v>53.594</v>
      </c>
      <c r="I245" s="35">
        <v>2701.05</v>
      </c>
      <c r="J245" s="87">
        <v>53.594</v>
      </c>
      <c r="K245" s="35">
        <v>2701.05</v>
      </c>
      <c r="L245" s="63">
        <f>J245/K245</f>
        <v>0.019841913330001296</v>
      </c>
      <c r="M245" s="31">
        <v>283.51</v>
      </c>
      <c r="N245" s="65">
        <f>L245*M245</f>
        <v>5.625380848188668</v>
      </c>
      <c r="O245" s="65">
        <f>L245*60*1000</f>
        <v>1190.5147998000778</v>
      </c>
      <c r="P245" s="64">
        <f>O245*M245/1000</f>
        <v>337.52285089132005</v>
      </c>
      <c r="R245" s="10"/>
      <c r="S245" s="10"/>
    </row>
    <row r="246" spans="1:16" s="9" customFormat="1" ht="12.75" customHeight="1">
      <c r="A246" s="221"/>
      <c r="B246" s="62" t="s">
        <v>123</v>
      </c>
      <c r="C246" s="28">
        <v>64</v>
      </c>
      <c r="D246" s="28">
        <v>1971</v>
      </c>
      <c r="E246" s="38">
        <f>F246+G246+H246</f>
        <v>77.45</v>
      </c>
      <c r="F246" s="38">
        <v>5.18</v>
      </c>
      <c r="G246" s="38">
        <v>10.24</v>
      </c>
      <c r="H246" s="38">
        <v>62.03</v>
      </c>
      <c r="I246" s="43">
        <v>3220.36</v>
      </c>
      <c r="J246" s="38">
        <v>62.03</v>
      </c>
      <c r="K246" s="43">
        <v>3121</v>
      </c>
      <c r="L246" s="63">
        <f>J246/K246</f>
        <v>0.01987504005126562</v>
      </c>
      <c r="M246" s="31">
        <v>314.9</v>
      </c>
      <c r="N246" s="65">
        <f>L246*M246</f>
        <v>6.258650112143544</v>
      </c>
      <c r="O246" s="65">
        <f>L246*60*1000</f>
        <v>1192.5024030759373</v>
      </c>
      <c r="P246" s="64">
        <f>O246*M246/1000</f>
        <v>375.5190067286126</v>
      </c>
    </row>
    <row r="247" spans="1:19" s="9" customFormat="1" ht="12.75">
      <c r="A247" s="221"/>
      <c r="B247" s="49" t="s">
        <v>913</v>
      </c>
      <c r="C247" s="28">
        <v>75</v>
      </c>
      <c r="D247" s="28">
        <v>1975</v>
      </c>
      <c r="E247" s="38">
        <f>SUM(F247+G247+H247)</f>
        <v>100.304</v>
      </c>
      <c r="F247" s="87">
        <v>8.284</v>
      </c>
      <c r="G247" s="87">
        <v>12</v>
      </c>
      <c r="H247" s="87">
        <v>80.02</v>
      </c>
      <c r="I247" s="35">
        <v>4024.06</v>
      </c>
      <c r="J247" s="87">
        <v>80.02</v>
      </c>
      <c r="K247" s="35">
        <v>4024.06</v>
      </c>
      <c r="L247" s="63">
        <f>J247/K247</f>
        <v>0.019885389382862082</v>
      </c>
      <c r="M247" s="31">
        <v>283.51</v>
      </c>
      <c r="N247" s="65">
        <f>L247*M247</f>
        <v>5.637706743935229</v>
      </c>
      <c r="O247" s="65">
        <f>L247*60*1000</f>
        <v>1193.1233629717249</v>
      </c>
      <c r="P247" s="64">
        <f>O247*M247/1000</f>
        <v>338.26240463611373</v>
      </c>
      <c r="R247" s="10"/>
      <c r="S247" s="10"/>
    </row>
    <row r="248" spans="1:19" s="9" customFormat="1" ht="12.75">
      <c r="A248" s="221"/>
      <c r="B248" s="62" t="s">
        <v>666</v>
      </c>
      <c r="C248" s="28">
        <v>45</v>
      </c>
      <c r="D248" s="28" t="s">
        <v>24</v>
      </c>
      <c r="E248" s="38">
        <v>60.45</v>
      </c>
      <c r="F248" s="38">
        <v>6.83</v>
      </c>
      <c r="G248" s="38">
        <v>7.2</v>
      </c>
      <c r="H248" s="38">
        <v>46.42</v>
      </c>
      <c r="I248" s="43">
        <v>2333</v>
      </c>
      <c r="J248" s="38">
        <v>46.42</v>
      </c>
      <c r="K248" s="43">
        <v>2333</v>
      </c>
      <c r="L248" s="63">
        <f>J248/K248</f>
        <v>0.019897128161165883</v>
      </c>
      <c r="M248" s="31">
        <v>235.3</v>
      </c>
      <c r="N248" s="65">
        <f>L248*M248</f>
        <v>4.681794256322332</v>
      </c>
      <c r="O248" s="65">
        <f>L248*60*1000</f>
        <v>1193.8276896699529</v>
      </c>
      <c r="P248" s="64">
        <f>O248*M248/1000</f>
        <v>280.90765537933993</v>
      </c>
      <c r="R248" s="10"/>
      <c r="S248" s="10"/>
    </row>
    <row r="249" spans="1:19" s="9" customFormat="1" ht="12.75">
      <c r="A249" s="221"/>
      <c r="B249" s="49" t="s">
        <v>914</v>
      </c>
      <c r="C249" s="28">
        <v>60</v>
      </c>
      <c r="D249" s="28">
        <v>1970</v>
      </c>
      <c r="E249" s="38">
        <f>SUM(F249+G249+H249)</f>
        <v>71.178</v>
      </c>
      <c r="F249" s="87">
        <v>7.798</v>
      </c>
      <c r="G249" s="87">
        <v>9.6</v>
      </c>
      <c r="H249" s="87">
        <v>53.78</v>
      </c>
      <c r="I249" s="35">
        <v>2701.09</v>
      </c>
      <c r="J249" s="87">
        <v>53.78</v>
      </c>
      <c r="K249" s="35">
        <v>2701.09</v>
      </c>
      <c r="L249" s="63">
        <f>J249/K249</f>
        <v>0.019910480583764333</v>
      </c>
      <c r="M249" s="31">
        <v>283.51</v>
      </c>
      <c r="N249" s="65">
        <f>L249*M249</f>
        <v>5.644820350303026</v>
      </c>
      <c r="O249" s="65">
        <f>L249*60*1000</f>
        <v>1194.62883502586</v>
      </c>
      <c r="P249" s="64">
        <f>O249*M249/1000</f>
        <v>338.68922101818157</v>
      </c>
      <c r="R249" s="10"/>
      <c r="S249" s="10"/>
    </row>
    <row r="250" spans="1:19" s="9" customFormat="1" ht="12.75">
      <c r="A250" s="221"/>
      <c r="B250" s="49" t="s">
        <v>915</v>
      </c>
      <c r="C250" s="28">
        <v>18</v>
      </c>
      <c r="D250" s="28" t="s">
        <v>24</v>
      </c>
      <c r="E250" s="38">
        <f>SUM(F250+G250+H250)</f>
        <v>26.000999999999998</v>
      </c>
      <c r="F250" s="87">
        <v>3.029</v>
      </c>
      <c r="G250" s="87">
        <v>2.88</v>
      </c>
      <c r="H250" s="87">
        <v>20.092</v>
      </c>
      <c r="I250" s="35">
        <v>1007.72</v>
      </c>
      <c r="J250" s="87">
        <v>20.092</v>
      </c>
      <c r="K250" s="35">
        <v>1007.72</v>
      </c>
      <c r="L250" s="63">
        <f>J250/K250</f>
        <v>0.01993807803755011</v>
      </c>
      <c r="M250" s="31">
        <v>283.51</v>
      </c>
      <c r="N250" s="65">
        <f>L250*M250</f>
        <v>5.652644504425831</v>
      </c>
      <c r="O250" s="65">
        <f>L250*60*1000</f>
        <v>1196.2846822530066</v>
      </c>
      <c r="P250" s="64">
        <f>O250*M250/1000</f>
        <v>339.1586702655499</v>
      </c>
      <c r="R250" s="10"/>
      <c r="S250" s="10"/>
    </row>
    <row r="251" spans="1:19" s="9" customFormat="1" ht="12.75" customHeight="1">
      <c r="A251" s="221"/>
      <c r="B251" s="62" t="s">
        <v>478</v>
      </c>
      <c r="C251" s="28">
        <v>48</v>
      </c>
      <c r="D251" s="28">
        <v>1961</v>
      </c>
      <c r="E251" s="38">
        <v>57.3</v>
      </c>
      <c r="F251" s="38">
        <v>3.8</v>
      </c>
      <c r="G251" s="38">
        <v>7.68</v>
      </c>
      <c r="H251" s="38">
        <v>45.8</v>
      </c>
      <c r="I251" s="96"/>
      <c r="J251" s="38">
        <f>H251</f>
        <v>45.8</v>
      </c>
      <c r="K251" s="43">
        <v>2296</v>
      </c>
      <c r="L251" s="63">
        <f>J251/K251</f>
        <v>0.01994773519163763</v>
      </c>
      <c r="M251" s="31">
        <v>187.7</v>
      </c>
      <c r="N251" s="65">
        <f>L251*M251</f>
        <v>3.744189895470383</v>
      </c>
      <c r="O251" s="65">
        <f>L251*60*1000</f>
        <v>1196.864111498258</v>
      </c>
      <c r="P251" s="64">
        <f>O251*M251/1000</f>
        <v>224.65139372822298</v>
      </c>
      <c r="R251" s="10"/>
      <c r="S251" s="10"/>
    </row>
    <row r="252" spans="1:19" s="9" customFormat="1" ht="12.75">
      <c r="A252" s="221"/>
      <c r="B252" s="254" t="s">
        <v>127</v>
      </c>
      <c r="C252" s="131">
        <v>50</v>
      </c>
      <c r="D252" s="28">
        <v>1971</v>
      </c>
      <c r="E252" s="38">
        <f>F252+G252+H252</f>
        <v>64.472002</v>
      </c>
      <c r="F252" s="121">
        <v>4.284</v>
      </c>
      <c r="G252" s="121">
        <v>8</v>
      </c>
      <c r="H252" s="121">
        <v>52.188002</v>
      </c>
      <c r="I252" s="122">
        <v>2601.9</v>
      </c>
      <c r="J252" s="121">
        <v>52.188002</v>
      </c>
      <c r="K252" s="122">
        <v>2601.9</v>
      </c>
      <c r="L252" s="63">
        <f>J252/K252</f>
        <v>0.0200576509473846</v>
      </c>
      <c r="M252" s="31">
        <v>314.465</v>
      </c>
      <c r="N252" s="65">
        <f>L252*M252</f>
        <v>6.307429205169298</v>
      </c>
      <c r="O252" s="65">
        <f>L252*60*1000</f>
        <v>1203.459056843076</v>
      </c>
      <c r="P252" s="64">
        <f>O252*M252/1000</f>
        <v>378.44575231015784</v>
      </c>
      <c r="R252" s="10"/>
      <c r="S252" s="10"/>
    </row>
    <row r="253" spans="1:19" s="9" customFormat="1" ht="12.75">
      <c r="A253" s="221"/>
      <c r="B253" s="206" t="s">
        <v>438</v>
      </c>
      <c r="C253" s="125">
        <v>40</v>
      </c>
      <c r="D253" s="125">
        <v>1998</v>
      </c>
      <c r="E253" s="126">
        <v>53.5</v>
      </c>
      <c r="F253" s="126">
        <v>4.3</v>
      </c>
      <c r="G253" s="126">
        <v>6.4</v>
      </c>
      <c r="H253" s="126">
        <v>42.8</v>
      </c>
      <c r="I253" s="127">
        <v>2183.72</v>
      </c>
      <c r="J253" s="126">
        <v>42.8</v>
      </c>
      <c r="K253" s="127">
        <v>2133.76</v>
      </c>
      <c r="L253" s="128">
        <v>0.020058488302339528</v>
      </c>
      <c r="M253" s="129">
        <v>215.8</v>
      </c>
      <c r="N253" s="129">
        <v>4.32862177564487</v>
      </c>
      <c r="O253" s="129">
        <f>L253*60*1000</f>
        <v>1203.5092981403716</v>
      </c>
      <c r="P253" s="133">
        <v>259.7173065386922</v>
      </c>
      <c r="R253" s="10"/>
      <c r="S253" s="10"/>
    </row>
    <row r="254" spans="1:19" s="9" customFormat="1" ht="12.75">
      <c r="A254" s="221"/>
      <c r="B254" s="62" t="s">
        <v>651</v>
      </c>
      <c r="C254" s="28">
        <v>50</v>
      </c>
      <c r="D254" s="28">
        <v>1972</v>
      </c>
      <c r="E254" s="38">
        <v>46.485</v>
      </c>
      <c r="F254" s="38">
        <v>3.52</v>
      </c>
      <c r="G254" s="38">
        <v>0.5</v>
      </c>
      <c r="H254" s="38">
        <v>42.46</v>
      </c>
      <c r="I254" s="43">
        <v>2114.27</v>
      </c>
      <c r="J254" s="38">
        <v>42.46</v>
      </c>
      <c r="K254" s="43">
        <v>2114.27</v>
      </c>
      <c r="L254" s="63">
        <f>J254/K254</f>
        <v>0.02008258169486395</v>
      </c>
      <c r="M254" s="31">
        <v>328.199</v>
      </c>
      <c r="N254" s="65">
        <f>L254*M254</f>
        <v>6.591083229672654</v>
      </c>
      <c r="O254" s="65">
        <f>L254*60*1000</f>
        <v>1204.954901691837</v>
      </c>
      <c r="P254" s="64">
        <f>O254*M254/1000</f>
        <v>395.46499378035924</v>
      </c>
      <c r="R254" s="10"/>
      <c r="S254" s="10"/>
    </row>
    <row r="255" spans="1:19" s="9" customFormat="1" ht="12.75" customHeight="1">
      <c r="A255" s="221"/>
      <c r="B255" s="49" t="s">
        <v>416</v>
      </c>
      <c r="C255" s="24">
        <v>9</v>
      </c>
      <c r="D255" s="24" t="s">
        <v>24</v>
      </c>
      <c r="E255" s="87">
        <f>F255+G255+H255</f>
        <v>15.616</v>
      </c>
      <c r="F255" s="87">
        <v>1.6255</v>
      </c>
      <c r="G255" s="87">
        <v>1.44</v>
      </c>
      <c r="H255" s="87">
        <v>12.5505</v>
      </c>
      <c r="I255" s="35">
        <v>624.82</v>
      </c>
      <c r="J255" s="87">
        <v>12.5505</v>
      </c>
      <c r="K255" s="35">
        <v>624.82</v>
      </c>
      <c r="L255" s="50">
        <f>J255/K255</f>
        <v>0.020086584936461697</v>
      </c>
      <c r="M255" s="27">
        <v>210</v>
      </c>
      <c r="N255" s="27">
        <f>L255*M255</f>
        <v>4.218182836656957</v>
      </c>
      <c r="O255" s="27">
        <f>L255*1000*60</f>
        <v>1205.195096187702</v>
      </c>
      <c r="P255" s="51">
        <f>N255*60</f>
        <v>253.0909701994174</v>
      </c>
      <c r="R255" s="10"/>
      <c r="S255" s="10"/>
    </row>
    <row r="256" spans="1:19" s="9" customFormat="1" ht="12.75">
      <c r="A256" s="221"/>
      <c r="B256" s="254" t="s">
        <v>130</v>
      </c>
      <c r="C256" s="131">
        <v>83</v>
      </c>
      <c r="D256" s="28">
        <v>1995</v>
      </c>
      <c r="E256" s="38">
        <f>F256+G256+H256</f>
        <v>124.072344</v>
      </c>
      <c r="F256" s="121">
        <v>9.129</v>
      </c>
      <c r="G256" s="121">
        <v>14.317241</v>
      </c>
      <c r="H256" s="121">
        <v>100.626103</v>
      </c>
      <c r="I256" s="122">
        <v>5086.99</v>
      </c>
      <c r="J256" s="121">
        <v>100.626103</v>
      </c>
      <c r="K256" s="122">
        <v>5009.12</v>
      </c>
      <c r="L256" s="63">
        <f>J256/K256</f>
        <v>0.020088579031845914</v>
      </c>
      <c r="M256" s="31">
        <v>314.465</v>
      </c>
      <c r="N256" s="65">
        <f>L256*M256</f>
        <v>6.3171550052494245</v>
      </c>
      <c r="O256" s="65">
        <f>L256*60*1000</f>
        <v>1205.3147419107547</v>
      </c>
      <c r="P256" s="64">
        <f>O256*M256/1000</f>
        <v>379.02930031496544</v>
      </c>
      <c r="Q256" s="11"/>
      <c r="R256" s="10"/>
      <c r="S256" s="10"/>
    </row>
    <row r="257" spans="1:19" s="9" customFormat="1" ht="12.75">
      <c r="A257" s="221"/>
      <c r="B257" s="49" t="s">
        <v>917</v>
      </c>
      <c r="C257" s="28">
        <v>45</v>
      </c>
      <c r="D257" s="28">
        <v>1986</v>
      </c>
      <c r="E257" s="38">
        <f>SUM(F257+G257+H257)</f>
        <v>57.982</v>
      </c>
      <c r="F257" s="87">
        <v>5.237</v>
      </c>
      <c r="G257" s="87">
        <v>7.04</v>
      </c>
      <c r="H257" s="87">
        <v>45.705</v>
      </c>
      <c r="I257" s="35">
        <v>2274.89</v>
      </c>
      <c r="J257" s="87">
        <v>45.705</v>
      </c>
      <c r="K257" s="35">
        <v>2274.89</v>
      </c>
      <c r="L257" s="63">
        <f>J257/K257</f>
        <v>0.02009108132700922</v>
      </c>
      <c r="M257" s="31">
        <v>283.51</v>
      </c>
      <c r="N257" s="65">
        <f>L257*M257</f>
        <v>5.696022467020383</v>
      </c>
      <c r="O257" s="65">
        <f>L257*60*1000</f>
        <v>1205.4648796205531</v>
      </c>
      <c r="P257" s="64">
        <f>O257*M257/1000</f>
        <v>341.761348021223</v>
      </c>
      <c r="R257" s="10"/>
      <c r="S257" s="10"/>
    </row>
    <row r="258" spans="1:19" s="9" customFormat="1" ht="12.75">
      <c r="A258" s="221"/>
      <c r="B258" s="49" t="s">
        <v>916</v>
      </c>
      <c r="C258" s="28">
        <v>60</v>
      </c>
      <c r="D258" s="28">
        <v>1970</v>
      </c>
      <c r="E258" s="38">
        <f>SUM(F258+G258+H258)</f>
        <v>70.65899999999999</v>
      </c>
      <c r="F258" s="87">
        <v>6.769</v>
      </c>
      <c r="G258" s="87">
        <v>9.6</v>
      </c>
      <c r="H258" s="87">
        <v>54.29</v>
      </c>
      <c r="I258" s="35">
        <v>2701.02</v>
      </c>
      <c r="J258" s="87">
        <v>54.29</v>
      </c>
      <c r="K258" s="35">
        <v>2701.02</v>
      </c>
      <c r="L258" s="63">
        <f>J258/K258</f>
        <v>0.020099814144286233</v>
      </c>
      <c r="M258" s="31">
        <v>283.51</v>
      </c>
      <c r="N258" s="65">
        <f>L258*M258</f>
        <v>5.69849830804659</v>
      </c>
      <c r="O258" s="65">
        <f>L258*60*1000</f>
        <v>1205.988848657174</v>
      </c>
      <c r="P258" s="64">
        <f>O258*M258/1000</f>
        <v>341.90989848279537</v>
      </c>
      <c r="R258" s="10"/>
      <c r="S258" s="10"/>
    </row>
    <row r="259" spans="1:19" s="9" customFormat="1" ht="12.75" customHeight="1">
      <c r="A259" s="221"/>
      <c r="B259" s="97" t="s">
        <v>576</v>
      </c>
      <c r="C259" s="28">
        <v>45</v>
      </c>
      <c r="D259" s="28">
        <v>1982</v>
      </c>
      <c r="E259" s="38">
        <v>59.493</v>
      </c>
      <c r="F259" s="38">
        <v>5.216</v>
      </c>
      <c r="G259" s="38">
        <v>7.2</v>
      </c>
      <c r="H259" s="38">
        <v>47.077</v>
      </c>
      <c r="I259" s="43">
        <v>2340.32</v>
      </c>
      <c r="J259" s="38">
        <v>47.077</v>
      </c>
      <c r="K259" s="43">
        <v>2340.32</v>
      </c>
      <c r="L259" s="63">
        <f>J259/K259</f>
        <v>0.020115625213645995</v>
      </c>
      <c r="M259" s="31">
        <v>300</v>
      </c>
      <c r="N259" s="65">
        <f>L259*M259</f>
        <v>6.034687564093798</v>
      </c>
      <c r="O259" s="65">
        <f>L259*60*1000</f>
        <v>1206.9375128187596</v>
      </c>
      <c r="P259" s="64">
        <f>O259*M259/1000</f>
        <v>362.0812538456279</v>
      </c>
      <c r="R259" s="10"/>
      <c r="S259" s="10"/>
    </row>
    <row r="260" spans="1:23" s="9" customFormat="1" ht="12.75">
      <c r="A260" s="221"/>
      <c r="B260" s="49" t="s">
        <v>918</v>
      </c>
      <c r="C260" s="28">
        <v>45</v>
      </c>
      <c r="D260" s="28">
        <v>1983</v>
      </c>
      <c r="E260" s="38">
        <f>SUM(F260+G260+H260)</f>
        <v>58.859</v>
      </c>
      <c r="F260" s="87">
        <v>6.115</v>
      </c>
      <c r="G260" s="87">
        <v>7.04</v>
      </c>
      <c r="H260" s="87">
        <v>45.704</v>
      </c>
      <c r="I260" s="35">
        <v>2271.01</v>
      </c>
      <c r="J260" s="87">
        <v>45.704</v>
      </c>
      <c r="K260" s="35">
        <v>2271.01</v>
      </c>
      <c r="L260" s="63">
        <f>J260/K260</f>
        <v>0.02012496642463045</v>
      </c>
      <c r="M260" s="31">
        <v>283.51</v>
      </c>
      <c r="N260" s="65">
        <f>L260*M260</f>
        <v>5.705629231046979</v>
      </c>
      <c r="O260" s="65">
        <f>L260*60*1000</f>
        <v>1207.497985477827</v>
      </c>
      <c r="P260" s="64">
        <f>O260*M260/1000</f>
        <v>342.3377538628187</v>
      </c>
      <c r="Q260" s="10"/>
      <c r="R260" s="10"/>
      <c r="S260" s="10"/>
      <c r="T260" s="12"/>
      <c r="U260" s="15"/>
      <c r="V260" s="15"/>
      <c r="W260" s="16"/>
    </row>
    <row r="261" spans="1:19" s="9" customFormat="1" ht="12.75">
      <c r="A261" s="221"/>
      <c r="B261" s="62" t="s">
        <v>498</v>
      </c>
      <c r="C261" s="28">
        <v>50</v>
      </c>
      <c r="D261" s="28">
        <v>1968</v>
      </c>
      <c r="E261" s="38">
        <v>66.3</v>
      </c>
      <c r="F261" s="38">
        <v>8.52295</v>
      </c>
      <c r="G261" s="38">
        <v>4.97</v>
      </c>
      <c r="H261" s="38">
        <f>E261-F261-G261</f>
        <v>52.80705</v>
      </c>
      <c r="I261" s="43">
        <v>2621.89</v>
      </c>
      <c r="J261" s="38">
        <f>H261</f>
        <v>52.80705</v>
      </c>
      <c r="K261" s="43">
        <f>I261</f>
        <v>2621.89</v>
      </c>
      <c r="L261" s="63">
        <f>J261/K261</f>
        <v>0.02014083352085709</v>
      </c>
      <c r="M261" s="31">
        <v>279.476</v>
      </c>
      <c r="N261" s="65">
        <f>L261*M261</f>
        <v>5.628879589075056</v>
      </c>
      <c r="O261" s="65">
        <f>L261*60*1000</f>
        <v>1208.4500112514254</v>
      </c>
      <c r="P261" s="64">
        <f>O261*M261/1000</f>
        <v>337.73277534450335</v>
      </c>
      <c r="R261" s="10"/>
      <c r="S261" s="10"/>
    </row>
    <row r="262" spans="1:19" s="9" customFormat="1" ht="12.75">
      <c r="A262" s="221"/>
      <c r="B262" s="49" t="s">
        <v>920</v>
      </c>
      <c r="C262" s="28">
        <v>22</v>
      </c>
      <c r="D262" s="28" t="s">
        <v>24</v>
      </c>
      <c r="E262" s="38">
        <f>SUM(F262+G262+H262)</f>
        <v>30.991</v>
      </c>
      <c r="F262" s="87">
        <v>3.59</v>
      </c>
      <c r="G262" s="87">
        <v>3.52</v>
      </c>
      <c r="H262" s="87">
        <v>23.881</v>
      </c>
      <c r="I262" s="35">
        <v>1184.84</v>
      </c>
      <c r="J262" s="87">
        <v>23.881</v>
      </c>
      <c r="K262" s="35">
        <v>1184.84</v>
      </c>
      <c r="L262" s="63">
        <f>J262/K262</f>
        <v>0.02015546402889842</v>
      </c>
      <c r="M262" s="31">
        <v>283.51</v>
      </c>
      <c r="N262" s="65">
        <f>L262*M262</f>
        <v>5.714275606832991</v>
      </c>
      <c r="O262" s="65">
        <f>L262*60*1000</f>
        <v>1209.3278417339052</v>
      </c>
      <c r="P262" s="64">
        <f>O262*M262/1000</f>
        <v>342.85653640997947</v>
      </c>
      <c r="R262" s="10"/>
      <c r="S262" s="10"/>
    </row>
    <row r="263" spans="1:19" s="9" customFormat="1" ht="12.75">
      <c r="A263" s="221"/>
      <c r="B263" s="62" t="s">
        <v>396</v>
      </c>
      <c r="C263" s="28">
        <v>50</v>
      </c>
      <c r="D263" s="28">
        <v>1972</v>
      </c>
      <c r="E263" s="38">
        <v>66.451</v>
      </c>
      <c r="F263" s="38">
        <v>5.56</v>
      </c>
      <c r="G263" s="38">
        <v>8</v>
      </c>
      <c r="H263" s="38">
        <v>52.89</v>
      </c>
      <c r="I263" s="43">
        <v>2623.9</v>
      </c>
      <c r="J263" s="38">
        <v>52.89</v>
      </c>
      <c r="K263" s="43">
        <v>2623.9</v>
      </c>
      <c r="L263" s="63">
        <f>J263/K263</f>
        <v>0.020157018179046457</v>
      </c>
      <c r="M263" s="31">
        <v>328.199</v>
      </c>
      <c r="N263" s="65">
        <f>L263*M263</f>
        <v>6.6155132093448685</v>
      </c>
      <c r="O263" s="65">
        <f>L263*60*1000</f>
        <v>1209.4210907427873</v>
      </c>
      <c r="P263" s="64">
        <f>O263*M263/1000</f>
        <v>396.93079256069205</v>
      </c>
      <c r="R263" s="10"/>
      <c r="S263" s="10"/>
    </row>
    <row r="264" spans="1:19" s="9" customFormat="1" ht="12.75">
      <c r="A264" s="221"/>
      <c r="B264" s="49" t="s">
        <v>919</v>
      </c>
      <c r="C264" s="28">
        <v>45</v>
      </c>
      <c r="D264" s="28" t="s">
        <v>24</v>
      </c>
      <c r="E264" s="38">
        <f>SUM(F264+G264+H264)</f>
        <v>58.452</v>
      </c>
      <c r="F264" s="87">
        <v>4.32</v>
      </c>
      <c r="G264" s="87">
        <v>7.2</v>
      </c>
      <c r="H264" s="87">
        <v>46.932</v>
      </c>
      <c r="I264" s="35">
        <v>2327.95</v>
      </c>
      <c r="J264" s="87">
        <v>46.932</v>
      </c>
      <c r="K264" s="35">
        <v>2327.95</v>
      </c>
      <c r="L264" s="63">
        <f>J264/K264</f>
        <v>0.02016022680899504</v>
      </c>
      <c r="M264" s="31">
        <v>283.51</v>
      </c>
      <c r="N264" s="65">
        <f>L264*M264</f>
        <v>5.715625902618184</v>
      </c>
      <c r="O264" s="65">
        <f>L264*60*1000</f>
        <v>1209.6136085397025</v>
      </c>
      <c r="P264" s="64">
        <f>O264*M264/1000</f>
        <v>342.93755415709103</v>
      </c>
      <c r="R264" s="10"/>
      <c r="S264" s="10"/>
    </row>
    <row r="265" spans="1:19" s="9" customFormat="1" ht="12.75" customHeight="1">
      <c r="A265" s="221"/>
      <c r="B265" s="62" t="s">
        <v>244</v>
      </c>
      <c r="C265" s="28">
        <v>40</v>
      </c>
      <c r="D265" s="28"/>
      <c r="E265" s="38">
        <v>55.8</v>
      </c>
      <c r="F265" s="38">
        <v>3.82</v>
      </c>
      <c r="G265" s="38">
        <v>6.4</v>
      </c>
      <c r="H265" s="38">
        <v>45.556</v>
      </c>
      <c r="I265" s="43">
        <v>2254.53</v>
      </c>
      <c r="J265" s="38">
        <v>45.6</v>
      </c>
      <c r="K265" s="43">
        <v>2254.53</v>
      </c>
      <c r="L265" s="63">
        <f>J265/K265</f>
        <v>0.020225945097204295</v>
      </c>
      <c r="M265" s="31">
        <v>220.9</v>
      </c>
      <c r="N265" s="65">
        <f>L265*M265</f>
        <v>4.4679112719724285</v>
      </c>
      <c r="O265" s="65">
        <f>L265*60*1000</f>
        <v>1213.5567058322576</v>
      </c>
      <c r="P265" s="64">
        <f>O265*M265/1000</f>
        <v>268.0746763183457</v>
      </c>
      <c r="R265" s="10"/>
      <c r="S265" s="10"/>
    </row>
    <row r="266" spans="1:19" s="9" customFormat="1" ht="11.25" customHeight="1">
      <c r="A266" s="221"/>
      <c r="B266" s="62" t="s">
        <v>352</v>
      </c>
      <c r="C266" s="28">
        <v>55</v>
      </c>
      <c r="D266" s="28">
        <v>1992</v>
      </c>
      <c r="E266" s="38">
        <f>F266+G266+H266</f>
        <v>76</v>
      </c>
      <c r="F266" s="38">
        <v>0</v>
      </c>
      <c r="G266" s="38">
        <v>0</v>
      </c>
      <c r="H266" s="38">
        <v>76</v>
      </c>
      <c r="I266" s="43">
        <v>3755.18</v>
      </c>
      <c r="J266" s="38">
        <v>76</v>
      </c>
      <c r="K266" s="43">
        <v>3755.18</v>
      </c>
      <c r="L266" s="63">
        <f>J266/K266</f>
        <v>0.020238710261558702</v>
      </c>
      <c r="M266" s="31">
        <v>314.9</v>
      </c>
      <c r="N266" s="65">
        <f>L266*M266</f>
        <v>6.373169861364834</v>
      </c>
      <c r="O266" s="65">
        <f>L266*60*1000</f>
        <v>1214.322615693522</v>
      </c>
      <c r="P266" s="64">
        <f>O266*M266/1000</f>
        <v>382.39019168189003</v>
      </c>
      <c r="R266" s="10"/>
      <c r="S266" s="10"/>
    </row>
    <row r="267" spans="1:19" s="9" customFormat="1" ht="12.75" customHeight="1">
      <c r="A267" s="221"/>
      <c r="B267" s="62" t="s">
        <v>667</v>
      </c>
      <c r="C267" s="28">
        <v>54</v>
      </c>
      <c r="D267" s="28" t="s">
        <v>24</v>
      </c>
      <c r="E267" s="38">
        <v>74.51</v>
      </c>
      <c r="F267" s="38">
        <v>5.51</v>
      </c>
      <c r="G267" s="38">
        <v>8.64</v>
      </c>
      <c r="H267" s="38">
        <v>60.36</v>
      </c>
      <c r="I267" s="43">
        <v>2974</v>
      </c>
      <c r="J267" s="38">
        <v>60.36</v>
      </c>
      <c r="K267" s="43">
        <v>2974</v>
      </c>
      <c r="L267" s="63">
        <f>J267/K267</f>
        <v>0.020295897780766643</v>
      </c>
      <c r="M267" s="31">
        <v>235.3</v>
      </c>
      <c r="N267" s="65">
        <f>L267*M267</f>
        <v>4.775624747814391</v>
      </c>
      <c r="O267" s="65">
        <f>L267*60*1000</f>
        <v>1217.7538668459986</v>
      </c>
      <c r="P267" s="64">
        <f>O267*M267/1000</f>
        <v>286.5374848688635</v>
      </c>
      <c r="R267" s="10"/>
      <c r="S267" s="10"/>
    </row>
    <row r="268" spans="1:19" s="9" customFormat="1" ht="12.75" customHeight="1">
      <c r="A268" s="221"/>
      <c r="B268" s="62" t="s">
        <v>243</v>
      </c>
      <c r="C268" s="28">
        <v>46</v>
      </c>
      <c r="D268" s="28">
        <v>1992</v>
      </c>
      <c r="E268" s="38">
        <v>56</v>
      </c>
      <c r="F268" s="38">
        <v>5.247</v>
      </c>
      <c r="G268" s="38">
        <v>7.2</v>
      </c>
      <c r="H268" s="38">
        <v>43.553</v>
      </c>
      <c r="I268" s="43">
        <v>2147.49</v>
      </c>
      <c r="J268" s="38">
        <v>43.6</v>
      </c>
      <c r="K268" s="43">
        <v>2147.49</v>
      </c>
      <c r="L268" s="63">
        <f>J268/K268</f>
        <v>0.020302772073443883</v>
      </c>
      <c r="M268" s="31">
        <v>220.9</v>
      </c>
      <c r="N268" s="65">
        <f>L268*M268</f>
        <v>4.484882351023754</v>
      </c>
      <c r="O268" s="65">
        <f>L268*60*1000</f>
        <v>1218.166324406633</v>
      </c>
      <c r="P268" s="64">
        <f>O268*M268/1000</f>
        <v>269.0929410614253</v>
      </c>
      <c r="R268" s="10"/>
      <c r="S268" s="10"/>
    </row>
    <row r="269" spans="1:19" s="9" customFormat="1" ht="12.75" customHeight="1">
      <c r="A269" s="221"/>
      <c r="B269" s="62" t="s">
        <v>463</v>
      </c>
      <c r="C269" s="28">
        <v>23</v>
      </c>
      <c r="D269" s="28">
        <v>2009</v>
      </c>
      <c r="E269" s="38">
        <f>F269+G269+H269</f>
        <v>26.361</v>
      </c>
      <c r="F269" s="38">
        <v>2.215</v>
      </c>
      <c r="G269" s="38">
        <v>1.84</v>
      </c>
      <c r="H269" s="38">
        <v>22.306</v>
      </c>
      <c r="I269" s="43">
        <v>1098.31</v>
      </c>
      <c r="J269" s="38">
        <v>22.306</v>
      </c>
      <c r="K269" s="43">
        <v>1098.31</v>
      </c>
      <c r="L269" s="63">
        <f>J269/K269</f>
        <v>0.020309384417878378</v>
      </c>
      <c r="M269" s="31">
        <v>350.76</v>
      </c>
      <c r="N269" s="65">
        <f>L269*M269</f>
        <v>7.12371967841502</v>
      </c>
      <c r="O269" s="65">
        <f>L269*60*1000</f>
        <v>1218.5630650727026</v>
      </c>
      <c r="P269" s="64">
        <f>O269*M269/1000</f>
        <v>427.4231807049011</v>
      </c>
      <c r="R269" s="10"/>
      <c r="S269" s="10"/>
    </row>
    <row r="270" spans="1:19" s="9" customFormat="1" ht="12.75" customHeight="1">
      <c r="A270" s="221"/>
      <c r="B270" s="62" t="s">
        <v>354</v>
      </c>
      <c r="C270" s="28">
        <v>66</v>
      </c>
      <c r="D270" s="28">
        <v>1972</v>
      </c>
      <c r="E270" s="38">
        <f>F270+G270+H270</f>
        <v>82.44</v>
      </c>
      <c r="F270" s="38">
        <v>6.25</v>
      </c>
      <c r="G270" s="38">
        <v>10.4</v>
      </c>
      <c r="H270" s="38">
        <v>65.79</v>
      </c>
      <c r="I270" s="43">
        <v>3215.54</v>
      </c>
      <c r="J270" s="38">
        <v>65.79</v>
      </c>
      <c r="K270" s="43">
        <v>3215.54</v>
      </c>
      <c r="L270" s="63">
        <f>J270/K270</f>
        <v>0.02046001604707141</v>
      </c>
      <c r="M270" s="31">
        <v>314.9</v>
      </c>
      <c r="N270" s="65">
        <f>L270*M270</f>
        <v>6.4428590532227865</v>
      </c>
      <c r="O270" s="65">
        <f>L270*60*1000</f>
        <v>1227.6009628242846</v>
      </c>
      <c r="P270" s="64">
        <f>O270*M270/1000</f>
        <v>386.5715431933672</v>
      </c>
      <c r="R270" s="10"/>
      <c r="S270" s="10"/>
    </row>
    <row r="271" spans="1:19" s="9" customFormat="1" ht="12.75" customHeight="1">
      <c r="A271" s="221"/>
      <c r="B271" s="62" t="s">
        <v>279</v>
      </c>
      <c r="C271" s="28">
        <v>20</v>
      </c>
      <c r="D271" s="28">
        <v>2011</v>
      </c>
      <c r="E271" s="38">
        <v>27.9</v>
      </c>
      <c r="F271" s="38">
        <f>69.3*0.051</f>
        <v>3.5342999999999996</v>
      </c>
      <c r="G271" s="38">
        <v>1.6</v>
      </c>
      <c r="H271" s="38">
        <f>+E271-F271-G271</f>
        <v>22.7657</v>
      </c>
      <c r="I271" s="96"/>
      <c r="J271" s="38">
        <v>22.8</v>
      </c>
      <c r="K271" s="43">
        <v>1113.2</v>
      </c>
      <c r="L271" s="63">
        <f>J271/K271</f>
        <v>0.020481494789795184</v>
      </c>
      <c r="M271" s="31">
        <v>340.2</v>
      </c>
      <c r="N271" s="65">
        <f>L271*M271</f>
        <v>6.967804527488322</v>
      </c>
      <c r="O271" s="65">
        <f>L271*60*1000</f>
        <v>1228.889687387711</v>
      </c>
      <c r="P271" s="64">
        <f>O271*M271/1000</f>
        <v>418.06827164929933</v>
      </c>
      <c r="R271" s="10"/>
      <c r="S271" s="10"/>
    </row>
    <row r="272" spans="1:22" s="9" customFormat="1" ht="12.75">
      <c r="A272" s="221"/>
      <c r="B272" s="254" t="s">
        <v>133</v>
      </c>
      <c r="C272" s="131">
        <v>40</v>
      </c>
      <c r="D272" s="28">
        <v>1990</v>
      </c>
      <c r="E272" s="38">
        <f>F272+G272+H272</f>
        <v>57.300008</v>
      </c>
      <c r="F272" s="121">
        <v>4.153236</v>
      </c>
      <c r="G272" s="121">
        <v>6.32</v>
      </c>
      <c r="H272" s="121">
        <v>46.826772</v>
      </c>
      <c r="I272" s="122">
        <v>2285.64</v>
      </c>
      <c r="J272" s="121">
        <v>46.826772</v>
      </c>
      <c r="K272" s="122">
        <v>2285.64</v>
      </c>
      <c r="L272" s="63">
        <f>J272/K272</f>
        <v>0.020487378589804168</v>
      </c>
      <c r="M272" s="31">
        <v>314.465</v>
      </c>
      <c r="N272" s="65">
        <f>L272*M272</f>
        <v>6.442563508242767</v>
      </c>
      <c r="O272" s="65">
        <f>L272*60*1000</f>
        <v>1229.2427153882502</v>
      </c>
      <c r="P272" s="64">
        <f>O272*M272/1000</f>
        <v>386.55381049456605</v>
      </c>
      <c r="Q272" s="10"/>
      <c r="R272" s="10"/>
      <c r="S272" s="10"/>
      <c r="T272" s="12"/>
      <c r="U272" s="13"/>
      <c r="V272" s="13"/>
    </row>
    <row r="273" spans="1:19" s="9" customFormat="1" ht="12.75">
      <c r="A273" s="221"/>
      <c r="B273" s="49" t="s">
        <v>82</v>
      </c>
      <c r="C273" s="24">
        <v>42</v>
      </c>
      <c r="D273" s="24">
        <v>2000</v>
      </c>
      <c r="E273" s="87">
        <v>70.7286</v>
      </c>
      <c r="F273" s="87">
        <v>6.616103</v>
      </c>
      <c r="G273" s="87">
        <v>6.64</v>
      </c>
      <c r="H273" s="87">
        <v>57.472497000000004</v>
      </c>
      <c r="I273" s="35">
        <v>2801.69</v>
      </c>
      <c r="J273" s="87">
        <v>56.603339</v>
      </c>
      <c r="K273" s="35">
        <v>2759.32</v>
      </c>
      <c r="L273" s="50">
        <f>J273/K273</f>
        <v>0.02051351021266109</v>
      </c>
      <c r="M273" s="24">
        <v>296.48</v>
      </c>
      <c r="N273" s="27">
        <f>L273*M273</f>
        <v>6.08184550784976</v>
      </c>
      <c r="O273" s="27">
        <f>L273*60*1000</f>
        <v>1230.8106127596654</v>
      </c>
      <c r="P273" s="51">
        <f>O273*M273/1000</f>
        <v>364.91073047098564</v>
      </c>
      <c r="Q273" s="11"/>
      <c r="R273" s="10"/>
      <c r="S273" s="10"/>
    </row>
    <row r="274" spans="1:19" s="9" customFormat="1" ht="12.75" customHeight="1">
      <c r="A274" s="221"/>
      <c r="B274" s="62" t="s">
        <v>273</v>
      </c>
      <c r="C274" s="28">
        <v>41</v>
      </c>
      <c r="D274" s="28"/>
      <c r="E274" s="38">
        <v>57.3</v>
      </c>
      <c r="F274" s="38">
        <v>4.143</v>
      </c>
      <c r="G274" s="38">
        <v>6.4</v>
      </c>
      <c r="H274" s="38">
        <v>46.757</v>
      </c>
      <c r="I274" s="43">
        <v>2279.15</v>
      </c>
      <c r="J274" s="38">
        <v>46.8</v>
      </c>
      <c r="K274" s="43">
        <v>2279.15</v>
      </c>
      <c r="L274" s="63">
        <f>J274/K274</f>
        <v>0.020533970997959762</v>
      </c>
      <c r="M274" s="31">
        <v>220.9</v>
      </c>
      <c r="N274" s="65">
        <f>L274*M274</f>
        <v>4.535954193449312</v>
      </c>
      <c r="O274" s="65">
        <f>L274*60*1000</f>
        <v>1232.0382598775857</v>
      </c>
      <c r="P274" s="64">
        <f>O274*M274/1000</f>
        <v>272.1572516069587</v>
      </c>
      <c r="R274" s="10"/>
      <c r="S274" s="10"/>
    </row>
    <row r="275" spans="1:19" s="9" customFormat="1" ht="12.75">
      <c r="A275" s="221"/>
      <c r="B275" s="49" t="s">
        <v>28</v>
      </c>
      <c r="C275" s="24">
        <v>40</v>
      </c>
      <c r="D275" s="24">
        <v>1996</v>
      </c>
      <c r="E275" s="87">
        <v>71.714</v>
      </c>
      <c r="F275" s="87">
        <v>5.70843</v>
      </c>
      <c r="G275" s="87">
        <v>7.19516</v>
      </c>
      <c r="H275" s="87">
        <v>58.81041</v>
      </c>
      <c r="I275" s="35">
        <v>2861.83</v>
      </c>
      <c r="J275" s="87">
        <v>58.810409</v>
      </c>
      <c r="K275" s="35">
        <v>2861.83</v>
      </c>
      <c r="L275" s="50">
        <f>J275/K275</f>
        <v>0.020549930988213835</v>
      </c>
      <c r="M275" s="24">
        <v>296.48</v>
      </c>
      <c r="N275" s="27">
        <f>L275*M275</f>
        <v>6.092643539385638</v>
      </c>
      <c r="O275" s="27">
        <f>L275*60*1000</f>
        <v>1232.9958592928301</v>
      </c>
      <c r="P275" s="51">
        <f>O275*M275/1000</f>
        <v>365.5586123631383</v>
      </c>
      <c r="R275" s="10"/>
      <c r="S275" s="10"/>
    </row>
    <row r="276" spans="1:25" s="9" customFormat="1" ht="12.75">
      <c r="A276" s="221"/>
      <c r="B276" s="62" t="s">
        <v>357</v>
      </c>
      <c r="C276" s="28">
        <v>44</v>
      </c>
      <c r="D276" s="28">
        <v>1988</v>
      </c>
      <c r="E276" s="38">
        <f>F276+G276+H276</f>
        <v>59.64</v>
      </c>
      <c r="F276" s="38">
        <v>5.29</v>
      </c>
      <c r="G276" s="38">
        <v>7.04</v>
      </c>
      <c r="H276" s="38">
        <v>47.31</v>
      </c>
      <c r="I276" s="43">
        <v>2297.82</v>
      </c>
      <c r="J276" s="38">
        <v>47.31</v>
      </c>
      <c r="K276" s="43">
        <v>2297.82</v>
      </c>
      <c r="L276" s="63">
        <f>J276/K276</f>
        <v>0.020589080084601925</v>
      </c>
      <c r="M276" s="31">
        <v>314.9</v>
      </c>
      <c r="N276" s="65">
        <f>L276*M276</f>
        <v>6.483501318641146</v>
      </c>
      <c r="O276" s="65">
        <f>L276*60*1000</f>
        <v>1235.3448050761156</v>
      </c>
      <c r="P276" s="64">
        <f>O276*M276/1000</f>
        <v>389.01007911846875</v>
      </c>
      <c r="Q276" s="10"/>
      <c r="R276" s="10"/>
      <c r="S276" s="10"/>
      <c r="T276" s="12"/>
      <c r="U276" s="13"/>
      <c r="V276" s="13"/>
      <c r="X276" s="16"/>
      <c r="Y276" s="16"/>
    </row>
    <row r="277" spans="1:19" s="9" customFormat="1" ht="12.75">
      <c r="A277" s="221"/>
      <c r="B277" s="62" t="s">
        <v>652</v>
      </c>
      <c r="C277" s="28">
        <v>40</v>
      </c>
      <c r="D277" s="28">
        <v>1986</v>
      </c>
      <c r="E277" s="38">
        <v>58.208</v>
      </c>
      <c r="F277" s="38">
        <v>5.5</v>
      </c>
      <c r="G277" s="38">
        <v>6.4</v>
      </c>
      <c r="H277" s="38">
        <v>46.31</v>
      </c>
      <c r="I277" s="43">
        <v>2245.8</v>
      </c>
      <c r="J277" s="38">
        <v>46.31</v>
      </c>
      <c r="K277" s="43">
        <v>2245.8</v>
      </c>
      <c r="L277" s="63">
        <f>J277/K277</f>
        <v>0.02062071422210348</v>
      </c>
      <c r="M277" s="31">
        <v>328.199</v>
      </c>
      <c r="N277" s="65">
        <f>L277*M277</f>
        <v>6.76769778698014</v>
      </c>
      <c r="O277" s="65">
        <f>L277*60*1000</f>
        <v>1237.2428533262087</v>
      </c>
      <c r="P277" s="64">
        <f>O277*M277/1000</f>
        <v>406.0618672188084</v>
      </c>
      <c r="R277" s="10"/>
      <c r="S277" s="10"/>
    </row>
    <row r="278" spans="1:19" s="9" customFormat="1" ht="12.75">
      <c r="A278" s="221"/>
      <c r="B278" s="62" t="s">
        <v>842</v>
      </c>
      <c r="C278" s="28">
        <v>90</v>
      </c>
      <c r="D278" s="28">
        <v>1975</v>
      </c>
      <c r="E278" s="38">
        <v>125.1</v>
      </c>
      <c r="F278" s="38">
        <v>16.64</v>
      </c>
      <c r="G278" s="38">
        <v>14.32</v>
      </c>
      <c r="H278" s="38">
        <v>94.14</v>
      </c>
      <c r="I278" s="43">
        <v>4561</v>
      </c>
      <c r="J278" s="38">
        <v>94.14</v>
      </c>
      <c r="K278" s="43">
        <v>4561</v>
      </c>
      <c r="L278" s="63">
        <f>J278/K278</f>
        <v>0.02064021048015786</v>
      </c>
      <c r="M278" s="31">
        <v>254.2</v>
      </c>
      <c r="N278" s="65">
        <f>L278*M278</f>
        <v>5.246741504056128</v>
      </c>
      <c r="O278" s="65">
        <f>L278*60*1000</f>
        <v>1238.4126288094717</v>
      </c>
      <c r="P278" s="64">
        <f>O278*M278/1000</f>
        <v>314.8044902433677</v>
      </c>
      <c r="R278" s="10"/>
      <c r="S278" s="10"/>
    </row>
    <row r="279" spans="1:19" s="9" customFormat="1" ht="12.75">
      <c r="A279" s="221"/>
      <c r="B279" s="62" t="s">
        <v>668</v>
      </c>
      <c r="C279" s="28">
        <v>45</v>
      </c>
      <c r="D279" s="28" t="s">
        <v>24</v>
      </c>
      <c r="E279" s="38">
        <v>62.62</v>
      </c>
      <c r="F279" s="38">
        <v>7.45</v>
      </c>
      <c r="G279" s="38">
        <v>7.2</v>
      </c>
      <c r="H279" s="38">
        <v>47.97</v>
      </c>
      <c r="I279" s="43">
        <v>2324</v>
      </c>
      <c r="J279" s="38">
        <v>47.97</v>
      </c>
      <c r="K279" s="43">
        <v>2324</v>
      </c>
      <c r="L279" s="63">
        <f>J279/K279</f>
        <v>0.020641135972461273</v>
      </c>
      <c r="M279" s="31">
        <v>235.3</v>
      </c>
      <c r="N279" s="65">
        <f>L279*M279</f>
        <v>4.856859294320138</v>
      </c>
      <c r="O279" s="65">
        <f>L279*60*1000</f>
        <v>1238.4681583476765</v>
      </c>
      <c r="P279" s="64">
        <f>O279*M279/1000</f>
        <v>291.4115576592083</v>
      </c>
      <c r="R279" s="10"/>
      <c r="S279" s="10"/>
    </row>
    <row r="280" spans="1:19" s="9" customFormat="1" ht="12.75" customHeight="1">
      <c r="A280" s="221"/>
      <c r="B280" s="62" t="s">
        <v>808</v>
      </c>
      <c r="C280" s="28">
        <v>50</v>
      </c>
      <c r="D280" s="28" t="s">
        <v>24</v>
      </c>
      <c r="E280" s="38">
        <f>F280+G280+H280</f>
        <v>49.742</v>
      </c>
      <c r="F280" s="38">
        <v>2.756</v>
      </c>
      <c r="G280" s="38">
        <v>8</v>
      </c>
      <c r="H280" s="38">
        <v>38.986</v>
      </c>
      <c r="I280" s="43">
        <v>1886.21</v>
      </c>
      <c r="J280" s="38">
        <v>38.986</v>
      </c>
      <c r="K280" s="43">
        <v>1886.21</v>
      </c>
      <c r="L280" s="63">
        <f>J280/K280</f>
        <v>0.02066896050810885</v>
      </c>
      <c r="M280" s="31">
        <v>350.76</v>
      </c>
      <c r="N280" s="65">
        <f>L280*M280</f>
        <v>7.24984458782426</v>
      </c>
      <c r="O280" s="65">
        <f>L280*60*1000</f>
        <v>1240.137630486531</v>
      </c>
      <c r="P280" s="64">
        <f>O280*M280/1000</f>
        <v>434.9906752694556</v>
      </c>
      <c r="R280" s="10"/>
      <c r="S280" s="10"/>
    </row>
    <row r="281" spans="1:19" s="9" customFormat="1" ht="12.75">
      <c r="A281" s="221"/>
      <c r="B281" s="62" t="s">
        <v>843</v>
      </c>
      <c r="C281" s="28">
        <v>50</v>
      </c>
      <c r="D281" s="28">
        <v>1980</v>
      </c>
      <c r="E281" s="38">
        <v>67.212</v>
      </c>
      <c r="F281" s="38">
        <v>5.711</v>
      </c>
      <c r="G281" s="38">
        <v>8</v>
      </c>
      <c r="H281" s="38">
        <v>53.501</v>
      </c>
      <c r="I281" s="43">
        <v>2587</v>
      </c>
      <c r="J281" s="38">
        <v>53.501</v>
      </c>
      <c r="K281" s="43">
        <v>2587</v>
      </c>
      <c r="L281" s="63">
        <f>J281/K281</f>
        <v>0.020680711248550445</v>
      </c>
      <c r="M281" s="31">
        <v>254.2</v>
      </c>
      <c r="N281" s="65">
        <f>L281*M281</f>
        <v>5.257036799381523</v>
      </c>
      <c r="O281" s="65">
        <f>L281*60*1000</f>
        <v>1240.8426749130267</v>
      </c>
      <c r="P281" s="64">
        <f>O281*M281/1000</f>
        <v>315.4222079628914</v>
      </c>
      <c r="R281" s="45"/>
      <c r="S281" s="10"/>
    </row>
    <row r="282" spans="1:19" s="9" customFormat="1" ht="12.75">
      <c r="A282" s="221"/>
      <c r="B282" s="254" t="s">
        <v>134</v>
      </c>
      <c r="C282" s="131">
        <v>30</v>
      </c>
      <c r="D282" s="28">
        <v>1974</v>
      </c>
      <c r="E282" s="38">
        <f>F282+G282+H282</f>
        <v>43.299997</v>
      </c>
      <c r="F282" s="121">
        <v>2.2837799999999997</v>
      </c>
      <c r="G282" s="121">
        <v>4.8</v>
      </c>
      <c r="H282" s="121">
        <v>36.216217</v>
      </c>
      <c r="I282" s="122">
        <v>1743.53</v>
      </c>
      <c r="J282" s="121">
        <v>36.216217</v>
      </c>
      <c r="K282" s="122">
        <v>1743.53</v>
      </c>
      <c r="L282" s="63">
        <f>J282/K282</f>
        <v>0.02077177737119522</v>
      </c>
      <c r="M282" s="31">
        <v>314.465</v>
      </c>
      <c r="N282" s="65">
        <f>L282*M282</f>
        <v>6.531996971032904</v>
      </c>
      <c r="O282" s="65">
        <f>L282*60*1000</f>
        <v>1246.3066422717131</v>
      </c>
      <c r="P282" s="64">
        <f>O282*M282/1000</f>
        <v>391.9198182619743</v>
      </c>
      <c r="R282" s="10"/>
      <c r="S282" s="10"/>
    </row>
    <row r="283" spans="1:19" s="9" customFormat="1" ht="12.75">
      <c r="A283" s="221"/>
      <c r="B283" s="62" t="s">
        <v>669</v>
      </c>
      <c r="C283" s="28">
        <v>45</v>
      </c>
      <c r="D283" s="28" t="s">
        <v>24</v>
      </c>
      <c r="E283" s="38">
        <v>58.47</v>
      </c>
      <c r="F283" s="38">
        <v>2.91</v>
      </c>
      <c r="G283" s="38">
        <v>7.2</v>
      </c>
      <c r="H283" s="38">
        <v>48.36</v>
      </c>
      <c r="I283" s="43">
        <v>2325</v>
      </c>
      <c r="J283" s="38">
        <v>48.36</v>
      </c>
      <c r="K283" s="43">
        <v>2325</v>
      </c>
      <c r="L283" s="63">
        <f>J283/K283</f>
        <v>0.0208</v>
      </c>
      <c r="M283" s="31">
        <v>235.3</v>
      </c>
      <c r="N283" s="65">
        <f>L283*M283</f>
        <v>4.89424</v>
      </c>
      <c r="O283" s="65">
        <f>L283*60*1000</f>
        <v>1248</v>
      </c>
      <c r="P283" s="64">
        <f>O283*M283/1000</f>
        <v>293.6544</v>
      </c>
      <c r="R283" s="10"/>
      <c r="S283" s="10"/>
    </row>
    <row r="284" spans="1:19" s="9" customFormat="1" ht="12.75">
      <c r="A284" s="221"/>
      <c r="B284" s="49" t="s">
        <v>694</v>
      </c>
      <c r="C284" s="24">
        <v>60</v>
      </c>
      <c r="D284" s="24" t="s">
        <v>24</v>
      </c>
      <c r="E284" s="87">
        <f>F284+G284+H284</f>
        <v>81.192</v>
      </c>
      <c r="F284" s="204">
        <v>6.4458</v>
      </c>
      <c r="G284" s="87">
        <v>9.6</v>
      </c>
      <c r="H284" s="87">
        <v>65.1462</v>
      </c>
      <c r="I284" s="35">
        <v>3130.63</v>
      </c>
      <c r="J284" s="87">
        <v>65.1462</v>
      </c>
      <c r="K284" s="35">
        <v>3130.63</v>
      </c>
      <c r="L284" s="50">
        <f>J284/K284</f>
        <v>0.020809293975972885</v>
      </c>
      <c r="M284" s="27">
        <v>210</v>
      </c>
      <c r="N284" s="27">
        <f>L284*M284</f>
        <v>4.369951734954306</v>
      </c>
      <c r="O284" s="27">
        <f>L284*1000*60</f>
        <v>1248.5576385583731</v>
      </c>
      <c r="P284" s="51">
        <f>N284*60</f>
        <v>262.1971040972584</v>
      </c>
      <c r="R284" s="10"/>
      <c r="S284" s="10"/>
    </row>
    <row r="285" spans="1:19" s="9" customFormat="1" ht="12.75">
      <c r="A285" s="221"/>
      <c r="B285" s="254" t="s">
        <v>132</v>
      </c>
      <c r="C285" s="131">
        <v>48</v>
      </c>
      <c r="D285" s="28">
        <v>1970</v>
      </c>
      <c r="E285" s="38">
        <f>F285+G285+H285</f>
        <v>63.837428</v>
      </c>
      <c r="F285" s="121">
        <v>4.845</v>
      </c>
      <c r="G285" s="121">
        <v>7.68</v>
      </c>
      <c r="H285" s="121">
        <v>51.312428000000004</v>
      </c>
      <c r="I285" s="122">
        <v>2597.12</v>
      </c>
      <c r="J285" s="121">
        <v>51.312428000000004</v>
      </c>
      <c r="K285" s="122">
        <v>2461.48</v>
      </c>
      <c r="L285" s="63">
        <f>J285/K285</f>
        <v>0.020846168971513077</v>
      </c>
      <c r="M285" s="31">
        <v>314.465</v>
      </c>
      <c r="N285" s="65">
        <f>L285*M285</f>
        <v>6.555390525626859</v>
      </c>
      <c r="O285" s="65">
        <f>L285*60*1000</f>
        <v>1250.7701382907846</v>
      </c>
      <c r="P285" s="64">
        <f>O285*M285/1000</f>
        <v>393.3234315376116</v>
      </c>
      <c r="R285" s="10"/>
      <c r="S285" s="10"/>
    </row>
    <row r="286" spans="1:19" s="9" customFormat="1" ht="12.75">
      <c r="A286" s="221"/>
      <c r="B286" s="62" t="s">
        <v>410</v>
      </c>
      <c r="C286" s="28">
        <v>46</v>
      </c>
      <c r="D286" s="28" t="s">
        <v>24</v>
      </c>
      <c r="E286" s="38">
        <v>60.5</v>
      </c>
      <c r="F286" s="38">
        <v>4.95</v>
      </c>
      <c r="G286" s="38">
        <v>7.12</v>
      </c>
      <c r="H286" s="38">
        <v>48.43</v>
      </c>
      <c r="I286" s="43">
        <v>2323</v>
      </c>
      <c r="J286" s="38">
        <v>48.43</v>
      </c>
      <c r="K286" s="43">
        <v>2323</v>
      </c>
      <c r="L286" s="63">
        <f>J286/K286</f>
        <v>0.020848041325871716</v>
      </c>
      <c r="M286" s="31">
        <v>235.3</v>
      </c>
      <c r="N286" s="65">
        <f>L286*M286</f>
        <v>4.905544123977615</v>
      </c>
      <c r="O286" s="65">
        <f>L286*60*1000</f>
        <v>1250.882479552303</v>
      </c>
      <c r="P286" s="64">
        <f>O286*M286/1000</f>
        <v>294.3326474386569</v>
      </c>
      <c r="R286" s="10"/>
      <c r="S286" s="10"/>
    </row>
    <row r="287" spans="1:19" s="9" customFormat="1" ht="11.25" customHeight="1">
      <c r="A287" s="221"/>
      <c r="B287" s="62" t="s">
        <v>742</v>
      </c>
      <c r="C287" s="28">
        <v>21</v>
      </c>
      <c r="D287" s="28"/>
      <c r="E287" s="38">
        <v>29</v>
      </c>
      <c r="F287" s="38">
        <v>2.496</v>
      </c>
      <c r="G287" s="38">
        <v>3.2</v>
      </c>
      <c r="H287" s="38">
        <v>23.304</v>
      </c>
      <c r="I287" s="43">
        <v>1114.27</v>
      </c>
      <c r="J287" s="38">
        <v>23.3</v>
      </c>
      <c r="K287" s="43">
        <v>1114.27</v>
      </c>
      <c r="L287" s="63">
        <f>J287/K287</f>
        <v>0.020910551302646577</v>
      </c>
      <c r="M287" s="31">
        <v>220.9</v>
      </c>
      <c r="N287" s="65">
        <f>L287*M287</f>
        <v>4.619140782754629</v>
      </c>
      <c r="O287" s="65">
        <f>L287*60*1000</f>
        <v>1254.6330781587947</v>
      </c>
      <c r="P287" s="64">
        <f>O287*M287/1000</f>
        <v>277.14844696527774</v>
      </c>
      <c r="R287" s="10"/>
      <c r="S287" s="10"/>
    </row>
    <row r="288" spans="1:19" s="9" customFormat="1" ht="12.75" customHeight="1">
      <c r="A288" s="221"/>
      <c r="B288" s="49" t="s">
        <v>84</v>
      </c>
      <c r="C288" s="24">
        <v>40</v>
      </c>
      <c r="D288" s="24">
        <v>1995</v>
      </c>
      <c r="E288" s="87">
        <v>71.461</v>
      </c>
      <c r="F288" s="87">
        <v>7.840423</v>
      </c>
      <c r="G288" s="87">
        <v>6.4</v>
      </c>
      <c r="H288" s="87">
        <v>57.220577</v>
      </c>
      <c r="I288" s="35">
        <v>2734.01</v>
      </c>
      <c r="J288" s="87">
        <v>57.220578</v>
      </c>
      <c r="K288" s="35">
        <v>2734.01</v>
      </c>
      <c r="L288" s="50">
        <f>J288/K288</f>
        <v>0.02092917655751076</v>
      </c>
      <c r="M288" s="24">
        <v>296.48</v>
      </c>
      <c r="N288" s="27">
        <f>L288*M288</f>
        <v>6.20508226577079</v>
      </c>
      <c r="O288" s="27">
        <f>L288*60*1000</f>
        <v>1255.7505934506457</v>
      </c>
      <c r="P288" s="51">
        <f>O288*M288/1000</f>
        <v>372.3049359462475</v>
      </c>
      <c r="R288" s="10"/>
      <c r="S288" s="10"/>
    </row>
    <row r="289" spans="1:19" s="9" customFormat="1" ht="12.75" customHeight="1">
      <c r="A289" s="221"/>
      <c r="B289" s="49" t="s">
        <v>36</v>
      </c>
      <c r="C289" s="24">
        <v>28</v>
      </c>
      <c r="D289" s="24">
        <v>1999</v>
      </c>
      <c r="E289" s="87">
        <v>54.746</v>
      </c>
      <c r="F289" s="87">
        <v>4.522068</v>
      </c>
      <c r="G289" s="87">
        <v>4.16</v>
      </c>
      <c r="H289" s="87">
        <v>46.063932</v>
      </c>
      <c r="I289" s="35">
        <v>2189.32</v>
      </c>
      <c r="J289" s="87">
        <v>46.06393</v>
      </c>
      <c r="K289" s="35">
        <v>2189.32</v>
      </c>
      <c r="L289" s="50">
        <f>J289/K289</f>
        <v>0.021040291049275572</v>
      </c>
      <c r="M289" s="24">
        <v>296.48</v>
      </c>
      <c r="N289" s="27">
        <f>L289*M289</f>
        <v>6.238025490289222</v>
      </c>
      <c r="O289" s="27">
        <f>L289*60*1000</f>
        <v>1262.4174629565343</v>
      </c>
      <c r="P289" s="51">
        <f>O289*M289/1000</f>
        <v>374.28152941735334</v>
      </c>
      <c r="R289" s="10"/>
      <c r="S289" s="10"/>
    </row>
    <row r="290" spans="1:19" s="9" customFormat="1" ht="12.75" customHeight="1">
      <c r="A290" s="221"/>
      <c r="B290" s="62" t="s">
        <v>708</v>
      </c>
      <c r="C290" s="28">
        <v>30</v>
      </c>
      <c r="D290" s="28">
        <v>1968</v>
      </c>
      <c r="E290" s="38">
        <v>47.78</v>
      </c>
      <c r="F290" s="38">
        <v>3</v>
      </c>
      <c r="G290" s="38">
        <v>4.6</v>
      </c>
      <c r="H290" s="38">
        <v>36.5</v>
      </c>
      <c r="I290" s="96"/>
      <c r="J290" s="38">
        <f>H290</f>
        <v>36.5</v>
      </c>
      <c r="K290" s="43">
        <v>1733</v>
      </c>
      <c r="L290" s="63">
        <f>J290/K290</f>
        <v>0.021061742642815927</v>
      </c>
      <c r="M290" s="31">
        <v>187.7</v>
      </c>
      <c r="N290" s="65">
        <f>L290*M290</f>
        <v>3.953289094056549</v>
      </c>
      <c r="O290" s="65">
        <f>L290*60*1000</f>
        <v>1263.7045585689557</v>
      </c>
      <c r="P290" s="64">
        <f>O290*M290/1000</f>
        <v>237.19734564339296</v>
      </c>
      <c r="R290" s="10"/>
      <c r="S290" s="10"/>
    </row>
    <row r="291" spans="1:19" s="9" customFormat="1" ht="12.75" customHeight="1">
      <c r="A291" s="221"/>
      <c r="B291" s="62" t="s">
        <v>212</v>
      </c>
      <c r="C291" s="28">
        <v>30</v>
      </c>
      <c r="D291" s="28">
        <v>1988</v>
      </c>
      <c r="E291" s="38">
        <f>F291+G291+H291</f>
        <v>42.21</v>
      </c>
      <c r="F291" s="38">
        <v>2.69</v>
      </c>
      <c r="G291" s="38">
        <v>4.8</v>
      </c>
      <c r="H291" s="38">
        <v>34.72</v>
      </c>
      <c r="I291" s="43">
        <v>1645.25</v>
      </c>
      <c r="J291" s="38">
        <v>34.72</v>
      </c>
      <c r="K291" s="43">
        <v>1645.25</v>
      </c>
      <c r="L291" s="63">
        <f>J291/K291</f>
        <v>0.021103175809147546</v>
      </c>
      <c r="M291" s="31">
        <v>314.9</v>
      </c>
      <c r="N291" s="65">
        <f>L291*M291</f>
        <v>6.645390062300562</v>
      </c>
      <c r="O291" s="65">
        <f>L291*60*1000</f>
        <v>1266.1905485488528</v>
      </c>
      <c r="P291" s="64">
        <f>O291*M291/1000</f>
        <v>398.7234037380337</v>
      </c>
      <c r="R291" s="10"/>
      <c r="S291" s="10"/>
    </row>
    <row r="292" spans="1:19" s="9" customFormat="1" ht="12.75" customHeight="1">
      <c r="A292" s="221"/>
      <c r="B292" s="49" t="s">
        <v>32</v>
      </c>
      <c r="C292" s="24">
        <v>71</v>
      </c>
      <c r="D292" s="24">
        <v>2006</v>
      </c>
      <c r="E292" s="87">
        <v>87.2</v>
      </c>
      <c r="F292" s="87">
        <v>6.8799</v>
      </c>
      <c r="G292" s="87">
        <v>5.68</v>
      </c>
      <c r="H292" s="87">
        <v>74.6401</v>
      </c>
      <c r="I292" s="35">
        <v>3533.18</v>
      </c>
      <c r="J292" s="87">
        <v>74.640102</v>
      </c>
      <c r="K292" s="35">
        <v>3533.18</v>
      </c>
      <c r="L292" s="50">
        <f>J292/K292</f>
        <v>0.02112547393566136</v>
      </c>
      <c r="M292" s="24">
        <v>296.48</v>
      </c>
      <c r="N292" s="27">
        <f>L292*M292</f>
        <v>6.26328051244488</v>
      </c>
      <c r="O292" s="27">
        <f>L292*60*1000</f>
        <v>1267.5284361396816</v>
      </c>
      <c r="P292" s="51">
        <f>O292*M292/1000</f>
        <v>375.7968307466928</v>
      </c>
      <c r="R292" s="10"/>
      <c r="S292" s="10"/>
    </row>
    <row r="293" spans="1:19" s="9" customFormat="1" ht="12.75" customHeight="1">
      <c r="A293" s="221"/>
      <c r="B293" s="62" t="s">
        <v>709</v>
      </c>
      <c r="C293" s="28">
        <v>60</v>
      </c>
      <c r="D293" s="28">
        <v>1966</v>
      </c>
      <c r="E293" s="38">
        <v>71.2</v>
      </c>
      <c r="F293" s="38">
        <v>4</v>
      </c>
      <c r="G293" s="38">
        <v>9.6</v>
      </c>
      <c r="H293" s="38">
        <v>57.57</v>
      </c>
      <c r="I293" s="96"/>
      <c r="J293" s="38">
        <f>H293</f>
        <v>57.57</v>
      </c>
      <c r="K293" s="43">
        <v>2723</v>
      </c>
      <c r="L293" s="63">
        <f>J293/K293</f>
        <v>0.021142122658832172</v>
      </c>
      <c r="M293" s="31">
        <v>187.7</v>
      </c>
      <c r="N293" s="65">
        <f>L293*M293</f>
        <v>3.9683764230627983</v>
      </c>
      <c r="O293" s="65">
        <f>L293*60*1000</f>
        <v>1268.5273595299302</v>
      </c>
      <c r="P293" s="64">
        <f>O293*M293/1000</f>
        <v>238.10258538376786</v>
      </c>
      <c r="R293" s="10"/>
      <c r="S293" s="10"/>
    </row>
    <row r="294" spans="1:19" s="9" customFormat="1" ht="12.75" customHeight="1">
      <c r="A294" s="221"/>
      <c r="B294" s="62" t="s">
        <v>356</v>
      </c>
      <c r="C294" s="28">
        <v>41</v>
      </c>
      <c r="D294" s="28">
        <v>1988</v>
      </c>
      <c r="E294" s="38">
        <f>F294+G294+H294</f>
        <v>58.6</v>
      </c>
      <c r="F294" s="38">
        <v>3.93</v>
      </c>
      <c r="G294" s="38">
        <v>6.4</v>
      </c>
      <c r="H294" s="38">
        <v>48.27</v>
      </c>
      <c r="I294" s="43">
        <v>2275.45</v>
      </c>
      <c r="J294" s="38">
        <v>48.27</v>
      </c>
      <c r="K294" s="43">
        <v>2275.45</v>
      </c>
      <c r="L294" s="63">
        <f>J294/K294</f>
        <v>0.021213386363136966</v>
      </c>
      <c r="M294" s="31">
        <v>314.9</v>
      </c>
      <c r="N294" s="65">
        <f>L294*M294</f>
        <v>6.68009536575183</v>
      </c>
      <c r="O294" s="65">
        <f>L294*60*1000</f>
        <v>1272.803181788218</v>
      </c>
      <c r="P294" s="64">
        <f>O294*M294/1000</f>
        <v>400.8057219451098</v>
      </c>
      <c r="R294" s="10"/>
      <c r="S294" s="10"/>
    </row>
    <row r="295" spans="1:19" s="9" customFormat="1" ht="13.5" customHeight="1">
      <c r="A295" s="221"/>
      <c r="B295" s="62" t="s">
        <v>353</v>
      </c>
      <c r="C295" s="28">
        <v>45</v>
      </c>
      <c r="D295" s="28">
        <v>1981</v>
      </c>
      <c r="E295" s="38">
        <f>F295+G295+H295</f>
        <v>58.940000000000005</v>
      </c>
      <c r="F295" s="38">
        <v>4.05</v>
      </c>
      <c r="G295" s="38">
        <v>7.12</v>
      </c>
      <c r="H295" s="38">
        <v>47.77</v>
      </c>
      <c r="I295" s="43">
        <v>2250.62</v>
      </c>
      <c r="J295" s="38">
        <v>47.77</v>
      </c>
      <c r="K295" s="43">
        <v>2250.62</v>
      </c>
      <c r="L295" s="63">
        <f>J295/K295</f>
        <v>0.021225262372146343</v>
      </c>
      <c r="M295" s="31">
        <v>314.9</v>
      </c>
      <c r="N295" s="65">
        <f>L295*M295</f>
        <v>6.683835120988883</v>
      </c>
      <c r="O295" s="65">
        <f>L295*60*1000</f>
        <v>1273.5157423287806</v>
      </c>
      <c r="P295" s="64">
        <f>O295*M295/1000</f>
        <v>401.03010725933296</v>
      </c>
      <c r="R295" s="10"/>
      <c r="S295" s="10"/>
    </row>
    <row r="296" spans="1:19" s="9" customFormat="1" ht="13.5" customHeight="1">
      <c r="A296" s="221"/>
      <c r="B296" s="62" t="s">
        <v>312</v>
      </c>
      <c r="C296" s="28">
        <v>50</v>
      </c>
      <c r="D296" s="28">
        <v>1980</v>
      </c>
      <c r="E296" s="38">
        <v>77.048</v>
      </c>
      <c r="F296" s="38">
        <v>4.998</v>
      </c>
      <c r="G296" s="38">
        <v>8</v>
      </c>
      <c r="H296" s="38">
        <v>64.05</v>
      </c>
      <c r="I296" s="43">
        <v>3015.29</v>
      </c>
      <c r="J296" s="38">
        <v>64.05</v>
      </c>
      <c r="K296" s="43">
        <v>3015.29</v>
      </c>
      <c r="L296" s="63">
        <f>J296/K296</f>
        <v>0.021241737942287474</v>
      </c>
      <c r="M296" s="31">
        <v>337.137</v>
      </c>
      <c r="N296" s="65">
        <f>L296*M296</f>
        <v>7.161375804648972</v>
      </c>
      <c r="O296" s="65">
        <f>L296*60*1000</f>
        <v>1274.5042765372484</v>
      </c>
      <c r="P296" s="64">
        <f>O296*M296/1000</f>
        <v>429.6825482789383</v>
      </c>
      <c r="Q296" s="11"/>
      <c r="R296" s="10"/>
      <c r="S296" s="10"/>
    </row>
    <row r="297" spans="1:19" s="9" customFormat="1" ht="12.75" customHeight="1">
      <c r="A297" s="221"/>
      <c r="B297" s="62" t="s">
        <v>499</v>
      </c>
      <c r="C297" s="28">
        <v>60</v>
      </c>
      <c r="D297" s="28">
        <v>1970</v>
      </c>
      <c r="E297" s="38">
        <v>79</v>
      </c>
      <c r="F297" s="38">
        <v>6.478</v>
      </c>
      <c r="G297" s="38">
        <v>5.97</v>
      </c>
      <c r="H297" s="38">
        <f>E297-F297-G297</f>
        <v>66.552</v>
      </c>
      <c r="I297" s="43">
        <v>3132.9</v>
      </c>
      <c r="J297" s="38">
        <f>H297</f>
        <v>66.552</v>
      </c>
      <c r="K297" s="43">
        <f>I297</f>
        <v>3132.9</v>
      </c>
      <c r="L297" s="63">
        <f>J297/K297</f>
        <v>0.021242937853107345</v>
      </c>
      <c r="M297" s="31">
        <v>279.476</v>
      </c>
      <c r="N297" s="65">
        <f>L297*M297</f>
        <v>5.936891299435028</v>
      </c>
      <c r="O297" s="65">
        <f>L297*60*1000</f>
        <v>1274.5762711864409</v>
      </c>
      <c r="P297" s="64">
        <f>O297*M297/1000</f>
        <v>356.2134779661017</v>
      </c>
      <c r="R297" s="10"/>
      <c r="S297" s="10"/>
    </row>
    <row r="298" spans="1:19" s="9" customFormat="1" ht="12.75">
      <c r="A298" s="221"/>
      <c r="B298" s="49" t="s">
        <v>415</v>
      </c>
      <c r="C298" s="24">
        <v>30</v>
      </c>
      <c r="D298" s="24">
        <v>1993</v>
      </c>
      <c r="E298" s="87">
        <f>F298+G298+H298</f>
        <v>44.943200000000004</v>
      </c>
      <c r="F298" s="87">
        <v>3.4751</v>
      </c>
      <c r="G298" s="87">
        <v>4.8</v>
      </c>
      <c r="H298" s="87">
        <v>36.6681</v>
      </c>
      <c r="I298" s="35">
        <v>1726.08</v>
      </c>
      <c r="J298" s="87">
        <v>36.6681</v>
      </c>
      <c r="K298" s="35">
        <v>1726.08</v>
      </c>
      <c r="L298" s="50">
        <f>J298/K298</f>
        <v>0.021243569243604005</v>
      </c>
      <c r="M298" s="27">
        <v>210</v>
      </c>
      <c r="N298" s="27">
        <f>L298*M298</f>
        <v>4.461149541156841</v>
      </c>
      <c r="O298" s="27">
        <f>L298*1000*60</f>
        <v>1274.6141546162405</v>
      </c>
      <c r="P298" s="51">
        <f>N298*60</f>
        <v>267.66897246941045</v>
      </c>
      <c r="R298" s="10"/>
      <c r="S298" s="10"/>
    </row>
    <row r="299" spans="1:19" s="9" customFormat="1" ht="12.75">
      <c r="A299" s="221"/>
      <c r="B299" s="49" t="s">
        <v>695</v>
      </c>
      <c r="C299" s="24">
        <v>100</v>
      </c>
      <c r="D299" s="24" t="s">
        <v>24</v>
      </c>
      <c r="E299" s="87">
        <f>F299+G299+H299</f>
        <v>103.305</v>
      </c>
      <c r="F299" s="87">
        <v>9.0353</v>
      </c>
      <c r="G299" s="87">
        <v>16</v>
      </c>
      <c r="H299" s="87">
        <v>78.2697</v>
      </c>
      <c r="I299" s="35">
        <v>3684.18</v>
      </c>
      <c r="J299" s="87">
        <v>78.2697</v>
      </c>
      <c r="K299" s="35">
        <v>3684.18</v>
      </c>
      <c r="L299" s="50">
        <f>J299/K299</f>
        <v>0.021244808885559338</v>
      </c>
      <c r="M299" s="27">
        <v>210</v>
      </c>
      <c r="N299" s="27">
        <f>L299*M299</f>
        <v>4.461409865967461</v>
      </c>
      <c r="O299" s="27">
        <f>L299*1000*60</f>
        <v>1274.6885331335602</v>
      </c>
      <c r="P299" s="51">
        <f>N299*60</f>
        <v>267.6845919580477</v>
      </c>
      <c r="R299" s="10"/>
      <c r="S299" s="10"/>
    </row>
    <row r="300" spans="1:19" s="9" customFormat="1" ht="12.75" customHeight="1">
      <c r="A300" s="221"/>
      <c r="B300" s="49" t="s">
        <v>696</v>
      </c>
      <c r="C300" s="24">
        <v>30</v>
      </c>
      <c r="D300" s="24" t="s">
        <v>24</v>
      </c>
      <c r="E300" s="87">
        <f>F300+G300+H300</f>
        <v>40.989999999999995</v>
      </c>
      <c r="F300" s="87">
        <v>2.5559</v>
      </c>
      <c r="G300" s="87">
        <v>4.8</v>
      </c>
      <c r="H300" s="87">
        <v>33.6341</v>
      </c>
      <c r="I300" s="35">
        <v>1578.17</v>
      </c>
      <c r="J300" s="87">
        <v>33.6341</v>
      </c>
      <c r="K300" s="35">
        <v>1578.17</v>
      </c>
      <c r="L300" s="50">
        <f>J300/K300</f>
        <v>0.021312089318641207</v>
      </c>
      <c r="M300" s="27">
        <v>210</v>
      </c>
      <c r="N300" s="27">
        <f>L300*M300</f>
        <v>4.475538756914653</v>
      </c>
      <c r="O300" s="27">
        <f>L300*1000*60</f>
        <v>1278.7253591184724</v>
      </c>
      <c r="P300" s="51">
        <f>N300*60</f>
        <v>268.53232541487915</v>
      </c>
      <c r="R300" s="10"/>
      <c r="S300" s="10"/>
    </row>
    <row r="301" spans="1:19" s="9" customFormat="1" ht="12.75">
      <c r="A301" s="221"/>
      <c r="B301" s="49" t="s">
        <v>697</v>
      </c>
      <c r="C301" s="24">
        <v>30</v>
      </c>
      <c r="D301" s="24" t="s">
        <v>24</v>
      </c>
      <c r="E301" s="87">
        <f>F301+G301+H301</f>
        <v>45.1798</v>
      </c>
      <c r="F301" s="87">
        <v>3.4303</v>
      </c>
      <c r="G301" s="87">
        <v>4.8</v>
      </c>
      <c r="H301" s="87">
        <v>36.9495</v>
      </c>
      <c r="I301" s="35">
        <v>1731.85</v>
      </c>
      <c r="J301" s="87">
        <v>36.9495</v>
      </c>
      <c r="K301" s="35">
        <v>1731.85</v>
      </c>
      <c r="L301" s="50">
        <f>J301/K301</f>
        <v>0.021335277304616453</v>
      </c>
      <c r="M301" s="27">
        <v>210</v>
      </c>
      <c r="N301" s="27">
        <f>L301*M301</f>
        <v>4.480408233969455</v>
      </c>
      <c r="O301" s="27">
        <f>L301*1000*60</f>
        <v>1280.1166382769873</v>
      </c>
      <c r="P301" s="51">
        <f>N301*60</f>
        <v>268.8244940381673</v>
      </c>
      <c r="R301" s="10"/>
      <c r="S301" s="10"/>
    </row>
    <row r="302" spans="1:19" s="9" customFormat="1" ht="12.75">
      <c r="A302" s="221"/>
      <c r="B302" s="62" t="s">
        <v>480</v>
      </c>
      <c r="C302" s="28">
        <v>48</v>
      </c>
      <c r="D302" s="28">
        <v>1961</v>
      </c>
      <c r="E302" s="38">
        <v>60.79</v>
      </c>
      <c r="F302" s="38">
        <v>3.9</v>
      </c>
      <c r="G302" s="38">
        <v>7.68</v>
      </c>
      <c r="H302" s="38">
        <v>49.1</v>
      </c>
      <c r="I302" s="96"/>
      <c r="J302" s="38">
        <f>H302</f>
        <v>49.1</v>
      </c>
      <c r="K302" s="43">
        <v>2297</v>
      </c>
      <c r="L302" s="63">
        <f>J302/K302</f>
        <v>0.02137570744449282</v>
      </c>
      <c r="M302" s="31">
        <v>187.7</v>
      </c>
      <c r="N302" s="65">
        <f>L302*M302</f>
        <v>4.012220287331302</v>
      </c>
      <c r="O302" s="65">
        <f>L302*60*1000</f>
        <v>1282.5424466695692</v>
      </c>
      <c r="P302" s="64">
        <f>O302*M302/1000</f>
        <v>240.73321723987814</v>
      </c>
      <c r="R302" s="10"/>
      <c r="S302" s="10"/>
    </row>
    <row r="303" spans="1:19" s="9" customFormat="1" ht="12.75">
      <c r="A303" s="221"/>
      <c r="B303" s="62" t="s">
        <v>633</v>
      </c>
      <c r="C303" s="28">
        <v>95</v>
      </c>
      <c r="D303" s="28">
        <v>1982</v>
      </c>
      <c r="E303" s="38">
        <f>F303+G303+H303</f>
        <v>98.97</v>
      </c>
      <c r="F303" s="38">
        <v>9.41</v>
      </c>
      <c r="G303" s="38">
        <v>14.4</v>
      </c>
      <c r="H303" s="38">
        <v>75.16</v>
      </c>
      <c r="I303" s="43">
        <v>3714.6</v>
      </c>
      <c r="J303" s="38">
        <v>75.16</v>
      </c>
      <c r="K303" s="43">
        <v>3514.22</v>
      </c>
      <c r="L303" s="63">
        <f>J303/K303</f>
        <v>0.021387391796757176</v>
      </c>
      <c r="M303" s="31">
        <v>314.9</v>
      </c>
      <c r="N303" s="65">
        <f>L303*M303</f>
        <v>6.734889676798835</v>
      </c>
      <c r="O303" s="65">
        <f>L303*60*1000</f>
        <v>1283.2435078054305</v>
      </c>
      <c r="P303" s="64">
        <f>O303*M303/1000</f>
        <v>404.09338060793</v>
      </c>
      <c r="R303" s="10"/>
      <c r="S303" s="10"/>
    </row>
    <row r="304" spans="1:19" s="9" customFormat="1" ht="12.75">
      <c r="A304" s="221"/>
      <c r="B304" s="49" t="s">
        <v>83</v>
      </c>
      <c r="C304" s="24">
        <v>28</v>
      </c>
      <c r="D304" s="24">
        <v>2000</v>
      </c>
      <c r="E304" s="87">
        <v>41.876</v>
      </c>
      <c r="F304" s="87">
        <v>4.1769</v>
      </c>
      <c r="G304" s="87">
        <v>4.4</v>
      </c>
      <c r="H304" s="87">
        <v>33.2991</v>
      </c>
      <c r="I304" s="35">
        <v>1552.52</v>
      </c>
      <c r="J304" s="87">
        <v>31.393839</v>
      </c>
      <c r="K304" s="35">
        <v>1463.69</v>
      </c>
      <c r="L304" s="50">
        <f>J304/K304</f>
        <v>0.021448420772158038</v>
      </c>
      <c r="M304" s="24">
        <v>296.48</v>
      </c>
      <c r="N304" s="27">
        <f>L304*M304</f>
        <v>6.3590277905294155</v>
      </c>
      <c r="O304" s="27">
        <f>L304*60*1000</f>
        <v>1286.9052463294822</v>
      </c>
      <c r="P304" s="51">
        <f>O304*M304/1000</f>
        <v>381.5416674317649</v>
      </c>
      <c r="R304" s="10"/>
      <c r="S304" s="10"/>
    </row>
    <row r="305" spans="1:19" s="9" customFormat="1" ht="12.75">
      <c r="A305" s="221"/>
      <c r="B305" s="254" t="s">
        <v>128</v>
      </c>
      <c r="C305" s="131">
        <v>25</v>
      </c>
      <c r="D305" s="28">
        <v>1993</v>
      </c>
      <c r="E305" s="38">
        <f>F305+G305+H305</f>
        <v>36.2</v>
      </c>
      <c r="F305" s="121">
        <v>3.5700000000000003</v>
      </c>
      <c r="G305" s="121">
        <v>4</v>
      </c>
      <c r="H305" s="121">
        <v>28.63</v>
      </c>
      <c r="I305" s="122">
        <v>1334.51</v>
      </c>
      <c r="J305" s="121">
        <v>28.63</v>
      </c>
      <c r="K305" s="122">
        <v>1334.51</v>
      </c>
      <c r="L305" s="63">
        <f>J305/K305</f>
        <v>0.02145356722692224</v>
      </c>
      <c r="M305" s="31">
        <v>314.465</v>
      </c>
      <c r="N305" s="65">
        <f>L305*M305</f>
        <v>6.746396018014102</v>
      </c>
      <c r="O305" s="65">
        <f>L305*60*1000</f>
        <v>1287.2140336153343</v>
      </c>
      <c r="P305" s="64">
        <f>O305*M305/1000</f>
        <v>404.7837610808461</v>
      </c>
      <c r="R305" s="10"/>
      <c r="S305" s="10"/>
    </row>
    <row r="306" spans="1:19" s="9" customFormat="1" ht="12.75">
      <c r="A306" s="221"/>
      <c r="B306" s="62" t="s">
        <v>670</v>
      </c>
      <c r="C306" s="28">
        <v>15</v>
      </c>
      <c r="D306" s="28" t="s">
        <v>24</v>
      </c>
      <c r="E306" s="38">
        <v>20.98</v>
      </c>
      <c r="F306" s="38">
        <v>1.48</v>
      </c>
      <c r="G306" s="38">
        <v>2.17</v>
      </c>
      <c r="H306" s="38">
        <v>17.33</v>
      </c>
      <c r="I306" s="43">
        <v>807</v>
      </c>
      <c r="J306" s="38">
        <v>17.33</v>
      </c>
      <c r="K306" s="43">
        <v>807</v>
      </c>
      <c r="L306" s="63">
        <f>J306/K306</f>
        <v>0.021474597273853778</v>
      </c>
      <c r="M306" s="31">
        <v>235.3</v>
      </c>
      <c r="N306" s="65">
        <f>L306*M306</f>
        <v>5.052972738537794</v>
      </c>
      <c r="O306" s="65">
        <f>L306*60*1000</f>
        <v>1288.4758364312268</v>
      </c>
      <c r="P306" s="64">
        <f>O306*M306/1000</f>
        <v>303.17836431226766</v>
      </c>
      <c r="Q306" s="11"/>
      <c r="R306" s="10"/>
      <c r="S306" s="10"/>
    </row>
    <row r="307" spans="1:19" s="9" customFormat="1" ht="12.75" customHeight="1">
      <c r="A307" s="221"/>
      <c r="B307" s="62" t="s">
        <v>710</v>
      </c>
      <c r="C307" s="28">
        <v>48</v>
      </c>
      <c r="D307" s="28">
        <v>1961</v>
      </c>
      <c r="E307" s="38">
        <v>65.5</v>
      </c>
      <c r="F307" s="38">
        <v>6.4</v>
      </c>
      <c r="G307" s="38">
        <v>7.68</v>
      </c>
      <c r="H307" s="38">
        <v>51.4</v>
      </c>
      <c r="I307" s="96"/>
      <c r="J307" s="38">
        <f>H307</f>
        <v>51.4</v>
      </c>
      <c r="K307" s="43">
        <v>2393</v>
      </c>
      <c r="L307" s="63">
        <f>J307/K307</f>
        <v>0.021479314667781028</v>
      </c>
      <c r="M307" s="31">
        <v>187.7</v>
      </c>
      <c r="N307" s="65">
        <f>L307*M307</f>
        <v>4.031667363142499</v>
      </c>
      <c r="O307" s="65">
        <f>L307*60*1000</f>
        <v>1288.7588800668616</v>
      </c>
      <c r="P307" s="64">
        <f>O307*M307/1000</f>
        <v>241.9000417885499</v>
      </c>
      <c r="R307" s="10"/>
      <c r="S307" s="10"/>
    </row>
    <row r="308" spans="1:19" s="9" customFormat="1" ht="12.75">
      <c r="A308" s="221"/>
      <c r="B308" s="62" t="s">
        <v>106</v>
      </c>
      <c r="C308" s="28">
        <v>40</v>
      </c>
      <c r="D308" s="28">
        <v>1981</v>
      </c>
      <c r="E308" s="38">
        <v>58.431</v>
      </c>
      <c r="F308" s="38">
        <v>3.672</v>
      </c>
      <c r="G308" s="38">
        <v>6.4</v>
      </c>
      <c r="H308" s="38">
        <v>48.359</v>
      </c>
      <c r="I308" s="43">
        <v>2251.3</v>
      </c>
      <c r="J308" s="38">
        <v>48.359</v>
      </c>
      <c r="K308" s="43">
        <v>2251.3</v>
      </c>
      <c r="L308" s="63">
        <f>J308/K308</f>
        <v>0.0214804779460756</v>
      </c>
      <c r="M308" s="31">
        <v>337.137</v>
      </c>
      <c r="N308" s="65">
        <f>L308*M308</f>
        <v>7.24186389330609</v>
      </c>
      <c r="O308" s="65">
        <f>L308*60*1000</f>
        <v>1288.828676764536</v>
      </c>
      <c r="P308" s="64">
        <f>O308*M308/1000</f>
        <v>434.5118335983654</v>
      </c>
      <c r="R308" s="10"/>
      <c r="S308" s="10"/>
    </row>
    <row r="309" spans="1:19" s="9" customFormat="1" ht="12.75">
      <c r="A309" s="221"/>
      <c r="B309" s="62" t="s">
        <v>122</v>
      </c>
      <c r="C309" s="28">
        <v>75</v>
      </c>
      <c r="D309" s="28">
        <v>1981</v>
      </c>
      <c r="E309" s="38">
        <f>F309+G309+H309</f>
        <v>103.61</v>
      </c>
      <c r="F309" s="38">
        <v>6.77</v>
      </c>
      <c r="G309" s="38">
        <v>11.84</v>
      </c>
      <c r="H309" s="38">
        <v>85</v>
      </c>
      <c r="I309" s="43">
        <v>4034.29</v>
      </c>
      <c r="J309" s="38">
        <v>85</v>
      </c>
      <c r="K309" s="43">
        <v>3952.66</v>
      </c>
      <c r="L309" s="63">
        <f>J309/K309</f>
        <v>0.02150450582645611</v>
      </c>
      <c r="M309" s="31">
        <v>314.9</v>
      </c>
      <c r="N309" s="65">
        <f>L309*M309</f>
        <v>6.771768884751028</v>
      </c>
      <c r="O309" s="65">
        <f>L309*60*1000</f>
        <v>1290.2703495873664</v>
      </c>
      <c r="P309" s="64">
        <f>O309*M309/1000</f>
        <v>406.3061330850616</v>
      </c>
      <c r="R309" s="10"/>
      <c r="S309" s="10"/>
    </row>
    <row r="310" spans="1:19" s="9" customFormat="1" ht="12.75">
      <c r="A310" s="221"/>
      <c r="B310" s="62" t="s">
        <v>844</v>
      </c>
      <c r="C310" s="28">
        <v>60</v>
      </c>
      <c r="D310" s="28">
        <v>1979</v>
      </c>
      <c r="E310" s="38">
        <v>83</v>
      </c>
      <c r="F310" s="38">
        <v>5.896</v>
      </c>
      <c r="G310" s="38">
        <v>9.36</v>
      </c>
      <c r="H310" s="38">
        <v>67.744</v>
      </c>
      <c r="I310" s="43">
        <v>3147</v>
      </c>
      <c r="J310" s="38">
        <v>67.744</v>
      </c>
      <c r="K310" s="43">
        <v>3147</v>
      </c>
      <c r="L310" s="63">
        <f>J310/K310</f>
        <v>0.021526533206228153</v>
      </c>
      <c r="M310" s="31">
        <v>254.2</v>
      </c>
      <c r="N310" s="65">
        <f>L310*M310</f>
        <v>5.472044741023196</v>
      </c>
      <c r="O310" s="65">
        <f>L310*60*1000</f>
        <v>1291.5919923736892</v>
      </c>
      <c r="P310" s="64">
        <f>O310*M310/1000</f>
        <v>328.32268446139176</v>
      </c>
      <c r="R310" s="10"/>
      <c r="S310" s="10"/>
    </row>
    <row r="311" spans="1:19" s="9" customFormat="1" ht="12.75">
      <c r="A311" s="221"/>
      <c r="B311" s="62" t="s">
        <v>479</v>
      </c>
      <c r="C311" s="28">
        <v>48</v>
      </c>
      <c r="D311" s="28">
        <v>1961</v>
      </c>
      <c r="E311" s="38">
        <v>61.2</v>
      </c>
      <c r="F311" s="38">
        <v>4</v>
      </c>
      <c r="G311" s="38">
        <v>7.68</v>
      </c>
      <c r="H311" s="38">
        <v>49.49</v>
      </c>
      <c r="I311" s="96"/>
      <c r="J311" s="38">
        <f>H311</f>
        <v>49.49</v>
      </c>
      <c r="K311" s="43">
        <v>2296</v>
      </c>
      <c r="L311" s="63">
        <f>J311/K311</f>
        <v>0.02155487804878049</v>
      </c>
      <c r="M311" s="31">
        <v>187.7</v>
      </c>
      <c r="N311" s="65">
        <f>L311*M311</f>
        <v>4.045850609756098</v>
      </c>
      <c r="O311" s="65">
        <f>L311*60*1000</f>
        <v>1293.2926829268295</v>
      </c>
      <c r="P311" s="64">
        <f>O311*M311/1000</f>
        <v>242.75103658536588</v>
      </c>
      <c r="R311" s="10"/>
      <c r="S311" s="10"/>
    </row>
    <row r="312" spans="1:19" s="9" customFormat="1" ht="12.75" customHeight="1">
      <c r="A312" s="221"/>
      <c r="B312" s="254" t="s">
        <v>136</v>
      </c>
      <c r="C312" s="131">
        <v>50</v>
      </c>
      <c r="D312" s="28">
        <v>1971</v>
      </c>
      <c r="E312" s="38">
        <f>F312+G312+H312</f>
        <v>67.500001</v>
      </c>
      <c r="F312" s="121">
        <v>4.182</v>
      </c>
      <c r="G312" s="121">
        <v>8</v>
      </c>
      <c r="H312" s="121">
        <v>55.318001</v>
      </c>
      <c r="I312" s="122">
        <v>2564.8</v>
      </c>
      <c r="J312" s="121">
        <v>55.318001</v>
      </c>
      <c r="K312" s="122">
        <v>2564.8</v>
      </c>
      <c r="L312" s="63">
        <f>J312/K312</f>
        <v>0.021568153852152213</v>
      </c>
      <c r="M312" s="31">
        <v>314.465</v>
      </c>
      <c r="N312" s="65">
        <f>L312*M312</f>
        <v>6.782429501117045</v>
      </c>
      <c r="O312" s="65">
        <f>L312*60*1000</f>
        <v>1294.0892311291327</v>
      </c>
      <c r="P312" s="64">
        <f>O312*M312/1000</f>
        <v>406.9457700670227</v>
      </c>
      <c r="R312" s="10"/>
      <c r="S312" s="10"/>
    </row>
    <row r="313" spans="1:19" s="9" customFormat="1" ht="12.75">
      <c r="A313" s="221"/>
      <c r="B313" s="62" t="s">
        <v>355</v>
      </c>
      <c r="C313" s="28">
        <v>45</v>
      </c>
      <c r="D313" s="28">
        <v>1984</v>
      </c>
      <c r="E313" s="38">
        <f>F313+G313+H313</f>
        <v>61.06</v>
      </c>
      <c r="F313" s="38">
        <v>3.5</v>
      </c>
      <c r="G313" s="38">
        <v>7.2</v>
      </c>
      <c r="H313" s="38">
        <v>50.36</v>
      </c>
      <c r="I313" s="43">
        <v>2330.45</v>
      </c>
      <c r="J313" s="38">
        <v>50.36</v>
      </c>
      <c r="K313" s="43">
        <v>2330.45</v>
      </c>
      <c r="L313" s="63">
        <f>J313/K313</f>
        <v>0.021609560385333307</v>
      </c>
      <c r="M313" s="31">
        <v>314.9</v>
      </c>
      <c r="N313" s="65">
        <f>L313*M313</f>
        <v>6.804850565341458</v>
      </c>
      <c r="O313" s="65">
        <f>L313*60*1000</f>
        <v>1296.5736231199985</v>
      </c>
      <c r="P313" s="64">
        <f>O313*M313/1000</f>
        <v>408.2910339204875</v>
      </c>
      <c r="R313" s="10"/>
      <c r="S313" s="10"/>
    </row>
    <row r="314" spans="1:19" s="9" customFormat="1" ht="12.75">
      <c r="A314" s="221"/>
      <c r="B314" s="62" t="s">
        <v>809</v>
      </c>
      <c r="C314" s="28">
        <v>29</v>
      </c>
      <c r="D314" s="28" t="s">
        <v>24</v>
      </c>
      <c r="E314" s="38">
        <f>F314+G314+H314</f>
        <v>43.4</v>
      </c>
      <c r="F314" s="38">
        <v>3.739</v>
      </c>
      <c r="G314" s="38">
        <v>4.64</v>
      </c>
      <c r="H314" s="38">
        <v>35.021</v>
      </c>
      <c r="I314" s="43">
        <v>1612.1</v>
      </c>
      <c r="J314" s="38">
        <v>35.021</v>
      </c>
      <c r="K314" s="43">
        <v>1612.01</v>
      </c>
      <c r="L314" s="63">
        <f>J314/K314</f>
        <v>0.021725051333428454</v>
      </c>
      <c r="M314" s="31">
        <v>350.76</v>
      </c>
      <c r="N314" s="65">
        <f>L314*M314</f>
        <v>7.620279005713364</v>
      </c>
      <c r="O314" s="65">
        <f>L314*60*1000</f>
        <v>1303.5030800057073</v>
      </c>
      <c r="P314" s="64">
        <f>O314*M314/1000</f>
        <v>457.21674034280187</v>
      </c>
      <c r="R314" s="10"/>
      <c r="S314" s="10"/>
    </row>
    <row r="315" spans="1:19" s="9" customFormat="1" ht="12.75">
      <c r="A315" s="221"/>
      <c r="B315" s="62" t="s">
        <v>110</v>
      </c>
      <c r="C315" s="28">
        <v>20</v>
      </c>
      <c r="D315" s="28">
        <v>1969</v>
      </c>
      <c r="E315" s="38">
        <v>31.746</v>
      </c>
      <c r="F315" s="38">
        <v>1.173</v>
      </c>
      <c r="G315" s="38">
        <v>3.2</v>
      </c>
      <c r="H315" s="38">
        <v>27.373</v>
      </c>
      <c r="I315" s="43">
        <v>1259.31</v>
      </c>
      <c r="J315" s="38">
        <v>27.373</v>
      </c>
      <c r="K315" s="43">
        <v>1259.31</v>
      </c>
      <c r="L315" s="63">
        <f>J315/K315</f>
        <v>0.02173650649959105</v>
      </c>
      <c r="M315" s="31">
        <v>337.137</v>
      </c>
      <c r="N315" s="65">
        <f>L315*M315</f>
        <v>7.328180591752627</v>
      </c>
      <c r="O315" s="65">
        <f>L315*60*1000</f>
        <v>1304.190389975463</v>
      </c>
      <c r="P315" s="64">
        <f>O315*M315/1000</f>
        <v>439.6908355051577</v>
      </c>
      <c r="R315" s="10"/>
      <c r="S315" s="10"/>
    </row>
    <row r="316" spans="1:19" s="9" customFormat="1" ht="12.75" customHeight="1">
      <c r="A316" s="221"/>
      <c r="B316" s="62" t="s">
        <v>634</v>
      </c>
      <c r="C316" s="28">
        <v>45</v>
      </c>
      <c r="D316" s="28">
        <v>1983</v>
      </c>
      <c r="E316" s="38">
        <f>F316+G316+H316</f>
        <v>61.400000000000006</v>
      </c>
      <c r="F316" s="38">
        <v>3.68</v>
      </c>
      <c r="G316" s="38">
        <v>7.2</v>
      </c>
      <c r="H316" s="38">
        <v>50.52</v>
      </c>
      <c r="I316" s="43">
        <v>2323.8</v>
      </c>
      <c r="J316" s="38">
        <v>50.52</v>
      </c>
      <c r="K316" s="43">
        <v>2323.8</v>
      </c>
      <c r="L316" s="63">
        <f>J316/K316</f>
        <v>0.02174025303382391</v>
      </c>
      <c r="M316" s="31">
        <v>314.9</v>
      </c>
      <c r="N316" s="65">
        <f>L316*M316</f>
        <v>6.846005680351149</v>
      </c>
      <c r="O316" s="65">
        <f>L316*60*1000</f>
        <v>1304.4151820294346</v>
      </c>
      <c r="P316" s="64">
        <f>O316*M316/1000</f>
        <v>410.7603408210689</v>
      </c>
      <c r="R316" s="10"/>
      <c r="S316" s="10"/>
    </row>
    <row r="317" spans="1:19" s="9" customFormat="1" ht="12.75">
      <c r="A317" s="221"/>
      <c r="B317" s="49" t="s">
        <v>698</v>
      </c>
      <c r="C317" s="24">
        <v>22</v>
      </c>
      <c r="D317" s="24" t="s">
        <v>24</v>
      </c>
      <c r="E317" s="87">
        <f>F317+G317+H317</f>
        <v>35.96</v>
      </c>
      <c r="F317" s="87">
        <v>4.484</v>
      </c>
      <c r="G317" s="87">
        <v>3.52</v>
      </c>
      <c r="H317" s="87">
        <v>27.956</v>
      </c>
      <c r="I317" s="35">
        <v>1285.12</v>
      </c>
      <c r="J317" s="87">
        <v>27.956</v>
      </c>
      <c r="K317" s="35">
        <v>1285.12</v>
      </c>
      <c r="L317" s="50">
        <f>J317/K317</f>
        <v>0.021753610557768924</v>
      </c>
      <c r="M317" s="27">
        <v>210</v>
      </c>
      <c r="N317" s="27">
        <f>L317*M317</f>
        <v>4.568258217131474</v>
      </c>
      <c r="O317" s="27">
        <f>L317*1000*60</f>
        <v>1305.2166334661354</v>
      </c>
      <c r="P317" s="51">
        <f>N317*60</f>
        <v>274.09549302788844</v>
      </c>
      <c r="R317" s="10"/>
      <c r="S317" s="10"/>
    </row>
    <row r="318" spans="1:19" s="9" customFormat="1" ht="12.75">
      <c r="A318" s="221"/>
      <c r="B318" s="62" t="s">
        <v>635</v>
      </c>
      <c r="C318" s="28">
        <v>51</v>
      </c>
      <c r="D318" s="28">
        <v>1990</v>
      </c>
      <c r="E318" s="38">
        <f>F318+G318+H318</f>
        <v>63.709999999999994</v>
      </c>
      <c r="F318" s="38">
        <v>5.26</v>
      </c>
      <c r="G318" s="38">
        <v>8.08</v>
      </c>
      <c r="H318" s="38">
        <v>50.37</v>
      </c>
      <c r="I318" s="43">
        <v>2309.88</v>
      </c>
      <c r="J318" s="38">
        <v>50.37</v>
      </c>
      <c r="K318" s="43">
        <v>2309.88</v>
      </c>
      <c r="L318" s="63">
        <f>J318/K318</f>
        <v>0.021806327601433837</v>
      </c>
      <c r="M318" s="31">
        <v>314.9</v>
      </c>
      <c r="N318" s="65">
        <f>L318*M318</f>
        <v>6.866812561691515</v>
      </c>
      <c r="O318" s="65">
        <f>L318*60*1000</f>
        <v>1308.37965608603</v>
      </c>
      <c r="P318" s="64">
        <f>O318*M318/1000</f>
        <v>412.00875370149083</v>
      </c>
      <c r="R318" s="10"/>
      <c r="S318" s="10"/>
    </row>
    <row r="319" spans="1:19" s="9" customFormat="1" ht="12.75" customHeight="1">
      <c r="A319" s="221"/>
      <c r="B319" s="49" t="s">
        <v>699</v>
      </c>
      <c r="C319" s="24">
        <v>30</v>
      </c>
      <c r="D319" s="24" t="s">
        <v>24</v>
      </c>
      <c r="E319" s="87">
        <f>F319+G319+H319</f>
        <v>45.7451</v>
      </c>
      <c r="F319" s="87">
        <v>3.5031</v>
      </c>
      <c r="G319" s="87">
        <v>4.8</v>
      </c>
      <c r="H319" s="87">
        <v>37.442</v>
      </c>
      <c r="I319" s="35">
        <v>1714.8</v>
      </c>
      <c r="J319" s="87">
        <v>37.442</v>
      </c>
      <c r="K319" s="35">
        <v>1714.8</v>
      </c>
      <c r="L319" s="50">
        <f>J319/K319</f>
        <v>0.021834616281782133</v>
      </c>
      <c r="M319" s="27">
        <v>210</v>
      </c>
      <c r="N319" s="27">
        <f>L319*M319</f>
        <v>4.5852694191742485</v>
      </c>
      <c r="O319" s="27">
        <f>L319*1000*60</f>
        <v>1310.076976906928</v>
      </c>
      <c r="P319" s="51">
        <f>N319*60</f>
        <v>275.1161651504549</v>
      </c>
      <c r="R319" s="10"/>
      <c r="S319" s="10"/>
    </row>
    <row r="320" spans="1:19" s="9" customFormat="1" ht="12.75" customHeight="1">
      <c r="A320" s="221"/>
      <c r="B320" s="49" t="s">
        <v>700</v>
      </c>
      <c r="C320" s="24">
        <v>30</v>
      </c>
      <c r="D320" s="24" t="s">
        <v>24</v>
      </c>
      <c r="E320" s="87">
        <f>F320+G320+H320</f>
        <v>45.2611</v>
      </c>
      <c r="F320" s="87">
        <v>2.9594</v>
      </c>
      <c r="G320" s="87">
        <v>4.8</v>
      </c>
      <c r="H320" s="87">
        <v>37.5017</v>
      </c>
      <c r="I320" s="35">
        <v>1714.66</v>
      </c>
      <c r="J320" s="87">
        <v>37.5017</v>
      </c>
      <c r="K320" s="35">
        <v>1714.66</v>
      </c>
      <c r="L320" s="50">
        <f>J320/K320</f>
        <v>0.021871216451074846</v>
      </c>
      <c r="M320" s="27">
        <v>210</v>
      </c>
      <c r="N320" s="27">
        <f>L320*M320</f>
        <v>4.592955454725717</v>
      </c>
      <c r="O320" s="27">
        <f>L320*1000*60</f>
        <v>1312.2729870644907</v>
      </c>
      <c r="P320" s="51">
        <f>N320*60</f>
        <v>275.57732728354307</v>
      </c>
      <c r="R320" s="10"/>
      <c r="S320" s="10"/>
    </row>
    <row r="321" spans="1:19" s="9" customFormat="1" ht="12.75">
      <c r="A321" s="221"/>
      <c r="B321" s="206" t="s">
        <v>439</v>
      </c>
      <c r="C321" s="125">
        <v>40</v>
      </c>
      <c r="D321" s="125">
        <v>1986</v>
      </c>
      <c r="E321" s="126">
        <v>60.400000000000006</v>
      </c>
      <c r="F321" s="126">
        <v>4.8</v>
      </c>
      <c r="G321" s="126">
        <v>6.4</v>
      </c>
      <c r="H321" s="126">
        <v>49.2</v>
      </c>
      <c r="I321" s="127">
        <v>2246.36</v>
      </c>
      <c r="J321" s="126">
        <v>49.2</v>
      </c>
      <c r="K321" s="127">
        <v>2246.4</v>
      </c>
      <c r="L321" s="128">
        <v>0.021901709401709404</v>
      </c>
      <c r="M321" s="129">
        <v>215.8</v>
      </c>
      <c r="N321" s="129">
        <v>4.72638888888889</v>
      </c>
      <c r="O321" s="129">
        <f>L321*60*1000</f>
        <v>1314.1025641025644</v>
      </c>
      <c r="P321" s="133">
        <v>283.58333333333337</v>
      </c>
      <c r="R321" s="10"/>
      <c r="S321" s="10"/>
    </row>
    <row r="322" spans="1:19" s="9" customFormat="1" ht="12.75">
      <c r="A322" s="221"/>
      <c r="B322" s="62" t="s">
        <v>828</v>
      </c>
      <c r="C322" s="28">
        <v>36</v>
      </c>
      <c r="D322" s="28" t="s">
        <v>24</v>
      </c>
      <c r="E322" s="38">
        <v>41</v>
      </c>
      <c r="F322" s="38">
        <f>34.55*0.051</f>
        <v>1.7620499999999997</v>
      </c>
      <c r="G322" s="38">
        <f>36*0.16</f>
        <v>5.76</v>
      </c>
      <c r="H322" s="38">
        <f>+E322-F322-G322</f>
        <v>33.47795</v>
      </c>
      <c r="I322" s="96"/>
      <c r="J322" s="38">
        <f>+H322</f>
        <v>33.47795</v>
      </c>
      <c r="K322" s="43">
        <v>1527.8</v>
      </c>
      <c r="L322" s="63">
        <f>J322/K322</f>
        <v>0.021912521272417856</v>
      </c>
      <c r="M322" s="31">
        <v>340.2</v>
      </c>
      <c r="N322" s="65">
        <f>L322*M322</f>
        <v>7.454639736876555</v>
      </c>
      <c r="O322" s="65">
        <f>L322*60*1000</f>
        <v>1314.7512763450716</v>
      </c>
      <c r="P322" s="64">
        <f>O322*M322/1000</f>
        <v>447.2783842125933</v>
      </c>
      <c r="R322" s="10"/>
      <c r="S322" s="10"/>
    </row>
    <row r="323" spans="1:19" s="9" customFormat="1" ht="11.25" customHeight="1">
      <c r="A323" s="221"/>
      <c r="B323" s="62" t="s">
        <v>464</v>
      </c>
      <c r="C323" s="28">
        <v>9</v>
      </c>
      <c r="D323" s="28" t="s">
        <v>24</v>
      </c>
      <c r="E323" s="38">
        <f>F323+G323+H323</f>
        <v>16.6</v>
      </c>
      <c r="F323" s="38">
        <v>0.594</v>
      </c>
      <c r="G323" s="38">
        <v>1.6</v>
      </c>
      <c r="H323" s="38">
        <v>14.406</v>
      </c>
      <c r="I323" s="43">
        <v>656.14</v>
      </c>
      <c r="J323" s="38">
        <v>13.281</v>
      </c>
      <c r="K323" s="43">
        <v>604.77</v>
      </c>
      <c r="L323" s="63">
        <f>J323/K323</f>
        <v>0.021960414703110276</v>
      </c>
      <c r="M323" s="31">
        <v>350.76</v>
      </c>
      <c r="N323" s="65">
        <f>L323*M323</f>
        <v>7.70283506126296</v>
      </c>
      <c r="O323" s="65">
        <f>L323*60*1000</f>
        <v>1317.6248821866166</v>
      </c>
      <c r="P323" s="64">
        <f>O323*M323/1000</f>
        <v>462.1701036757776</v>
      </c>
      <c r="R323" s="10"/>
      <c r="S323" s="10"/>
    </row>
    <row r="324" spans="1:19" s="9" customFormat="1" ht="12.75" customHeight="1">
      <c r="A324" s="221"/>
      <c r="B324" s="62" t="s">
        <v>636</v>
      </c>
      <c r="C324" s="28">
        <v>45</v>
      </c>
      <c r="D324" s="28">
        <v>1976</v>
      </c>
      <c r="E324" s="38">
        <f>F324+G324+H324</f>
        <v>62.36</v>
      </c>
      <c r="F324" s="38">
        <v>3.92</v>
      </c>
      <c r="G324" s="38">
        <v>7.2</v>
      </c>
      <c r="H324" s="38">
        <v>51.24</v>
      </c>
      <c r="I324" s="43">
        <v>2332.55</v>
      </c>
      <c r="J324" s="38">
        <v>51.24</v>
      </c>
      <c r="K324" s="43">
        <v>2332.55</v>
      </c>
      <c r="L324" s="63">
        <f>J324/K324</f>
        <v>0.021967374761527082</v>
      </c>
      <c r="M324" s="31">
        <v>314.9</v>
      </c>
      <c r="N324" s="65">
        <f>L324*M324</f>
        <v>6.917526312404878</v>
      </c>
      <c r="O324" s="65">
        <f>L324*60*1000</f>
        <v>1318.042485691625</v>
      </c>
      <c r="P324" s="64">
        <f>O324*M324/1000</f>
        <v>415.05157874429267</v>
      </c>
      <c r="Q324" s="11"/>
      <c r="R324" s="10"/>
      <c r="S324" s="10"/>
    </row>
    <row r="325" spans="1:19" s="9" customFormat="1" ht="12.75" customHeight="1">
      <c r="A325" s="221"/>
      <c r="B325" s="62" t="s">
        <v>671</v>
      </c>
      <c r="C325" s="28">
        <v>75</v>
      </c>
      <c r="D325" s="28" t="s">
        <v>24</v>
      </c>
      <c r="E325" s="38">
        <v>106.85</v>
      </c>
      <c r="F325" s="38">
        <v>6.53</v>
      </c>
      <c r="G325" s="38">
        <v>12</v>
      </c>
      <c r="H325" s="38">
        <v>88.32</v>
      </c>
      <c r="I325" s="43">
        <v>4020</v>
      </c>
      <c r="J325" s="38">
        <v>88.32</v>
      </c>
      <c r="K325" s="43">
        <v>4020</v>
      </c>
      <c r="L325" s="63">
        <f>J325/K325</f>
        <v>0.021970149253731343</v>
      </c>
      <c r="M325" s="31">
        <v>235.3</v>
      </c>
      <c r="N325" s="65">
        <f>L325*M325</f>
        <v>5.1695761194029854</v>
      </c>
      <c r="O325" s="65">
        <f>L325*60*1000</f>
        <v>1318.2089552238806</v>
      </c>
      <c r="P325" s="64">
        <f>O325*M325/1000</f>
        <v>310.1745671641791</v>
      </c>
      <c r="Q325" s="11"/>
      <c r="R325" s="10"/>
      <c r="S325" s="10"/>
    </row>
    <row r="326" spans="1:19" s="9" customFormat="1" ht="12.75" customHeight="1">
      <c r="A326" s="221"/>
      <c r="B326" s="62" t="s">
        <v>314</v>
      </c>
      <c r="C326" s="28">
        <v>40</v>
      </c>
      <c r="D326" s="28">
        <v>1983</v>
      </c>
      <c r="E326" s="38">
        <v>58.629</v>
      </c>
      <c r="F326" s="38">
        <v>2.652</v>
      </c>
      <c r="G326" s="38">
        <v>6.4</v>
      </c>
      <c r="H326" s="38">
        <v>49.577</v>
      </c>
      <c r="I326" s="43">
        <v>2254.6</v>
      </c>
      <c r="J326" s="38">
        <v>49.577</v>
      </c>
      <c r="K326" s="43">
        <v>2254.6</v>
      </c>
      <c r="L326" s="63">
        <f>J326/K326</f>
        <v>0.021989266388716403</v>
      </c>
      <c r="M326" s="31">
        <v>337.137</v>
      </c>
      <c r="N326" s="65">
        <f>L326*M326</f>
        <v>7.413395302492682</v>
      </c>
      <c r="O326" s="65">
        <f>L326*60*1000</f>
        <v>1319.3559833229842</v>
      </c>
      <c r="P326" s="64">
        <f>O326*M326/1000</f>
        <v>444.8037181495609</v>
      </c>
      <c r="R326" s="10"/>
      <c r="S326" s="10"/>
    </row>
    <row r="327" spans="1:19" s="9" customFormat="1" ht="12.75" customHeight="1">
      <c r="A327" s="221"/>
      <c r="B327" s="62" t="s">
        <v>743</v>
      </c>
      <c r="C327" s="28">
        <v>30</v>
      </c>
      <c r="D327" s="28"/>
      <c r="E327" s="38">
        <v>44</v>
      </c>
      <c r="F327" s="38">
        <v>4.227</v>
      </c>
      <c r="G327" s="38">
        <v>4.8</v>
      </c>
      <c r="H327" s="38">
        <v>34.973</v>
      </c>
      <c r="I327" s="43">
        <v>1590.54</v>
      </c>
      <c r="J327" s="38">
        <v>35</v>
      </c>
      <c r="K327" s="43">
        <v>1590.54</v>
      </c>
      <c r="L327" s="63">
        <f>J327/K327</f>
        <v>0.022005105184402782</v>
      </c>
      <c r="M327" s="31">
        <v>220.9</v>
      </c>
      <c r="N327" s="65">
        <f>L327*M327</f>
        <v>4.860927735234575</v>
      </c>
      <c r="O327" s="65">
        <f>L327*60*1000</f>
        <v>1320.306311064167</v>
      </c>
      <c r="P327" s="64">
        <f>O327*M327/1000</f>
        <v>291.6556641140745</v>
      </c>
      <c r="R327" s="10"/>
      <c r="S327" s="10"/>
    </row>
    <row r="328" spans="1:19" s="9" customFormat="1" ht="12.75" customHeight="1">
      <c r="A328" s="221"/>
      <c r="B328" s="62" t="s">
        <v>281</v>
      </c>
      <c r="C328" s="28">
        <v>26</v>
      </c>
      <c r="D328" s="28" t="s">
        <v>24</v>
      </c>
      <c r="E328" s="38">
        <v>36.1</v>
      </c>
      <c r="F328" s="38">
        <f>51*0.051</f>
        <v>2.601</v>
      </c>
      <c r="G328" s="38">
        <f>26*0.16</f>
        <v>4.16</v>
      </c>
      <c r="H328" s="38">
        <f>+E328-F328-G328</f>
        <v>29.339000000000002</v>
      </c>
      <c r="I328" s="96"/>
      <c r="J328" s="38">
        <f>+H328</f>
        <v>29.339000000000002</v>
      </c>
      <c r="K328" s="43">
        <v>1332.27</v>
      </c>
      <c r="L328" s="63">
        <f>J328/K328</f>
        <v>0.022021812395385323</v>
      </c>
      <c r="M328" s="31">
        <v>340.2</v>
      </c>
      <c r="N328" s="65">
        <f>L328*M328</f>
        <v>7.4918205769100865</v>
      </c>
      <c r="O328" s="65">
        <f>L328*60*1000</f>
        <v>1321.3087437231195</v>
      </c>
      <c r="P328" s="64">
        <f>O328*M328/1000</f>
        <v>449.50923461460525</v>
      </c>
      <c r="R328" s="10"/>
      <c r="S328" s="10"/>
    </row>
    <row r="329" spans="1:19" s="9" customFormat="1" ht="12.75" customHeight="1">
      <c r="A329" s="221"/>
      <c r="B329" s="62" t="s">
        <v>500</v>
      </c>
      <c r="C329" s="28">
        <v>35</v>
      </c>
      <c r="D329" s="28">
        <v>1991</v>
      </c>
      <c r="E329" s="38">
        <v>57</v>
      </c>
      <c r="F329" s="38">
        <v>4.39162</v>
      </c>
      <c r="G329" s="38">
        <v>3.5</v>
      </c>
      <c r="H329" s="38">
        <f>E329-F329-G329</f>
        <v>49.10838</v>
      </c>
      <c r="I329" s="43">
        <v>2225</v>
      </c>
      <c r="J329" s="38">
        <f>H329</f>
        <v>49.10838</v>
      </c>
      <c r="K329" s="43">
        <f>I329</f>
        <v>2225</v>
      </c>
      <c r="L329" s="63">
        <f>J329/K329</f>
        <v>0.022071182022471908</v>
      </c>
      <c r="M329" s="31">
        <v>279.476</v>
      </c>
      <c r="N329" s="65">
        <f>L329*M329</f>
        <v>6.168365666912359</v>
      </c>
      <c r="O329" s="65">
        <f>L329*60*1000</f>
        <v>1324.2709213483145</v>
      </c>
      <c r="P329" s="64">
        <f>O329*M329/1000</f>
        <v>370.10194001474156</v>
      </c>
      <c r="R329" s="10"/>
      <c r="S329" s="10"/>
    </row>
    <row r="330" spans="1:19" s="9" customFormat="1" ht="12.75" customHeight="1">
      <c r="A330" s="221"/>
      <c r="B330" s="62" t="s">
        <v>810</v>
      </c>
      <c r="C330" s="28">
        <v>8</v>
      </c>
      <c r="D330" s="28" t="s">
        <v>24</v>
      </c>
      <c r="E330" s="38">
        <f>F330+G330+H330</f>
        <v>10.953</v>
      </c>
      <c r="F330" s="38">
        <v>0</v>
      </c>
      <c r="G330" s="38">
        <v>0</v>
      </c>
      <c r="H330" s="38">
        <v>10.953</v>
      </c>
      <c r="I330" s="43">
        <v>495.82</v>
      </c>
      <c r="J330" s="38">
        <v>10.953</v>
      </c>
      <c r="K330" s="43">
        <v>495.82</v>
      </c>
      <c r="L330" s="63">
        <f>J330/K330</f>
        <v>0.022090678068653946</v>
      </c>
      <c r="M330" s="31">
        <v>350.76</v>
      </c>
      <c r="N330" s="65">
        <f>L330*M330</f>
        <v>7.748526239361058</v>
      </c>
      <c r="O330" s="65">
        <f>L330*60*1000</f>
        <v>1325.4406841192367</v>
      </c>
      <c r="P330" s="64">
        <f>O330*M330/1000</f>
        <v>464.9115743616635</v>
      </c>
      <c r="R330" s="10"/>
      <c r="S330" s="10"/>
    </row>
    <row r="331" spans="1:19" s="9" customFormat="1" ht="12.75" customHeight="1">
      <c r="A331" s="221"/>
      <c r="B331" s="62" t="s">
        <v>313</v>
      </c>
      <c r="C331" s="28">
        <v>40</v>
      </c>
      <c r="D331" s="28">
        <v>1984</v>
      </c>
      <c r="E331" s="38">
        <v>59.903</v>
      </c>
      <c r="F331" s="38">
        <v>3.315</v>
      </c>
      <c r="G331" s="38">
        <v>6.4</v>
      </c>
      <c r="H331" s="38">
        <v>50.188</v>
      </c>
      <c r="I331" s="43">
        <v>2269.42</v>
      </c>
      <c r="J331" s="38">
        <v>50.188</v>
      </c>
      <c r="K331" s="43">
        <v>2269.42</v>
      </c>
      <c r="L331" s="63">
        <f>J331/K331</f>
        <v>0.02211490160481533</v>
      </c>
      <c r="M331" s="31">
        <v>337.137</v>
      </c>
      <c r="N331" s="65">
        <f>L331*M331</f>
        <v>7.455751582342626</v>
      </c>
      <c r="O331" s="65">
        <f>L331*60*1000</f>
        <v>1326.8940962889199</v>
      </c>
      <c r="P331" s="64">
        <f>O331*M331/1000</f>
        <v>447.34509494055754</v>
      </c>
      <c r="R331" s="10"/>
      <c r="S331" s="10"/>
    </row>
    <row r="332" spans="1:19" s="9" customFormat="1" ht="12.75" customHeight="1">
      <c r="A332" s="221"/>
      <c r="B332" s="62" t="s">
        <v>358</v>
      </c>
      <c r="C332" s="28">
        <v>50</v>
      </c>
      <c r="D332" s="28">
        <v>1992</v>
      </c>
      <c r="E332" s="38">
        <f>F332+G332+H332</f>
        <v>62.9</v>
      </c>
      <c r="F332" s="38">
        <v>3.81</v>
      </c>
      <c r="G332" s="38">
        <v>7.84</v>
      </c>
      <c r="H332" s="38">
        <v>51.25</v>
      </c>
      <c r="I332" s="43">
        <v>2313.92</v>
      </c>
      <c r="J332" s="38">
        <v>51.25</v>
      </c>
      <c r="K332" s="43">
        <v>2313.92</v>
      </c>
      <c r="L332" s="63">
        <f>J332/K332</f>
        <v>0.022148561748029316</v>
      </c>
      <c r="M332" s="31">
        <v>314.9</v>
      </c>
      <c r="N332" s="65">
        <f>L332*M332</f>
        <v>6.974582094454431</v>
      </c>
      <c r="O332" s="65">
        <f>L332*60*1000</f>
        <v>1328.913704881759</v>
      </c>
      <c r="P332" s="64">
        <f>O332*M332/1000</f>
        <v>418.4749256672659</v>
      </c>
      <c r="R332" s="10"/>
      <c r="S332" s="10"/>
    </row>
    <row r="333" spans="1:19" s="9" customFormat="1" ht="12.75">
      <c r="A333" s="221"/>
      <c r="B333" s="62" t="s">
        <v>637</v>
      </c>
      <c r="C333" s="28">
        <v>76</v>
      </c>
      <c r="D333" s="28">
        <v>1985</v>
      </c>
      <c r="E333" s="38">
        <f>F333+G333+H333</f>
        <v>107.5</v>
      </c>
      <c r="F333" s="38">
        <v>6.18</v>
      </c>
      <c r="G333" s="38">
        <v>12</v>
      </c>
      <c r="H333" s="38">
        <v>89.32</v>
      </c>
      <c r="I333" s="43">
        <v>4030.92</v>
      </c>
      <c r="J333" s="38">
        <v>89.32</v>
      </c>
      <c r="K333" s="43">
        <v>4030.92</v>
      </c>
      <c r="L333" s="63">
        <f>J333/K333</f>
        <v>0.02215871314737082</v>
      </c>
      <c r="M333" s="31">
        <v>314.9</v>
      </c>
      <c r="N333" s="65">
        <f>L333*M333</f>
        <v>6.977778770107071</v>
      </c>
      <c r="O333" s="65">
        <f>L333*60*1000</f>
        <v>1329.5227888422492</v>
      </c>
      <c r="P333" s="64">
        <f>O333*M333/1000</f>
        <v>418.66672620642424</v>
      </c>
      <c r="R333" s="10"/>
      <c r="S333" s="10"/>
    </row>
    <row r="334" spans="1:19" s="9" customFormat="1" ht="12.75" customHeight="1">
      <c r="A334" s="221"/>
      <c r="B334" s="62" t="s">
        <v>465</v>
      </c>
      <c r="C334" s="28">
        <v>12</v>
      </c>
      <c r="D334" s="28" t="s">
        <v>24</v>
      </c>
      <c r="E334" s="38">
        <f>F334+G334+H334</f>
        <v>17.997999999999998</v>
      </c>
      <c r="F334" s="38">
        <v>0.324</v>
      </c>
      <c r="G334" s="38">
        <v>1.92</v>
      </c>
      <c r="H334" s="38">
        <v>15.754</v>
      </c>
      <c r="I334" s="43">
        <v>710.12</v>
      </c>
      <c r="J334" s="38">
        <v>15.754</v>
      </c>
      <c r="K334" s="43">
        <v>710.12</v>
      </c>
      <c r="L334" s="63">
        <f>J334/K334</f>
        <v>0.0221849828198051</v>
      </c>
      <c r="M334" s="31">
        <v>350.76</v>
      </c>
      <c r="N334" s="65">
        <f>L334*M334</f>
        <v>7.781604573874837</v>
      </c>
      <c r="O334" s="65">
        <f>L334*60*1000</f>
        <v>1331.0989691883062</v>
      </c>
      <c r="P334" s="64">
        <f>O334*M334/1000</f>
        <v>466.8962744324903</v>
      </c>
      <c r="R334" s="10"/>
      <c r="S334" s="10"/>
    </row>
    <row r="335" spans="1:19" s="9" customFormat="1" ht="12.75">
      <c r="A335" s="221"/>
      <c r="B335" s="97" t="s">
        <v>577</v>
      </c>
      <c r="C335" s="28">
        <v>80</v>
      </c>
      <c r="D335" s="28">
        <v>1974</v>
      </c>
      <c r="E335" s="38">
        <v>106.96</v>
      </c>
      <c r="F335" s="38">
        <v>6.834</v>
      </c>
      <c r="G335" s="38">
        <v>12.72</v>
      </c>
      <c r="H335" s="38">
        <v>87.406</v>
      </c>
      <c r="I335" s="43">
        <v>3933.73</v>
      </c>
      <c r="J335" s="38">
        <v>87.406</v>
      </c>
      <c r="K335" s="43">
        <v>3933.73</v>
      </c>
      <c r="L335" s="63">
        <f>J335/K335</f>
        <v>0.022219623614228735</v>
      </c>
      <c r="M335" s="31">
        <v>300</v>
      </c>
      <c r="N335" s="65">
        <f>L335*M335</f>
        <v>6.66588708426862</v>
      </c>
      <c r="O335" s="65">
        <f>L335*60*1000</f>
        <v>1333.177416853724</v>
      </c>
      <c r="P335" s="64">
        <f>O335*M335/1000</f>
        <v>399.9532250561172</v>
      </c>
      <c r="R335" s="10"/>
      <c r="S335" s="10"/>
    </row>
    <row r="336" spans="1:19" s="9" customFormat="1" ht="12.75">
      <c r="A336" s="221"/>
      <c r="B336" s="62" t="s">
        <v>672</v>
      </c>
      <c r="C336" s="28">
        <v>75</v>
      </c>
      <c r="D336" s="28" t="s">
        <v>24</v>
      </c>
      <c r="E336" s="38">
        <v>107.65</v>
      </c>
      <c r="F336" s="38">
        <v>6.99</v>
      </c>
      <c r="G336" s="38">
        <v>11.92</v>
      </c>
      <c r="H336" s="38">
        <v>88.74</v>
      </c>
      <c r="I336" s="43">
        <v>3990</v>
      </c>
      <c r="J336" s="38">
        <v>88.74</v>
      </c>
      <c r="K336" s="43">
        <v>3990</v>
      </c>
      <c r="L336" s="63">
        <f>J336/K336</f>
        <v>0.022240601503759398</v>
      </c>
      <c r="M336" s="31">
        <v>235.3</v>
      </c>
      <c r="N336" s="65">
        <f>L336*M336</f>
        <v>5.233213533834586</v>
      </c>
      <c r="O336" s="65">
        <f>L336*60*1000</f>
        <v>1334.436090225564</v>
      </c>
      <c r="P336" s="64">
        <f>O336*M336/1000</f>
        <v>313.99281203007524</v>
      </c>
      <c r="R336" s="10"/>
      <c r="S336" s="10"/>
    </row>
    <row r="337" spans="1:19" s="9" customFormat="1" ht="12.75">
      <c r="A337" s="221"/>
      <c r="B337" s="62" t="s">
        <v>121</v>
      </c>
      <c r="C337" s="28">
        <v>45</v>
      </c>
      <c r="D337" s="28">
        <v>1981</v>
      </c>
      <c r="E337" s="38">
        <f>F337+G337+H337</f>
        <v>63.57</v>
      </c>
      <c r="F337" s="38">
        <v>4.7</v>
      </c>
      <c r="G337" s="38">
        <v>7.2</v>
      </c>
      <c r="H337" s="38">
        <v>51.67</v>
      </c>
      <c r="I337" s="43">
        <v>2323.16</v>
      </c>
      <c r="J337" s="38">
        <v>51.67</v>
      </c>
      <c r="K337" s="43">
        <v>2323.16</v>
      </c>
      <c r="L337" s="63">
        <f>J337/K337</f>
        <v>0.022241257597410427</v>
      </c>
      <c r="M337" s="31">
        <v>314.9</v>
      </c>
      <c r="N337" s="65">
        <f>L337*M337</f>
        <v>7.003772017424543</v>
      </c>
      <c r="O337" s="65">
        <f>L337*60*1000</f>
        <v>1334.4754558446257</v>
      </c>
      <c r="P337" s="64">
        <f>O337*M337/1000</f>
        <v>420.22632104547256</v>
      </c>
      <c r="R337" s="10"/>
      <c r="S337" s="10"/>
    </row>
    <row r="338" spans="1:19" s="9" customFormat="1" ht="12.75">
      <c r="A338" s="221"/>
      <c r="B338" s="49" t="s">
        <v>50</v>
      </c>
      <c r="C338" s="24">
        <v>50</v>
      </c>
      <c r="D338" s="24">
        <v>1988</v>
      </c>
      <c r="E338" s="87">
        <v>96.23</v>
      </c>
      <c r="F338" s="87">
        <v>8.42</v>
      </c>
      <c r="G338" s="87">
        <v>8</v>
      </c>
      <c r="H338" s="87">
        <f>E338-F338-G338</f>
        <v>79.81</v>
      </c>
      <c r="I338" s="35">
        <v>3582.3</v>
      </c>
      <c r="J338" s="87">
        <f>H338/I338*K338</f>
        <v>79.80331630516707</v>
      </c>
      <c r="K338" s="24">
        <v>3582</v>
      </c>
      <c r="L338" s="50">
        <f>J338/K338</f>
        <v>0.022278982776428553</v>
      </c>
      <c r="M338" s="27">
        <v>323.29400000000004</v>
      </c>
      <c r="N338" s="27">
        <f>L338*M338</f>
        <v>7.2026614577226935</v>
      </c>
      <c r="O338" s="27">
        <f>L338*60*1000</f>
        <v>1336.7389665857131</v>
      </c>
      <c r="P338" s="51">
        <f>O338*M338/1000</f>
        <v>432.1596874633616</v>
      </c>
      <c r="R338" s="10"/>
      <c r="S338" s="10"/>
    </row>
    <row r="339" spans="1:19" s="9" customFormat="1" ht="12.75">
      <c r="A339" s="221"/>
      <c r="B339" s="254" t="s">
        <v>643</v>
      </c>
      <c r="C339" s="131">
        <v>50</v>
      </c>
      <c r="D339" s="28">
        <v>1970</v>
      </c>
      <c r="E339" s="38">
        <f>F339+G339+H339</f>
        <v>72.723996</v>
      </c>
      <c r="F339" s="121">
        <v>5.559</v>
      </c>
      <c r="G339" s="121">
        <v>8</v>
      </c>
      <c r="H339" s="121">
        <v>59.164996</v>
      </c>
      <c r="I339" s="122">
        <v>2636.4700000000003</v>
      </c>
      <c r="J339" s="121">
        <v>59.164996</v>
      </c>
      <c r="K339" s="122">
        <v>2636.4700000000003</v>
      </c>
      <c r="L339" s="63">
        <f>J339/K339</f>
        <v>0.022440989656624197</v>
      </c>
      <c r="M339" s="31">
        <v>314.465</v>
      </c>
      <c r="N339" s="65">
        <f>L339*M339</f>
        <v>7.056905812370328</v>
      </c>
      <c r="O339" s="65">
        <f>L339*60*1000</f>
        <v>1346.4593793974518</v>
      </c>
      <c r="P339" s="64">
        <f>O339*M339/1000</f>
        <v>423.41434874221966</v>
      </c>
      <c r="R339" s="10"/>
      <c r="S339" s="10"/>
    </row>
    <row r="340" spans="1:19" s="9" customFormat="1" ht="12.75" customHeight="1">
      <c r="A340" s="221"/>
      <c r="B340" s="49" t="s">
        <v>766</v>
      </c>
      <c r="C340" s="24">
        <v>80</v>
      </c>
      <c r="D340" s="24" t="s">
        <v>24</v>
      </c>
      <c r="E340" s="87">
        <f>F340+G340+H340</f>
        <v>107.1</v>
      </c>
      <c r="F340" s="87">
        <v>6.3</v>
      </c>
      <c r="G340" s="87">
        <v>12.2</v>
      </c>
      <c r="H340" s="87">
        <v>88.6</v>
      </c>
      <c r="I340" s="35">
        <v>3919.9</v>
      </c>
      <c r="J340" s="87">
        <v>81.6</v>
      </c>
      <c r="K340" s="35">
        <v>3635.24</v>
      </c>
      <c r="L340" s="63">
        <f>J340/K340</f>
        <v>0.022446936103255904</v>
      </c>
      <c r="M340" s="31">
        <v>204.4</v>
      </c>
      <c r="N340" s="65">
        <f>L340*M340</f>
        <v>4.588153739505507</v>
      </c>
      <c r="O340" s="65">
        <f>L340*60*1000</f>
        <v>1346.8161661953543</v>
      </c>
      <c r="P340" s="64">
        <f>O340*M340/1000</f>
        <v>275.2892243703304</v>
      </c>
      <c r="R340" s="10"/>
      <c r="S340" s="10"/>
    </row>
    <row r="341" spans="1:19" s="9" customFormat="1" ht="12.75">
      <c r="A341" s="221"/>
      <c r="B341" s="62" t="s">
        <v>711</v>
      </c>
      <c r="C341" s="28">
        <v>30</v>
      </c>
      <c r="D341" s="28">
        <v>1972</v>
      </c>
      <c r="E341" s="38">
        <v>38.5</v>
      </c>
      <c r="F341" s="38">
        <v>2.19</v>
      </c>
      <c r="G341" s="38">
        <v>4.72</v>
      </c>
      <c r="H341" s="38">
        <v>38.8</v>
      </c>
      <c r="I341" s="96"/>
      <c r="J341" s="38">
        <f>H341</f>
        <v>38.8</v>
      </c>
      <c r="K341" s="43">
        <v>1727</v>
      </c>
      <c r="L341" s="63">
        <f>J341/K341</f>
        <v>0.02246670526925304</v>
      </c>
      <c r="M341" s="31">
        <v>187.7</v>
      </c>
      <c r="N341" s="65">
        <f>L341*M341</f>
        <v>4.217000579038795</v>
      </c>
      <c r="O341" s="65">
        <f>L341*60*1000</f>
        <v>1348.0023161551824</v>
      </c>
      <c r="P341" s="64">
        <f>O341*M341/1000</f>
        <v>253.02003474232774</v>
      </c>
      <c r="Q341" s="11"/>
      <c r="R341" s="10"/>
      <c r="S341" s="10"/>
    </row>
    <row r="342" spans="1:19" s="9" customFormat="1" ht="12.75" customHeight="1">
      <c r="A342" s="221"/>
      <c r="B342" s="62" t="s">
        <v>466</v>
      </c>
      <c r="C342" s="28">
        <v>20</v>
      </c>
      <c r="D342" s="28" t="s">
        <v>24</v>
      </c>
      <c r="E342" s="38">
        <f>F342+G342+H342</f>
        <v>27.671</v>
      </c>
      <c r="F342" s="38">
        <v>0.324</v>
      </c>
      <c r="G342" s="38">
        <v>3.12</v>
      </c>
      <c r="H342" s="38">
        <v>24.227</v>
      </c>
      <c r="I342" s="43">
        <v>1078.13</v>
      </c>
      <c r="J342" s="38">
        <v>24.227</v>
      </c>
      <c r="K342" s="43">
        <v>1078.13</v>
      </c>
      <c r="L342" s="63">
        <f>J342/K342</f>
        <v>0.022471316075055883</v>
      </c>
      <c r="M342" s="31">
        <v>350.76</v>
      </c>
      <c r="N342" s="65">
        <f>L342*M342</f>
        <v>7.8820388264866015</v>
      </c>
      <c r="O342" s="65">
        <f>L342*60*1000</f>
        <v>1348.278964503353</v>
      </c>
      <c r="P342" s="64">
        <f>O342*M342/1000</f>
        <v>472.9223295891961</v>
      </c>
      <c r="R342" s="10"/>
      <c r="S342" s="10"/>
    </row>
    <row r="343" spans="1:19" s="9" customFormat="1" ht="12.75">
      <c r="A343" s="221"/>
      <c r="B343" s="254" t="s">
        <v>259</v>
      </c>
      <c r="C343" s="131">
        <v>59</v>
      </c>
      <c r="D343" s="28">
        <v>1991</v>
      </c>
      <c r="E343" s="38">
        <f>F343+G343+H343</f>
        <v>69.891999</v>
      </c>
      <c r="F343" s="121">
        <v>5.338068</v>
      </c>
      <c r="G343" s="121">
        <v>9.6</v>
      </c>
      <c r="H343" s="121">
        <v>54.953931000000004</v>
      </c>
      <c r="I343" s="122">
        <v>2442.55</v>
      </c>
      <c r="J343" s="121">
        <v>54.953931000000004</v>
      </c>
      <c r="K343" s="122">
        <v>2442.55</v>
      </c>
      <c r="L343" s="63">
        <f>J343/K343</f>
        <v>0.022498589998157664</v>
      </c>
      <c r="M343" s="31">
        <v>314.465</v>
      </c>
      <c r="N343" s="65">
        <f>L343*M343</f>
        <v>7.075019103770649</v>
      </c>
      <c r="O343" s="65">
        <f>L343*60*1000</f>
        <v>1349.9153998894596</v>
      </c>
      <c r="P343" s="64">
        <f>O343*M343/1000</f>
        <v>424.50114622623886</v>
      </c>
      <c r="R343" s="10"/>
      <c r="S343" s="10"/>
    </row>
    <row r="344" spans="1:19" s="9" customFormat="1" ht="12.75">
      <c r="A344" s="221"/>
      <c r="B344" s="254" t="s">
        <v>216</v>
      </c>
      <c r="C344" s="131">
        <v>97</v>
      </c>
      <c r="D344" s="28">
        <v>1974</v>
      </c>
      <c r="E344" s="38">
        <f>F344+G344+H344</f>
        <v>105.797711</v>
      </c>
      <c r="F344" s="121">
        <v>6.120204</v>
      </c>
      <c r="G344" s="121">
        <v>16</v>
      </c>
      <c r="H344" s="121">
        <v>83.677507</v>
      </c>
      <c r="I344" s="122">
        <v>3705.7000000000003</v>
      </c>
      <c r="J344" s="121">
        <v>83.677507</v>
      </c>
      <c r="K344" s="122">
        <v>3705.7000000000003</v>
      </c>
      <c r="L344" s="63">
        <f>J344/K344</f>
        <v>0.022580755862590063</v>
      </c>
      <c r="M344" s="31">
        <v>314.465</v>
      </c>
      <c r="N344" s="65">
        <f>L344*M344</f>
        <v>7.100857392329384</v>
      </c>
      <c r="O344" s="65">
        <f>L344*60*1000</f>
        <v>1354.8453517554037</v>
      </c>
      <c r="P344" s="64">
        <f>O344*M344/1000</f>
        <v>426.051443539763</v>
      </c>
      <c r="R344" s="10"/>
      <c r="S344" s="10"/>
    </row>
    <row r="345" spans="1:19" s="9" customFormat="1" ht="12.75">
      <c r="A345" s="221"/>
      <c r="B345" s="62" t="s">
        <v>845</v>
      </c>
      <c r="C345" s="28">
        <v>90</v>
      </c>
      <c r="D345" s="28">
        <v>1979</v>
      </c>
      <c r="E345" s="38">
        <v>123.855</v>
      </c>
      <c r="F345" s="38">
        <v>8.777</v>
      </c>
      <c r="G345" s="38">
        <v>14.16</v>
      </c>
      <c r="H345" s="38">
        <v>100.918</v>
      </c>
      <c r="I345" s="43">
        <v>4459</v>
      </c>
      <c r="J345" s="38">
        <v>100.918</v>
      </c>
      <c r="K345" s="43">
        <v>4459</v>
      </c>
      <c r="L345" s="63">
        <f>J345/K345</f>
        <v>0.022632428795694104</v>
      </c>
      <c r="M345" s="31">
        <v>254.2</v>
      </c>
      <c r="N345" s="65">
        <f>L345*M345</f>
        <v>5.753163399865441</v>
      </c>
      <c r="O345" s="65">
        <f>L345*60*1000</f>
        <v>1357.9457277416461</v>
      </c>
      <c r="P345" s="64">
        <f>O345*M345/1000</f>
        <v>345.18980399192645</v>
      </c>
      <c r="Q345" s="11"/>
      <c r="R345" s="10"/>
      <c r="S345" s="10"/>
    </row>
    <row r="346" spans="1:19" s="9" customFormat="1" ht="12.75" customHeight="1">
      <c r="A346" s="221"/>
      <c r="B346" s="62" t="s">
        <v>673</v>
      </c>
      <c r="C346" s="28">
        <v>45</v>
      </c>
      <c r="D346" s="28" t="s">
        <v>24</v>
      </c>
      <c r="E346" s="38">
        <v>64.69</v>
      </c>
      <c r="F346" s="38">
        <v>4.54</v>
      </c>
      <c r="G346" s="38">
        <v>7.2</v>
      </c>
      <c r="H346" s="38">
        <v>52.95</v>
      </c>
      <c r="I346" s="43">
        <v>2334</v>
      </c>
      <c r="J346" s="38">
        <v>52.95</v>
      </c>
      <c r="K346" s="43">
        <v>2334</v>
      </c>
      <c r="L346" s="63">
        <f>J346/K346</f>
        <v>0.02268637532133676</v>
      </c>
      <c r="M346" s="31">
        <v>235.3</v>
      </c>
      <c r="N346" s="65">
        <f>L346*M346</f>
        <v>5.33810411311054</v>
      </c>
      <c r="O346" s="65">
        <f>L346*60*1000</f>
        <v>1361.1825192802057</v>
      </c>
      <c r="P346" s="64">
        <f>O346*M346/1000</f>
        <v>320.2862467866324</v>
      </c>
      <c r="R346" s="10"/>
      <c r="S346" s="10"/>
    </row>
    <row r="347" spans="1:19" s="9" customFormat="1" ht="12.75">
      <c r="A347" s="221"/>
      <c r="B347" s="62" t="s">
        <v>315</v>
      </c>
      <c r="C347" s="28">
        <v>40</v>
      </c>
      <c r="D347" s="28">
        <v>1979</v>
      </c>
      <c r="E347" s="38">
        <v>58.999</v>
      </c>
      <c r="F347" s="38">
        <v>3.009</v>
      </c>
      <c r="G347" s="38">
        <v>6.24</v>
      </c>
      <c r="H347" s="38">
        <v>49.75</v>
      </c>
      <c r="I347" s="43">
        <v>2257.74</v>
      </c>
      <c r="J347" s="38">
        <v>49.48</v>
      </c>
      <c r="K347" s="43">
        <v>2180.68</v>
      </c>
      <c r="L347" s="63">
        <f>J347/K347</f>
        <v>0.022690170038703526</v>
      </c>
      <c r="M347" s="31">
        <v>337.137</v>
      </c>
      <c r="N347" s="65">
        <f>L347*M347</f>
        <v>7.649695856338391</v>
      </c>
      <c r="O347" s="65">
        <f>L347*60*1000</f>
        <v>1361.4102023222115</v>
      </c>
      <c r="P347" s="64">
        <f>O347*M347/1000</f>
        <v>458.9817513803034</v>
      </c>
      <c r="R347" s="10"/>
      <c r="S347" s="10"/>
    </row>
    <row r="348" spans="1:19" s="9" customFormat="1" ht="12.75" customHeight="1">
      <c r="A348" s="221"/>
      <c r="B348" s="62" t="s">
        <v>481</v>
      </c>
      <c r="C348" s="28">
        <v>48</v>
      </c>
      <c r="D348" s="28">
        <v>1961</v>
      </c>
      <c r="E348" s="38">
        <v>62.96</v>
      </c>
      <c r="F348" s="38">
        <v>3.09</v>
      </c>
      <c r="G348" s="38">
        <v>7.68</v>
      </c>
      <c r="H348" s="38">
        <v>52.19</v>
      </c>
      <c r="I348" s="96"/>
      <c r="J348" s="38">
        <f>H348</f>
        <v>52.19</v>
      </c>
      <c r="K348" s="43">
        <v>2296</v>
      </c>
      <c r="L348" s="63">
        <f>J348/K348</f>
        <v>0.022730836236933796</v>
      </c>
      <c r="M348" s="31">
        <v>187.7</v>
      </c>
      <c r="N348" s="65">
        <f>L348*M348</f>
        <v>4.266577961672473</v>
      </c>
      <c r="O348" s="65">
        <f>L348*60*1000</f>
        <v>1363.8501742160279</v>
      </c>
      <c r="P348" s="64">
        <f>O348*M348/1000</f>
        <v>255.99467770034843</v>
      </c>
      <c r="Q348" s="11"/>
      <c r="R348" s="10"/>
      <c r="S348" s="10"/>
    </row>
    <row r="349" spans="1:19" s="9" customFormat="1" ht="12.75" customHeight="1">
      <c r="A349" s="221"/>
      <c r="B349" s="62" t="s">
        <v>829</v>
      </c>
      <c r="C349" s="28">
        <v>32</v>
      </c>
      <c r="D349" s="28" t="s">
        <v>24</v>
      </c>
      <c r="E349" s="38">
        <v>48.2</v>
      </c>
      <c r="F349" s="38">
        <f>40.7*0.051</f>
        <v>2.0757</v>
      </c>
      <c r="G349" s="38">
        <f>32*0.16</f>
        <v>5.12</v>
      </c>
      <c r="H349" s="38">
        <f>+E349-F349-G349</f>
        <v>41.00430000000001</v>
      </c>
      <c r="I349" s="96"/>
      <c r="J349" s="38">
        <f>+H349</f>
        <v>41.00430000000001</v>
      </c>
      <c r="K349" s="43">
        <v>1803.8</v>
      </c>
      <c r="L349" s="63">
        <f>J349/K349</f>
        <v>0.022732176516243492</v>
      </c>
      <c r="M349" s="31">
        <f>+M346</f>
        <v>235.3</v>
      </c>
      <c r="N349" s="65">
        <f>L349*M349</f>
        <v>5.348881134272094</v>
      </c>
      <c r="O349" s="65">
        <f>L349*60*1000</f>
        <v>1363.9305909746095</v>
      </c>
      <c r="P349" s="64">
        <f>O349*M349/1000</f>
        <v>320.9328680563257</v>
      </c>
      <c r="R349" s="10"/>
      <c r="S349" s="10"/>
    </row>
    <row r="350" spans="1:19" s="9" customFormat="1" ht="12.75" customHeight="1">
      <c r="A350" s="221"/>
      <c r="B350" s="97" t="s">
        <v>578</v>
      </c>
      <c r="C350" s="28">
        <v>31</v>
      </c>
      <c r="D350" s="28">
        <v>1991</v>
      </c>
      <c r="E350" s="38">
        <v>41.906</v>
      </c>
      <c r="F350" s="38">
        <v>2.663</v>
      </c>
      <c r="G350" s="38">
        <v>4.8</v>
      </c>
      <c r="H350" s="38">
        <v>34.443</v>
      </c>
      <c r="I350" s="43">
        <v>1510.61</v>
      </c>
      <c r="J350" s="38">
        <v>34.443</v>
      </c>
      <c r="K350" s="43">
        <v>1510.61</v>
      </c>
      <c r="L350" s="63">
        <f>J350/K350</f>
        <v>0.02280072288678084</v>
      </c>
      <c r="M350" s="31">
        <v>300</v>
      </c>
      <c r="N350" s="65">
        <f>L350*M350</f>
        <v>6.840216866034251</v>
      </c>
      <c r="O350" s="65">
        <f>L350*60*1000</f>
        <v>1368.0433732068504</v>
      </c>
      <c r="P350" s="64">
        <f>O350*M350/1000</f>
        <v>410.4130119620551</v>
      </c>
      <c r="R350" s="10"/>
      <c r="S350" s="10"/>
    </row>
    <row r="351" spans="1:19" s="9" customFormat="1" ht="12.75" customHeight="1">
      <c r="A351" s="221"/>
      <c r="B351" s="62" t="s">
        <v>278</v>
      </c>
      <c r="C351" s="28">
        <v>20</v>
      </c>
      <c r="D351" s="28" t="s">
        <v>24</v>
      </c>
      <c r="E351" s="38">
        <v>34.8</v>
      </c>
      <c r="F351" s="38">
        <f>33*0.051</f>
        <v>1.6829999999999998</v>
      </c>
      <c r="G351" s="38">
        <f>25*0.16</f>
        <v>4</v>
      </c>
      <c r="H351" s="38">
        <f>+E351-F351-G351</f>
        <v>29.116999999999997</v>
      </c>
      <c r="I351" s="96"/>
      <c r="J351" s="38">
        <f>+H351</f>
        <v>29.116999999999997</v>
      </c>
      <c r="K351" s="43">
        <v>1276.41</v>
      </c>
      <c r="L351" s="63">
        <f>J351/K351</f>
        <v>0.022811635759669695</v>
      </c>
      <c r="M351" s="31">
        <v>340.2</v>
      </c>
      <c r="N351" s="65">
        <f>L351*M351</f>
        <v>7.76051848543963</v>
      </c>
      <c r="O351" s="65">
        <f>L351*60*1000</f>
        <v>1368.6981455801817</v>
      </c>
      <c r="P351" s="64">
        <f>O351*M351/1000</f>
        <v>465.6311091263778</v>
      </c>
      <c r="R351" s="10"/>
      <c r="S351" s="10"/>
    </row>
    <row r="352" spans="1:19" s="9" customFormat="1" ht="12.75" customHeight="1">
      <c r="A352" s="221"/>
      <c r="B352" s="62" t="s">
        <v>811</v>
      </c>
      <c r="C352" s="28">
        <v>20</v>
      </c>
      <c r="D352" s="28" t="s">
        <v>24</v>
      </c>
      <c r="E352" s="38">
        <f>F352+G352+H352</f>
        <v>32.713</v>
      </c>
      <c r="F352" s="38">
        <v>3.404</v>
      </c>
      <c r="G352" s="38">
        <v>3.2</v>
      </c>
      <c r="H352" s="38">
        <v>26.109</v>
      </c>
      <c r="I352" s="43">
        <v>1143.7</v>
      </c>
      <c r="J352" s="38">
        <v>26.109</v>
      </c>
      <c r="K352" s="43">
        <v>1143.7</v>
      </c>
      <c r="L352" s="63">
        <f>J352/K352</f>
        <v>0.022828538952522515</v>
      </c>
      <c r="M352" s="31">
        <v>350.76</v>
      </c>
      <c r="N352" s="65">
        <f>L352*M352</f>
        <v>8.007338322986797</v>
      </c>
      <c r="O352" s="65">
        <f>L352*60*1000</f>
        <v>1369.7123371513508</v>
      </c>
      <c r="P352" s="64">
        <f>O352*M352/1000</f>
        <v>480.4402993792078</v>
      </c>
      <c r="R352" s="10"/>
      <c r="S352" s="10"/>
    </row>
    <row r="353" spans="1:19" s="9" customFormat="1" ht="12.75">
      <c r="A353" s="221"/>
      <c r="B353" s="254" t="s">
        <v>644</v>
      </c>
      <c r="C353" s="131">
        <v>49</v>
      </c>
      <c r="D353" s="28">
        <v>1984</v>
      </c>
      <c r="E353" s="38">
        <f>F353+G353+H353</f>
        <v>70.027839</v>
      </c>
      <c r="F353" s="121">
        <v>4.386</v>
      </c>
      <c r="G353" s="121">
        <v>7.84</v>
      </c>
      <c r="H353" s="121">
        <v>57.801839</v>
      </c>
      <c r="I353" s="122">
        <v>2586</v>
      </c>
      <c r="J353" s="121">
        <v>57.801839</v>
      </c>
      <c r="K353" s="122">
        <v>2521.39</v>
      </c>
      <c r="L353" s="63">
        <f>J353/K353</f>
        <v>0.02292459278413891</v>
      </c>
      <c r="M353" s="31">
        <v>314.465</v>
      </c>
      <c r="N353" s="65">
        <f>L353*M353</f>
        <v>7.208982069864242</v>
      </c>
      <c r="O353" s="65">
        <f>L353*60*1000</f>
        <v>1375.4755670483348</v>
      </c>
      <c r="P353" s="64">
        <f>O353*M353/1000</f>
        <v>432.5389241918546</v>
      </c>
      <c r="R353" s="10"/>
      <c r="S353" s="10"/>
    </row>
    <row r="354" spans="1:19" s="9" customFormat="1" ht="11.25" customHeight="1" thickBot="1">
      <c r="A354" s="222"/>
      <c r="B354" s="179" t="s">
        <v>767</v>
      </c>
      <c r="C354" s="180">
        <v>85</v>
      </c>
      <c r="D354" s="180" t="s">
        <v>24</v>
      </c>
      <c r="E354" s="181">
        <f>SUM(F354:H354)</f>
        <v>107.60000000000001</v>
      </c>
      <c r="F354" s="181">
        <v>6.2</v>
      </c>
      <c r="G354" s="181">
        <v>13</v>
      </c>
      <c r="H354" s="181">
        <v>88.4</v>
      </c>
      <c r="I354" s="182">
        <v>3854.08</v>
      </c>
      <c r="J354" s="181">
        <v>87.6</v>
      </c>
      <c r="K354" s="182">
        <v>3819.34</v>
      </c>
      <c r="L354" s="91">
        <f>J354/K354</f>
        <v>0.022935899919881444</v>
      </c>
      <c r="M354" s="92">
        <v>204.4</v>
      </c>
      <c r="N354" s="93">
        <f>L354*M354</f>
        <v>4.6880979436237675</v>
      </c>
      <c r="O354" s="93">
        <f>L354*60*1000</f>
        <v>1376.1539951928867</v>
      </c>
      <c r="P354" s="94">
        <f>O354*M354/1000</f>
        <v>281.285876617426</v>
      </c>
      <c r="Q354" s="11"/>
      <c r="R354" s="45"/>
      <c r="S354" s="10"/>
    </row>
    <row r="355" spans="1:19" s="9" customFormat="1" ht="12.75" customHeight="1">
      <c r="A355" s="220" t="s">
        <v>73</v>
      </c>
      <c r="B355" s="328" t="s">
        <v>830</v>
      </c>
      <c r="C355" s="329">
        <v>31</v>
      </c>
      <c r="D355" s="329" t="s">
        <v>24</v>
      </c>
      <c r="E355" s="330">
        <v>48.6</v>
      </c>
      <c r="F355" s="330">
        <f>85.5*0.051</f>
        <v>4.3605</v>
      </c>
      <c r="G355" s="330">
        <f>31*0.16</f>
        <v>4.96</v>
      </c>
      <c r="H355" s="330">
        <f>+E355-F355-G355</f>
        <v>39.2795</v>
      </c>
      <c r="I355" s="331"/>
      <c r="J355" s="330">
        <f>+H355</f>
        <v>39.2795</v>
      </c>
      <c r="K355" s="108">
        <v>1704.18</v>
      </c>
      <c r="L355" s="111">
        <f>J355/K355</f>
        <v>0.023048915020713774</v>
      </c>
      <c r="M355" s="109">
        <v>340.2</v>
      </c>
      <c r="N355" s="110">
        <f>L355*M355</f>
        <v>7.841240890046826</v>
      </c>
      <c r="O355" s="110">
        <f>L355*60*1000</f>
        <v>1382.9349012428265</v>
      </c>
      <c r="P355" s="112">
        <f>O355*M355/1000</f>
        <v>470.47445340280956</v>
      </c>
      <c r="Q355" s="11"/>
      <c r="R355" s="10"/>
      <c r="S355" s="10"/>
    </row>
    <row r="356" spans="1:19" s="9" customFormat="1" ht="12.75" customHeight="1">
      <c r="A356" s="220"/>
      <c r="B356" s="66" t="s">
        <v>501</v>
      </c>
      <c r="C356" s="29">
        <v>101</v>
      </c>
      <c r="D356" s="29">
        <v>1966</v>
      </c>
      <c r="E356" s="39">
        <v>128.23221</v>
      </c>
      <c r="F356" s="39">
        <v>16.04809</v>
      </c>
      <c r="G356" s="39">
        <v>10</v>
      </c>
      <c r="H356" s="39">
        <f>E356-F356-G356</f>
        <v>102.18412000000001</v>
      </c>
      <c r="I356" s="74">
        <v>4419.76</v>
      </c>
      <c r="J356" s="39">
        <f>H356</f>
        <v>102.18412000000001</v>
      </c>
      <c r="K356" s="74">
        <f>I356</f>
        <v>4419.76</v>
      </c>
      <c r="L356" s="67">
        <f>J356/K356</f>
        <v>0.02311983456115264</v>
      </c>
      <c r="M356" s="32">
        <v>279.476</v>
      </c>
      <c r="N356" s="68">
        <f>L356*M356</f>
        <v>6.461438883812695</v>
      </c>
      <c r="O356" s="68">
        <f>L356*60*1000</f>
        <v>1387.1900736691584</v>
      </c>
      <c r="P356" s="69">
        <f>O356*M356/1000</f>
        <v>387.68633302876174</v>
      </c>
      <c r="R356" s="10"/>
      <c r="S356" s="10"/>
    </row>
    <row r="357" spans="1:16" s="9" customFormat="1" ht="12.75" customHeight="1">
      <c r="A357" s="220"/>
      <c r="B357" s="291" t="s">
        <v>645</v>
      </c>
      <c r="C357" s="292">
        <v>40</v>
      </c>
      <c r="D357" s="29">
        <v>1986</v>
      </c>
      <c r="E357" s="39">
        <f>F357+G357+H357</f>
        <v>63.594001000000006</v>
      </c>
      <c r="F357" s="293">
        <v>4.258500000000001</v>
      </c>
      <c r="G357" s="293">
        <v>6.4</v>
      </c>
      <c r="H357" s="293">
        <v>52.935501</v>
      </c>
      <c r="I357" s="294">
        <v>2285.9500000000003</v>
      </c>
      <c r="J357" s="293">
        <v>52.935501</v>
      </c>
      <c r="K357" s="294">
        <v>2285.9500000000003</v>
      </c>
      <c r="L357" s="67">
        <f>J357/K357</f>
        <v>0.023156893632844112</v>
      </c>
      <c r="M357" s="32">
        <v>314.465</v>
      </c>
      <c r="N357" s="68">
        <f>L357*M357</f>
        <v>7.282032556252323</v>
      </c>
      <c r="O357" s="68">
        <f>L357*60*1000</f>
        <v>1389.4136179706466</v>
      </c>
      <c r="P357" s="69">
        <f>O357*M357/1000</f>
        <v>436.9219533751393</v>
      </c>
    </row>
    <row r="358" spans="1:19" s="9" customFormat="1" ht="12.75" customHeight="1">
      <c r="A358" s="220"/>
      <c r="B358" s="66" t="s">
        <v>846</v>
      </c>
      <c r="C358" s="29">
        <v>45</v>
      </c>
      <c r="D358" s="29">
        <v>1987</v>
      </c>
      <c r="E358" s="39">
        <v>81.626</v>
      </c>
      <c r="F358" s="39">
        <v>4.88</v>
      </c>
      <c r="G358" s="39">
        <v>7.963</v>
      </c>
      <c r="H358" s="39">
        <v>68.783</v>
      </c>
      <c r="I358" s="74">
        <v>2970</v>
      </c>
      <c r="J358" s="39">
        <v>68.783</v>
      </c>
      <c r="K358" s="74">
        <v>2970</v>
      </c>
      <c r="L358" s="67">
        <f>J358/K358</f>
        <v>0.02315925925925926</v>
      </c>
      <c r="M358" s="32">
        <v>254.2</v>
      </c>
      <c r="N358" s="68">
        <f>L358*M358</f>
        <v>5.887083703703704</v>
      </c>
      <c r="O358" s="68">
        <f>L358*60*1000</f>
        <v>1389.5555555555557</v>
      </c>
      <c r="P358" s="69">
        <f>O358*M358/1000</f>
        <v>353.22502222222226</v>
      </c>
      <c r="R358" s="10"/>
      <c r="S358" s="10"/>
    </row>
    <row r="359" spans="1:19" s="9" customFormat="1" ht="12.75" customHeight="1">
      <c r="A359" s="220"/>
      <c r="B359" s="66" t="s">
        <v>712</v>
      </c>
      <c r="C359" s="29">
        <v>60</v>
      </c>
      <c r="D359" s="29">
        <v>1964</v>
      </c>
      <c r="E359" s="39">
        <v>76.3</v>
      </c>
      <c r="F359" s="39">
        <v>4</v>
      </c>
      <c r="G359" s="39">
        <v>9.6</v>
      </c>
      <c r="H359" s="39">
        <v>62.7</v>
      </c>
      <c r="I359" s="290"/>
      <c r="J359" s="39">
        <f>H359</f>
        <v>62.7</v>
      </c>
      <c r="K359" s="74">
        <v>2704</v>
      </c>
      <c r="L359" s="67">
        <f>J359/K359</f>
        <v>0.023187869822485208</v>
      </c>
      <c r="M359" s="32">
        <v>187.7</v>
      </c>
      <c r="N359" s="68">
        <f>L359*M359</f>
        <v>4.352363165680473</v>
      </c>
      <c r="O359" s="68">
        <f>L359*60*1000</f>
        <v>1391.2721893491125</v>
      </c>
      <c r="P359" s="69">
        <f>O359*M359/1000</f>
        <v>261.1417899408284</v>
      </c>
      <c r="R359" s="10"/>
      <c r="S359" s="10"/>
    </row>
    <row r="360" spans="1:19" s="9" customFormat="1" ht="12.75" customHeight="1">
      <c r="A360" s="220"/>
      <c r="B360" s="52" t="s">
        <v>144</v>
      </c>
      <c r="C360" s="25">
        <v>12</v>
      </c>
      <c r="D360" s="25">
        <v>1979</v>
      </c>
      <c r="E360" s="37">
        <f>SUM(F360:H360)</f>
        <v>19.303800000000003</v>
      </c>
      <c r="F360" s="37">
        <v>0.8592</v>
      </c>
      <c r="G360" s="37">
        <v>1.84</v>
      </c>
      <c r="H360" s="37">
        <v>16.6046</v>
      </c>
      <c r="I360" s="36">
        <v>715.63</v>
      </c>
      <c r="J360" s="37">
        <v>16.6046</v>
      </c>
      <c r="K360" s="36">
        <v>715.63</v>
      </c>
      <c r="L360" s="295">
        <f>J360/K360</f>
        <v>0.02320277238237637</v>
      </c>
      <c r="M360" s="296">
        <v>284.9</v>
      </c>
      <c r="N360" s="296">
        <f>L360*M360*1.09</f>
        <v>7.20541213839554</v>
      </c>
      <c r="O360" s="296">
        <f>L360*60*1000</f>
        <v>1392.166342942582</v>
      </c>
      <c r="P360" s="332">
        <f>N360*60</f>
        <v>432.3247283037324</v>
      </c>
      <c r="R360" s="10"/>
      <c r="S360" s="10"/>
    </row>
    <row r="361" spans="1:19" s="9" customFormat="1" ht="12.75" customHeight="1">
      <c r="A361" s="220"/>
      <c r="B361" s="66" t="s">
        <v>831</v>
      </c>
      <c r="C361" s="29">
        <v>19</v>
      </c>
      <c r="D361" s="29" t="s">
        <v>24</v>
      </c>
      <c r="E361" s="39">
        <v>25</v>
      </c>
      <c r="F361" s="39">
        <f>26*0.051</f>
        <v>1.3259999999999998</v>
      </c>
      <c r="G361" s="39">
        <f>19*0.16</f>
        <v>3.04</v>
      </c>
      <c r="H361" s="39">
        <f>+E361-F361-G361</f>
        <v>20.634</v>
      </c>
      <c r="I361" s="290"/>
      <c r="J361" s="39">
        <f>+H361</f>
        <v>20.634</v>
      </c>
      <c r="K361" s="74">
        <v>888.3</v>
      </c>
      <c r="L361" s="67">
        <f>J361/K361</f>
        <v>0.023228638973319827</v>
      </c>
      <c r="M361" s="32">
        <f>+M359</f>
        <v>187.7</v>
      </c>
      <c r="N361" s="68">
        <f>L361*M361</f>
        <v>4.360015535292131</v>
      </c>
      <c r="O361" s="68">
        <f>L361*60*1000</f>
        <v>1393.7183383991896</v>
      </c>
      <c r="P361" s="69">
        <f>O361*M361/1000</f>
        <v>261.60093211752786</v>
      </c>
      <c r="R361" s="10"/>
      <c r="S361" s="10"/>
    </row>
    <row r="362" spans="1:19" s="9" customFormat="1" ht="13.5" customHeight="1">
      <c r="A362" s="220"/>
      <c r="B362" s="66" t="s">
        <v>674</v>
      </c>
      <c r="C362" s="29">
        <v>50</v>
      </c>
      <c r="D362" s="29" t="s">
        <v>24</v>
      </c>
      <c r="E362" s="39">
        <v>72.7</v>
      </c>
      <c r="F362" s="39">
        <v>4.23</v>
      </c>
      <c r="G362" s="39">
        <v>8</v>
      </c>
      <c r="H362" s="39">
        <v>60.47</v>
      </c>
      <c r="I362" s="74">
        <v>2603</v>
      </c>
      <c r="J362" s="39">
        <v>60.47</v>
      </c>
      <c r="K362" s="74">
        <v>2603</v>
      </c>
      <c r="L362" s="67">
        <f>J362/K362</f>
        <v>0.023230887437572033</v>
      </c>
      <c r="M362" s="32">
        <v>235.3</v>
      </c>
      <c r="N362" s="68">
        <f>L362*M362</f>
        <v>5.4662278140607</v>
      </c>
      <c r="O362" s="68">
        <f>L362*60*1000</f>
        <v>1393.8532462543221</v>
      </c>
      <c r="P362" s="69">
        <f>O362*M362/1000</f>
        <v>327.973668843642</v>
      </c>
      <c r="Q362" s="11"/>
      <c r="R362" s="10"/>
      <c r="S362" s="10"/>
    </row>
    <row r="363" spans="1:19" s="9" customFormat="1" ht="13.5" customHeight="1">
      <c r="A363" s="220"/>
      <c r="B363" s="52" t="s">
        <v>172</v>
      </c>
      <c r="C363" s="25">
        <v>40</v>
      </c>
      <c r="D363" s="25">
        <v>1973</v>
      </c>
      <c r="E363" s="37">
        <v>68.6</v>
      </c>
      <c r="F363" s="37">
        <v>2.7292</v>
      </c>
      <c r="G363" s="37">
        <v>6.16</v>
      </c>
      <c r="H363" s="37">
        <v>59.71</v>
      </c>
      <c r="I363" s="36">
        <v>2567.4</v>
      </c>
      <c r="J363" s="37">
        <v>59.71</v>
      </c>
      <c r="K363" s="36">
        <v>2567.4</v>
      </c>
      <c r="L363" s="295">
        <f>J363/K363</f>
        <v>0.02325699150891953</v>
      </c>
      <c r="M363" s="296">
        <v>263.899</v>
      </c>
      <c r="N363" s="296">
        <f>L363*M363</f>
        <v>6.137496802212355</v>
      </c>
      <c r="O363" s="296">
        <f>L363*1000*60</f>
        <v>1395.4194905351717</v>
      </c>
      <c r="P363" s="332">
        <f>N363*60</f>
        <v>368.2498081327413</v>
      </c>
      <c r="R363" s="10"/>
      <c r="S363" s="10"/>
    </row>
    <row r="364" spans="1:19" s="9" customFormat="1" ht="12.75" customHeight="1">
      <c r="A364" s="220"/>
      <c r="B364" s="291" t="s">
        <v>217</v>
      </c>
      <c r="C364" s="292">
        <v>51</v>
      </c>
      <c r="D364" s="29">
        <v>1972</v>
      </c>
      <c r="E364" s="39">
        <f>F364+G364+H364</f>
        <v>73.084996</v>
      </c>
      <c r="F364" s="293">
        <v>4.386</v>
      </c>
      <c r="G364" s="293">
        <v>8</v>
      </c>
      <c r="H364" s="293">
        <v>60.698996</v>
      </c>
      <c r="I364" s="294">
        <v>2608.15</v>
      </c>
      <c r="J364" s="293">
        <v>60.698996</v>
      </c>
      <c r="K364" s="294">
        <v>2608.15</v>
      </c>
      <c r="L364" s="67">
        <f>J364/K364</f>
        <v>0.02327281636408949</v>
      </c>
      <c r="M364" s="32">
        <v>314.465</v>
      </c>
      <c r="N364" s="68">
        <f>L364*M364</f>
        <v>7.3184861979334</v>
      </c>
      <c r="O364" s="68">
        <f>L364*60*1000</f>
        <v>1396.3689818453693</v>
      </c>
      <c r="P364" s="69">
        <f>O364*M364/1000</f>
        <v>439.10917187600404</v>
      </c>
      <c r="R364" s="10"/>
      <c r="S364" s="10"/>
    </row>
    <row r="365" spans="1:19" s="9" customFormat="1" ht="12.75">
      <c r="A365" s="220"/>
      <c r="B365" s="297" t="s">
        <v>437</v>
      </c>
      <c r="C365" s="298">
        <v>40</v>
      </c>
      <c r="D365" s="298">
        <v>1980</v>
      </c>
      <c r="E365" s="299">
        <v>63.5</v>
      </c>
      <c r="F365" s="299">
        <v>3.2</v>
      </c>
      <c r="G365" s="299">
        <v>6.4</v>
      </c>
      <c r="H365" s="299">
        <v>53.9</v>
      </c>
      <c r="I365" s="300">
        <v>2313.6</v>
      </c>
      <c r="J365" s="299">
        <v>53.9</v>
      </c>
      <c r="K365" s="300">
        <v>2313.6</v>
      </c>
      <c r="L365" s="301">
        <v>0.023297026279391425</v>
      </c>
      <c r="M365" s="302">
        <v>215.8</v>
      </c>
      <c r="N365" s="302">
        <v>5.02749827109267</v>
      </c>
      <c r="O365" s="302">
        <f>L365*60*1000</f>
        <v>1397.8215767634854</v>
      </c>
      <c r="P365" s="333">
        <v>301.6498962655602</v>
      </c>
      <c r="R365" s="10"/>
      <c r="S365" s="10"/>
    </row>
    <row r="366" spans="1:19" s="9" customFormat="1" ht="12.75">
      <c r="A366" s="220"/>
      <c r="B366" s="66" t="s">
        <v>502</v>
      </c>
      <c r="C366" s="29">
        <v>25</v>
      </c>
      <c r="D366" s="29">
        <v>1986</v>
      </c>
      <c r="E366" s="39">
        <v>32.56865</v>
      </c>
      <c r="F366" s="39">
        <v>2.48207</v>
      </c>
      <c r="G366" s="39">
        <v>0.24</v>
      </c>
      <c r="H366" s="39">
        <f>E366-F366-G366</f>
        <v>29.84658</v>
      </c>
      <c r="I366" s="74">
        <v>1280.73</v>
      </c>
      <c r="J366" s="39">
        <f>H366</f>
        <v>29.84658</v>
      </c>
      <c r="K366" s="74">
        <f>I366</f>
        <v>1280.73</v>
      </c>
      <c r="L366" s="67">
        <f>J366/K366</f>
        <v>0.023304349862968775</v>
      </c>
      <c r="M366" s="32">
        <v>279.476</v>
      </c>
      <c r="N366" s="68">
        <f>L366*M366</f>
        <v>6.513006482303061</v>
      </c>
      <c r="O366" s="68">
        <f>L366*60*1000</f>
        <v>1398.2609917781265</v>
      </c>
      <c r="P366" s="69">
        <f>O366*M366/1000</f>
        <v>390.78038893818365</v>
      </c>
      <c r="R366" s="10"/>
      <c r="S366" s="10"/>
    </row>
    <row r="367" spans="1:19" s="9" customFormat="1" ht="12.75">
      <c r="A367" s="220"/>
      <c r="B367" s="291" t="s">
        <v>260</v>
      </c>
      <c r="C367" s="292">
        <v>30</v>
      </c>
      <c r="D367" s="29">
        <v>1974</v>
      </c>
      <c r="E367" s="39">
        <f>F367+G367+H367</f>
        <v>48.861002000000006</v>
      </c>
      <c r="F367" s="293">
        <v>3.264</v>
      </c>
      <c r="G367" s="293">
        <v>4.8</v>
      </c>
      <c r="H367" s="293">
        <v>40.797002000000006</v>
      </c>
      <c r="I367" s="294">
        <v>1748.57</v>
      </c>
      <c r="J367" s="293">
        <v>40.797002000000006</v>
      </c>
      <c r="K367" s="294">
        <v>1748.57</v>
      </c>
      <c r="L367" s="67">
        <f>J367/K367</f>
        <v>0.023331637852645307</v>
      </c>
      <c r="M367" s="32">
        <v>314.465</v>
      </c>
      <c r="N367" s="68">
        <f>L367*M367</f>
        <v>7.336983497332106</v>
      </c>
      <c r="O367" s="68">
        <f>L367*60*1000</f>
        <v>1399.8982711587184</v>
      </c>
      <c r="P367" s="69">
        <f>O367*M367/1000</f>
        <v>440.2190098399264</v>
      </c>
      <c r="R367" s="10"/>
      <c r="S367" s="10"/>
    </row>
    <row r="368" spans="1:19" s="9" customFormat="1" ht="12.75">
      <c r="A368" s="220"/>
      <c r="B368" s="297" t="s">
        <v>441</v>
      </c>
      <c r="C368" s="298">
        <v>39</v>
      </c>
      <c r="D368" s="298">
        <v>1992</v>
      </c>
      <c r="E368" s="299">
        <v>64.7</v>
      </c>
      <c r="F368" s="299">
        <v>5.3</v>
      </c>
      <c r="G368" s="299">
        <v>6.2</v>
      </c>
      <c r="H368" s="299">
        <v>53.2</v>
      </c>
      <c r="I368" s="300">
        <v>2279.7</v>
      </c>
      <c r="J368" s="299">
        <v>53.2</v>
      </c>
      <c r="K368" s="300">
        <v>2279.7</v>
      </c>
      <c r="L368" s="301">
        <v>0.023336403912795546</v>
      </c>
      <c r="M368" s="302">
        <v>215.8</v>
      </c>
      <c r="N368" s="302">
        <v>5.0359959643812795</v>
      </c>
      <c r="O368" s="302">
        <f>L368*60*1000</f>
        <v>1400.1842347677327</v>
      </c>
      <c r="P368" s="333">
        <v>302.15975786287675</v>
      </c>
      <c r="R368" s="10"/>
      <c r="S368" s="10"/>
    </row>
    <row r="369" spans="1:19" s="9" customFormat="1" ht="12.75">
      <c r="A369" s="220"/>
      <c r="B369" s="52" t="s">
        <v>768</v>
      </c>
      <c r="C369" s="25">
        <v>80</v>
      </c>
      <c r="D369" s="25" t="s">
        <v>24</v>
      </c>
      <c r="E369" s="37">
        <f>SUM(F369:H369)</f>
        <v>111.4</v>
      </c>
      <c r="F369" s="37">
        <v>6.7</v>
      </c>
      <c r="G369" s="37">
        <v>12.2</v>
      </c>
      <c r="H369" s="37">
        <v>92.5</v>
      </c>
      <c r="I369" s="36">
        <v>3925.41</v>
      </c>
      <c r="J369" s="37">
        <v>86.2</v>
      </c>
      <c r="K369" s="36">
        <v>3670.74</v>
      </c>
      <c r="L369" s="67">
        <f>J369/K369</f>
        <v>0.023483003427101894</v>
      </c>
      <c r="M369" s="32">
        <v>204.4</v>
      </c>
      <c r="N369" s="68">
        <f>L369*M369</f>
        <v>4.799925900499628</v>
      </c>
      <c r="O369" s="68">
        <f>L369*60*1000</f>
        <v>1408.9802056261135</v>
      </c>
      <c r="P369" s="69">
        <f>O369*M369/1000</f>
        <v>287.9955540299776</v>
      </c>
      <c r="R369" s="10"/>
      <c r="S369" s="10"/>
    </row>
    <row r="370" spans="1:19" s="9" customFormat="1" ht="12.75">
      <c r="A370" s="220"/>
      <c r="B370" s="66" t="s">
        <v>847</v>
      </c>
      <c r="C370" s="29">
        <v>55</v>
      </c>
      <c r="D370" s="29">
        <v>1968</v>
      </c>
      <c r="E370" s="39">
        <v>72.7</v>
      </c>
      <c r="F370" s="39">
        <v>5.13</v>
      </c>
      <c r="G370" s="39">
        <v>8.88</v>
      </c>
      <c r="H370" s="39">
        <v>58.69</v>
      </c>
      <c r="I370" s="74">
        <v>2483</v>
      </c>
      <c r="J370" s="39">
        <v>58.69</v>
      </c>
      <c r="K370" s="74">
        <v>2483</v>
      </c>
      <c r="L370" s="67">
        <f>J370/K370</f>
        <v>0.02363672976238421</v>
      </c>
      <c r="M370" s="32">
        <v>254.2</v>
      </c>
      <c r="N370" s="68">
        <f>L370*M370</f>
        <v>6.008456705598066</v>
      </c>
      <c r="O370" s="68">
        <f>L370*60*1000</f>
        <v>1418.2037857430525</v>
      </c>
      <c r="P370" s="69">
        <f>O370*M370/1000</f>
        <v>360.5074023358839</v>
      </c>
      <c r="R370" s="10"/>
      <c r="S370" s="10"/>
    </row>
    <row r="371" spans="1:19" s="9" customFormat="1" ht="12.75">
      <c r="A371" s="220"/>
      <c r="B371" s="66" t="s">
        <v>848</v>
      </c>
      <c r="C371" s="29">
        <v>20</v>
      </c>
      <c r="D371" s="29">
        <v>1987</v>
      </c>
      <c r="E371" s="39">
        <v>30.28</v>
      </c>
      <c r="F371" s="39">
        <v>1.598</v>
      </c>
      <c r="G371" s="39">
        <v>3.2</v>
      </c>
      <c r="H371" s="39">
        <v>25.482</v>
      </c>
      <c r="I371" s="74">
        <v>1076</v>
      </c>
      <c r="J371" s="39">
        <v>25.482</v>
      </c>
      <c r="K371" s="74">
        <v>1076</v>
      </c>
      <c r="L371" s="67">
        <f>J371/K371</f>
        <v>0.023682156133828996</v>
      </c>
      <c r="M371" s="32">
        <v>254.2</v>
      </c>
      <c r="N371" s="68">
        <f>L371*M371</f>
        <v>6.020004089219331</v>
      </c>
      <c r="O371" s="68">
        <f>L371*60*1000</f>
        <v>1420.9293680297396</v>
      </c>
      <c r="P371" s="69">
        <f>O371*M371/1000</f>
        <v>361.2002453531598</v>
      </c>
      <c r="R371" s="10"/>
      <c r="S371" s="10"/>
    </row>
    <row r="372" spans="1:19" s="9" customFormat="1" ht="12.75" customHeight="1">
      <c r="A372" s="220"/>
      <c r="B372" s="52" t="s">
        <v>769</v>
      </c>
      <c r="C372" s="25">
        <v>45</v>
      </c>
      <c r="D372" s="25" t="s">
        <v>24</v>
      </c>
      <c r="E372" s="37">
        <f>SUM(F372:H372)</f>
        <v>67.8</v>
      </c>
      <c r="F372" s="37">
        <v>4.9</v>
      </c>
      <c r="G372" s="37">
        <v>6.9</v>
      </c>
      <c r="H372" s="37">
        <v>56</v>
      </c>
      <c r="I372" s="36">
        <v>2363.02</v>
      </c>
      <c r="J372" s="37">
        <v>56</v>
      </c>
      <c r="K372" s="36">
        <v>2363.02</v>
      </c>
      <c r="L372" s="67">
        <f>J372/K372</f>
        <v>0.023698487528670938</v>
      </c>
      <c r="M372" s="32">
        <v>204.4</v>
      </c>
      <c r="N372" s="68">
        <f>L372*M372</f>
        <v>4.84397085086034</v>
      </c>
      <c r="O372" s="68">
        <f>L372*60*1000</f>
        <v>1421.9092517202562</v>
      </c>
      <c r="P372" s="69">
        <f>O372*M372/1000</f>
        <v>290.63825105162033</v>
      </c>
      <c r="R372" s="10"/>
      <c r="S372" s="10"/>
    </row>
    <row r="373" spans="1:19" s="9" customFormat="1" ht="12.75">
      <c r="A373" s="220"/>
      <c r="B373" s="52" t="s">
        <v>770</v>
      </c>
      <c r="C373" s="25">
        <v>40</v>
      </c>
      <c r="D373" s="25" t="s">
        <v>24</v>
      </c>
      <c r="E373" s="37">
        <f>SUM(F373:H373)</f>
        <v>65.1</v>
      </c>
      <c r="F373" s="37">
        <v>5</v>
      </c>
      <c r="G373" s="37">
        <v>6</v>
      </c>
      <c r="H373" s="37">
        <v>54.1</v>
      </c>
      <c r="I373" s="36">
        <v>2278.59</v>
      </c>
      <c r="J373" s="37">
        <v>54.1</v>
      </c>
      <c r="K373" s="36">
        <v>2278.59</v>
      </c>
      <c r="L373" s="67">
        <f>J373/K373</f>
        <v>0.023742753193861117</v>
      </c>
      <c r="M373" s="32">
        <v>204.4</v>
      </c>
      <c r="N373" s="68">
        <f>L373*M373</f>
        <v>4.8530187528252124</v>
      </c>
      <c r="O373" s="68">
        <f>L373*60*1000</f>
        <v>1424.565191631667</v>
      </c>
      <c r="P373" s="69">
        <f>O373*M373/1000</f>
        <v>291.18112516951277</v>
      </c>
      <c r="Q373" s="11"/>
      <c r="R373" s="10"/>
      <c r="S373" s="10"/>
    </row>
    <row r="374" spans="1:19" s="9" customFormat="1" ht="12.75" customHeight="1">
      <c r="A374" s="220"/>
      <c r="B374" s="52" t="s">
        <v>171</v>
      </c>
      <c r="C374" s="25">
        <v>60</v>
      </c>
      <c r="D374" s="25">
        <v>1968</v>
      </c>
      <c r="E374" s="37">
        <v>79.2</v>
      </c>
      <c r="F374" s="37">
        <v>4.12</v>
      </c>
      <c r="G374" s="37">
        <v>9.6</v>
      </c>
      <c r="H374" s="37">
        <v>65.478</v>
      </c>
      <c r="I374" s="36">
        <v>2756.59</v>
      </c>
      <c r="J374" s="37">
        <v>65.48</v>
      </c>
      <c r="K374" s="36">
        <v>2756.59</v>
      </c>
      <c r="L374" s="295">
        <f>J374/K374</f>
        <v>0.023753985902872754</v>
      </c>
      <c r="M374" s="296">
        <v>263.899</v>
      </c>
      <c r="N374" s="296">
        <f>L374*M374</f>
        <v>6.268653125782217</v>
      </c>
      <c r="O374" s="296">
        <f>L374*1000*60</f>
        <v>1425.2391541723653</v>
      </c>
      <c r="P374" s="332">
        <f>N374*60</f>
        <v>376.119187546933</v>
      </c>
      <c r="Q374" s="11"/>
      <c r="R374" s="10"/>
      <c r="S374" s="10"/>
    </row>
    <row r="375" spans="1:19" s="9" customFormat="1" ht="12.75">
      <c r="A375" s="220"/>
      <c r="B375" s="52" t="s">
        <v>33</v>
      </c>
      <c r="C375" s="25">
        <v>39</v>
      </c>
      <c r="D375" s="25">
        <v>1999</v>
      </c>
      <c r="E375" s="37">
        <v>66.834</v>
      </c>
      <c r="F375" s="37">
        <v>6.0282</v>
      </c>
      <c r="G375" s="37">
        <v>6.24</v>
      </c>
      <c r="H375" s="37">
        <v>54.5658</v>
      </c>
      <c r="I375" s="36">
        <v>2296.95</v>
      </c>
      <c r="J375" s="37">
        <v>54.565798</v>
      </c>
      <c r="K375" s="36">
        <v>2296.95</v>
      </c>
      <c r="L375" s="295">
        <f>J375/K375</f>
        <v>0.023755762206404147</v>
      </c>
      <c r="M375" s="25">
        <v>296.48</v>
      </c>
      <c r="N375" s="296">
        <f>L375*M375</f>
        <v>7.0431083789547015</v>
      </c>
      <c r="O375" s="296">
        <f>L375*60*1000</f>
        <v>1425.3457323842488</v>
      </c>
      <c r="P375" s="332">
        <f>O375*M375/1000</f>
        <v>422.5865027372821</v>
      </c>
      <c r="R375" s="10"/>
      <c r="S375" s="10"/>
    </row>
    <row r="376" spans="1:19" s="9" customFormat="1" ht="12.75">
      <c r="A376" s="220"/>
      <c r="B376" s="66" t="s">
        <v>675</v>
      </c>
      <c r="C376" s="29">
        <v>75</v>
      </c>
      <c r="D376" s="29" t="s">
        <v>24</v>
      </c>
      <c r="E376" s="39">
        <v>114.33</v>
      </c>
      <c r="F376" s="39">
        <v>7.24</v>
      </c>
      <c r="G376" s="39">
        <v>11.92</v>
      </c>
      <c r="H376" s="39">
        <v>95.17</v>
      </c>
      <c r="I376" s="74">
        <v>4000</v>
      </c>
      <c r="J376" s="39">
        <v>95.17</v>
      </c>
      <c r="K376" s="74">
        <v>4000</v>
      </c>
      <c r="L376" s="67">
        <f>J376/K376</f>
        <v>0.0237925</v>
      </c>
      <c r="M376" s="32">
        <v>235.3</v>
      </c>
      <c r="N376" s="68">
        <f>L376*M376</f>
        <v>5.59837525</v>
      </c>
      <c r="O376" s="68">
        <f>L376*60*1000</f>
        <v>1427.5500000000002</v>
      </c>
      <c r="P376" s="69">
        <f>O376*M376/1000</f>
        <v>335.90251500000005</v>
      </c>
      <c r="R376" s="10"/>
      <c r="S376" s="10"/>
    </row>
    <row r="377" spans="1:19" s="9" customFormat="1" ht="12.75">
      <c r="A377" s="220"/>
      <c r="B377" s="66" t="s">
        <v>849</v>
      </c>
      <c r="C377" s="29">
        <v>16</v>
      </c>
      <c r="D377" s="29">
        <v>1912</v>
      </c>
      <c r="E377" s="39">
        <v>19.037</v>
      </c>
      <c r="F377" s="39">
        <v>1.377</v>
      </c>
      <c r="G377" s="39">
        <v>2.24</v>
      </c>
      <c r="H377" s="39">
        <v>15.42</v>
      </c>
      <c r="I377" s="74">
        <v>647</v>
      </c>
      <c r="J377" s="39">
        <v>15.42</v>
      </c>
      <c r="K377" s="74">
        <v>647</v>
      </c>
      <c r="L377" s="67">
        <f>J377/K377</f>
        <v>0.02383307573415765</v>
      </c>
      <c r="M377" s="32">
        <v>254.2</v>
      </c>
      <c r="N377" s="68">
        <f>L377*M377</f>
        <v>6.058367851622874</v>
      </c>
      <c r="O377" s="68">
        <f>L377*60*1000</f>
        <v>1429.984544049459</v>
      </c>
      <c r="P377" s="69">
        <f>O377*M377/1000</f>
        <v>363.50207109737244</v>
      </c>
      <c r="R377" s="10"/>
      <c r="S377" s="10"/>
    </row>
    <row r="378" spans="1:19" s="9" customFormat="1" ht="12.75">
      <c r="A378" s="220"/>
      <c r="B378" s="177" t="s">
        <v>579</v>
      </c>
      <c r="C378" s="130">
        <v>50</v>
      </c>
      <c r="D378" s="130">
        <v>1991</v>
      </c>
      <c r="E378" s="39">
        <v>82.876</v>
      </c>
      <c r="F378" s="39">
        <v>5.406</v>
      </c>
      <c r="G378" s="39">
        <v>8</v>
      </c>
      <c r="H378" s="39">
        <v>69.47</v>
      </c>
      <c r="I378" s="74">
        <v>2895.39</v>
      </c>
      <c r="J378" s="39">
        <v>69.47</v>
      </c>
      <c r="K378" s="74">
        <v>2895.39</v>
      </c>
      <c r="L378" s="67">
        <f>J378/K378</f>
        <v>0.02399331350871558</v>
      </c>
      <c r="M378" s="32">
        <v>300</v>
      </c>
      <c r="N378" s="68">
        <f>L378*M378</f>
        <v>7.197994052614674</v>
      </c>
      <c r="O378" s="68">
        <f>L378*60*1000</f>
        <v>1439.5988105229346</v>
      </c>
      <c r="P378" s="69">
        <f>O378*M378/1000</f>
        <v>431.8796431568804</v>
      </c>
      <c r="R378" s="10"/>
      <c r="S378" s="10"/>
    </row>
    <row r="379" spans="1:19" s="9" customFormat="1" ht="12.75">
      <c r="A379" s="220"/>
      <c r="B379" s="66" t="s">
        <v>280</v>
      </c>
      <c r="C379" s="29">
        <v>25</v>
      </c>
      <c r="D379" s="29" t="s">
        <v>24</v>
      </c>
      <c r="E379" s="39">
        <v>37.9</v>
      </c>
      <c r="F379" s="39">
        <f>45*0.051</f>
        <v>2.295</v>
      </c>
      <c r="G379" s="39">
        <f>25*0.16</f>
        <v>4</v>
      </c>
      <c r="H379" s="39">
        <f>+E379-F379-G379</f>
        <v>31.604999999999997</v>
      </c>
      <c r="I379" s="290"/>
      <c r="J379" s="39">
        <f>+H379</f>
        <v>31.604999999999997</v>
      </c>
      <c r="K379" s="74">
        <v>1311.48</v>
      </c>
      <c r="L379" s="67">
        <f>J379/K379</f>
        <v>0.02409872815445146</v>
      </c>
      <c r="M379" s="32">
        <f>+M374</f>
        <v>263.899</v>
      </c>
      <c r="N379" s="68">
        <f>L379*M379</f>
        <v>6.359630261231586</v>
      </c>
      <c r="O379" s="68">
        <f>L379*60*1000</f>
        <v>1445.9236892670874</v>
      </c>
      <c r="P379" s="69">
        <f>O379*M379/1000</f>
        <v>381.57781567389515</v>
      </c>
      <c r="R379" s="10"/>
      <c r="S379" s="10"/>
    </row>
    <row r="380" spans="1:19" s="9" customFormat="1" ht="12.75">
      <c r="A380" s="220"/>
      <c r="B380" s="66" t="s">
        <v>832</v>
      </c>
      <c r="C380" s="29">
        <v>20</v>
      </c>
      <c r="D380" s="29" t="s">
        <v>24</v>
      </c>
      <c r="E380" s="39">
        <v>30</v>
      </c>
      <c r="F380" s="39">
        <f>24.25*0.051</f>
        <v>1.23675</v>
      </c>
      <c r="G380" s="39">
        <f>20*0.16</f>
        <v>3.2</v>
      </c>
      <c r="H380" s="39">
        <f>+E380-F380-G380</f>
        <v>25.56325</v>
      </c>
      <c r="I380" s="290"/>
      <c r="J380" s="39">
        <f>+H380</f>
        <v>25.56325</v>
      </c>
      <c r="K380" s="74">
        <v>1058.4</v>
      </c>
      <c r="L380" s="67">
        <f>J380/K380</f>
        <v>0.024152730536659107</v>
      </c>
      <c r="M380" s="32">
        <v>340.2</v>
      </c>
      <c r="N380" s="68">
        <f>L380*M380</f>
        <v>8.216758928571428</v>
      </c>
      <c r="O380" s="68">
        <f>L380*60*1000</f>
        <v>1449.1638321995463</v>
      </c>
      <c r="P380" s="69">
        <f>O380*M380/1000</f>
        <v>493.0055357142856</v>
      </c>
      <c r="R380" s="10"/>
      <c r="S380" s="10"/>
    </row>
    <row r="381" spans="1:19" s="9" customFormat="1" ht="12.75">
      <c r="A381" s="220"/>
      <c r="B381" s="66" t="s">
        <v>833</v>
      </c>
      <c r="C381" s="29">
        <v>28</v>
      </c>
      <c r="D381" s="29" t="s">
        <v>24</v>
      </c>
      <c r="E381" s="39">
        <v>39.3</v>
      </c>
      <c r="F381" s="39">
        <f>35.25*0.051</f>
        <v>1.79775</v>
      </c>
      <c r="G381" s="39">
        <f>28*0.16</f>
        <v>4.48</v>
      </c>
      <c r="H381" s="39">
        <f>+E381-F381-G381</f>
        <v>33.02225</v>
      </c>
      <c r="I381" s="290"/>
      <c r="J381" s="39">
        <f>+H381</f>
        <v>33.02225</v>
      </c>
      <c r="K381" s="74">
        <v>1366.91</v>
      </c>
      <c r="L381" s="67">
        <f>J381/K381</f>
        <v>0.024158320591699527</v>
      </c>
      <c r="M381" s="32">
        <f>+M373</f>
        <v>204.4</v>
      </c>
      <c r="N381" s="68">
        <f>L381*M381</f>
        <v>4.937960728943383</v>
      </c>
      <c r="O381" s="68">
        <f>L381*60*1000</f>
        <v>1449.4992355019715</v>
      </c>
      <c r="P381" s="69">
        <f>O381*M381/1000</f>
        <v>296.27764373660295</v>
      </c>
      <c r="R381" s="10"/>
      <c r="S381" s="10"/>
    </row>
    <row r="382" spans="1:19" s="9" customFormat="1" ht="12.75">
      <c r="A382" s="220"/>
      <c r="B382" s="66" t="s">
        <v>676</v>
      </c>
      <c r="C382" s="29">
        <v>45</v>
      </c>
      <c r="D382" s="29" t="s">
        <v>24</v>
      </c>
      <c r="E382" s="39">
        <v>68.27</v>
      </c>
      <c r="F382" s="39">
        <v>4.74</v>
      </c>
      <c r="G382" s="39">
        <v>7.2</v>
      </c>
      <c r="H382" s="39">
        <v>56.33</v>
      </c>
      <c r="I382" s="74">
        <v>2323</v>
      </c>
      <c r="J382" s="39">
        <v>56.33</v>
      </c>
      <c r="K382" s="74">
        <v>2323</v>
      </c>
      <c r="L382" s="67">
        <f>J382/K382</f>
        <v>0.024248816185966422</v>
      </c>
      <c r="M382" s="32">
        <v>235.3</v>
      </c>
      <c r="N382" s="68">
        <f>L382*M382</f>
        <v>5.7057464485579</v>
      </c>
      <c r="O382" s="68">
        <f>L382*60*1000</f>
        <v>1454.9289711579854</v>
      </c>
      <c r="P382" s="69">
        <f>O382*M382/1000</f>
        <v>342.34478691347397</v>
      </c>
      <c r="R382" s="10"/>
      <c r="S382" s="10"/>
    </row>
    <row r="383" spans="1:16" s="9" customFormat="1" ht="12.75" customHeight="1">
      <c r="A383" s="220"/>
      <c r="B383" s="66" t="s">
        <v>886</v>
      </c>
      <c r="C383" s="29">
        <v>25</v>
      </c>
      <c r="D383" s="29" t="s">
        <v>158</v>
      </c>
      <c r="E383" s="39"/>
      <c r="F383" s="39">
        <v>1.668083</v>
      </c>
      <c r="G383" s="39">
        <v>4</v>
      </c>
      <c r="H383" s="39">
        <v>32.122452</v>
      </c>
      <c r="I383" s="74">
        <v>1322.87</v>
      </c>
      <c r="J383" s="39">
        <v>32.122452</v>
      </c>
      <c r="K383" s="74">
        <v>1322.87</v>
      </c>
      <c r="L383" s="67">
        <f>J383/K383</f>
        <v>0.024282395095512034</v>
      </c>
      <c r="M383" s="32">
        <v>283.618</v>
      </c>
      <c r="N383" s="68">
        <f>L383*M383</f>
        <v>6.886924332198932</v>
      </c>
      <c r="O383" s="68">
        <f>L383*60*1000</f>
        <v>1456.943705730722</v>
      </c>
      <c r="P383" s="69">
        <f>O383*M383/1000</f>
        <v>413.2154599319359</v>
      </c>
    </row>
    <row r="384" spans="1:25" s="9" customFormat="1" ht="12.75" customHeight="1">
      <c r="A384" s="220"/>
      <c r="B384" s="52" t="s">
        <v>771</v>
      </c>
      <c r="C384" s="25">
        <v>80</v>
      </c>
      <c r="D384" s="25" t="s">
        <v>24</v>
      </c>
      <c r="E384" s="37">
        <f>SUM(F384:H384)</f>
        <v>113.69999999999999</v>
      </c>
      <c r="F384" s="37">
        <v>5.5</v>
      </c>
      <c r="G384" s="37">
        <v>12.1</v>
      </c>
      <c r="H384" s="37">
        <v>96.1</v>
      </c>
      <c r="I384" s="36">
        <v>3898.3</v>
      </c>
      <c r="J384" s="37">
        <v>84</v>
      </c>
      <c r="K384" s="36">
        <v>3435.94</v>
      </c>
      <c r="L384" s="67">
        <f>J384/K384</f>
        <v>0.024447458337456415</v>
      </c>
      <c r="M384" s="32">
        <v>204.4</v>
      </c>
      <c r="N384" s="68">
        <f>L384*M384</f>
        <v>4.9970604841760915</v>
      </c>
      <c r="O384" s="68">
        <f>L384*60*1000</f>
        <v>1466.847500247385</v>
      </c>
      <c r="P384" s="69">
        <f>O384*M384/1000</f>
        <v>299.8236290505655</v>
      </c>
      <c r="Q384" s="10"/>
      <c r="R384" s="10"/>
      <c r="S384" s="10"/>
      <c r="T384" s="12"/>
      <c r="U384" s="13"/>
      <c r="V384" s="13"/>
      <c r="X384" s="16"/>
      <c r="Y384" s="16"/>
    </row>
    <row r="385" spans="1:19" s="9" customFormat="1" ht="12.75" customHeight="1">
      <c r="A385" s="220"/>
      <c r="B385" s="66" t="s">
        <v>733</v>
      </c>
      <c r="C385" s="29">
        <v>45</v>
      </c>
      <c r="D385" s="29">
        <v>1973</v>
      </c>
      <c r="E385" s="39">
        <v>59.045</v>
      </c>
      <c r="F385" s="39">
        <v>5.65</v>
      </c>
      <c r="G385" s="39">
        <v>7.2</v>
      </c>
      <c r="H385" s="39">
        <v>46.196</v>
      </c>
      <c r="I385" s="74">
        <v>1888.34</v>
      </c>
      <c r="J385" s="39">
        <f>H385</f>
        <v>46.196</v>
      </c>
      <c r="K385" s="74">
        <f>I385</f>
        <v>1888.34</v>
      </c>
      <c r="L385" s="67">
        <f>J385/K385</f>
        <v>0.024463814779118166</v>
      </c>
      <c r="M385" s="32">
        <v>206.88</v>
      </c>
      <c r="N385" s="68">
        <f>L385*M385</f>
        <v>5.061074001503966</v>
      </c>
      <c r="O385" s="68">
        <f>L385*60*1000</f>
        <v>1467.8288867470899</v>
      </c>
      <c r="P385" s="69">
        <f>O385*M385/1000</f>
        <v>303.6644400902379</v>
      </c>
      <c r="Q385" s="11"/>
      <c r="R385" s="10"/>
      <c r="S385" s="10"/>
    </row>
    <row r="386" spans="1:19" s="9" customFormat="1" ht="12.75">
      <c r="A386" s="220"/>
      <c r="B386" s="66" t="s">
        <v>850</v>
      </c>
      <c r="C386" s="29">
        <v>60</v>
      </c>
      <c r="D386" s="29">
        <v>1978</v>
      </c>
      <c r="E386" s="39">
        <v>90.5</v>
      </c>
      <c r="F386" s="39">
        <v>5.399</v>
      </c>
      <c r="G386" s="39">
        <v>9.6</v>
      </c>
      <c r="H386" s="39">
        <v>75.501</v>
      </c>
      <c r="I386" s="74">
        <v>3080</v>
      </c>
      <c r="J386" s="39">
        <v>75.501</v>
      </c>
      <c r="K386" s="74">
        <v>3080</v>
      </c>
      <c r="L386" s="67">
        <f>J386/K386</f>
        <v>0.02451331168831169</v>
      </c>
      <c r="M386" s="32">
        <v>254.2</v>
      </c>
      <c r="N386" s="68">
        <f>L386*M386</f>
        <v>6.231283831168831</v>
      </c>
      <c r="O386" s="68">
        <f>L386*60*1000</f>
        <v>1470.7987012987014</v>
      </c>
      <c r="P386" s="69">
        <f>O386*M386/1000</f>
        <v>373.8770298701299</v>
      </c>
      <c r="R386" s="10"/>
      <c r="S386" s="10"/>
    </row>
    <row r="387" spans="1:19" s="9" customFormat="1" ht="12.75">
      <c r="A387" s="220"/>
      <c r="B387" s="66" t="s">
        <v>734</v>
      </c>
      <c r="C387" s="29">
        <v>30</v>
      </c>
      <c r="D387" s="29">
        <v>1989</v>
      </c>
      <c r="E387" s="39">
        <v>47.46</v>
      </c>
      <c r="F387" s="39">
        <v>2.933</v>
      </c>
      <c r="G387" s="39">
        <v>4.8</v>
      </c>
      <c r="H387" s="39">
        <v>39.725</v>
      </c>
      <c r="I387" s="74">
        <v>1616.71</v>
      </c>
      <c r="J387" s="39">
        <f>H387</f>
        <v>39.725</v>
      </c>
      <c r="K387" s="74">
        <f>I387</f>
        <v>1616.71</v>
      </c>
      <c r="L387" s="67">
        <f>J387/K387</f>
        <v>0.024571506330758146</v>
      </c>
      <c r="M387" s="32">
        <v>206.88</v>
      </c>
      <c r="N387" s="68">
        <f>L387*M387</f>
        <v>5.083353229707245</v>
      </c>
      <c r="O387" s="68">
        <f>L387*60*1000</f>
        <v>1474.2903798454888</v>
      </c>
      <c r="P387" s="69">
        <f>O387*M387/1000</f>
        <v>305.00119378243477</v>
      </c>
      <c r="R387" s="10"/>
      <c r="S387" s="10"/>
    </row>
    <row r="388" spans="1:19" s="9" customFormat="1" ht="12.75" customHeight="1">
      <c r="A388" s="220"/>
      <c r="B388" s="52" t="s">
        <v>772</v>
      </c>
      <c r="C388" s="25">
        <v>36</v>
      </c>
      <c r="D388" s="25" t="s">
        <v>24</v>
      </c>
      <c r="E388" s="37">
        <f>SUM(F388:H388)</f>
        <v>64.9</v>
      </c>
      <c r="F388" s="37">
        <v>3.3</v>
      </c>
      <c r="G388" s="37">
        <v>5.6</v>
      </c>
      <c r="H388" s="37">
        <v>56</v>
      </c>
      <c r="I388" s="36">
        <v>2354.69</v>
      </c>
      <c r="J388" s="37">
        <v>50.9</v>
      </c>
      <c r="K388" s="36">
        <v>2070.59</v>
      </c>
      <c r="L388" s="67">
        <f>J388/K388</f>
        <v>0.024582365412756747</v>
      </c>
      <c r="M388" s="32">
        <v>204.4</v>
      </c>
      <c r="N388" s="68">
        <f>L388*M388</f>
        <v>5.024635490367479</v>
      </c>
      <c r="O388" s="68">
        <f>L388*60*1000</f>
        <v>1474.9419247654048</v>
      </c>
      <c r="P388" s="69">
        <f>O388*M388/1000</f>
        <v>301.47812942204877</v>
      </c>
      <c r="R388" s="10"/>
      <c r="S388" s="10"/>
    </row>
    <row r="389" spans="1:19" s="9" customFormat="1" ht="12.75">
      <c r="A389" s="220"/>
      <c r="B389" s="66" t="s">
        <v>432</v>
      </c>
      <c r="C389" s="29">
        <v>60</v>
      </c>
      <c r="D389" s="29">
        <v>1984</v>
      </c>
      <c r="E389" s="39">
        <v>74.748</v>
      </c>
      <c r="F389" s="39">
        <v>5.68</v>
      </c>
      <c r="G389" s="39">
        <v>9.6</v>
      </c>
      <c r="H389" s="39">
        <v>59.466</v>
      </c>
      <c r="I389" s="74">
        <v>2410.81</v>
      </c>
      <c r="J389" s="39">
        <f>H389</f>
        <v>59.466</v>
      </c>
      <c r="K389" s="74">
        <f>I389</f>
        <v>2410.81</v>
      </c>
      <c r="L389" s="67">
        <f>J389/K389</f>
        <v>0.02466639843040306</v>
      </c>
      <c r="M389" s="32">
        <v>206.88</v>
      </c>
      <c r="N389" s="68">
        <f>L389*M389</f>
        <v>5.102984507281785</v>
      </c>
      <c r="O389" s="68">
        <f>L389*60*1000</f>
        <v>1479.9839058241835</v>
      </c>
      <c r="P389" s="69">
        <f>O389*M389/1000</f>
        <v>306.17907043690707</v>
      </c>
      <c r="Q389" s="11"/>
      <c r="R389" s="10"/>
      <c r="S389" s="10"/>
    </row>
    <row r="390" spans="1:19" s="9" customFormat="1" ht="12.75">
      <c r="A390" s="220"/>
      <c r="B390" s="297" t="s">
        <v>440</v>
      </c>
      <c r="C390" s="298">
        <v>16</v>
      </c>
      <c r="D390" s="298">
        <v>1991</v>
      </c>
      <c r="E390" s="299">
        <v>30.599999999999998</v>
      </c>
      <c r="F390" s="299">
        <v>1.6</v>
      </c>
      <c r="G390" s="299">
        <v>2.6</v>
      </c>
      <c r="H390" s="299">
        <v>26.4</v>
      </c>
      <c r="I390" s="300">
        <v>1070.04</v>
      </c>
      <c r="J390" s="299">
        <v>26.4</v>
      </c>
      <c r="K390" s="300">
        <v>1070.04</v>
      </c>
      <c r="L390" s="301">
        <v>0.02467197487944376</v>
      </c>
      <c r="M390" s="302">
        <v>215.8</v>
      </c>
      <c r="N390" s="302">
        <v>5.324212178983964</v>
      </c>
      <c r="O390" s="302">
        <f>L390*60*1000</f>
        <v>1480.3184927666255</v>
      </c>
      <c r="P390" s="333">
        <v>319.4527307390378</v>
      </c>
      <c r="R390" s="10"/>
      <c r="S390" s="10"/>
    </row>
    <row r="391" spans="1:16" s="9" customFormat="1" ht="12.75" customHeight="1">
      <c r="A391" s="220"/>
      <c r="B391" s="66" t="s">
        <v>851</v>
      </c>
      <c r="C391" s="29">
        <v>4</v>
      </c>
      <c r="D391" s="29">
        <v>1930</v>
      </c>
      <c r="E391" s="39">
        <v>9.2</v>
      </c>
      <c r="F391" s="39">
        <v>0.165</v>
      </c>
      <c r="G391" s="39">
        <v>0.64</v>
      </c>
      <c r="H391" s="39">
        <v>8.395</v>
      </c>
      <c r="I391" s="74">
        <v>340</v>
      </c>
      <c r="J391" s="39">
        <v>8.395</v>
      </c>
      <c r="K391" s="74">
        <v>340</v>
      </c>
      <c r="L391" s="67">
        <f>J391/K391</f>
        <v>0.024691176470588234</v>
      </c>
      <c r="M391" s="32">
        <v>254.2</v>
      </c>
      <c r="N391" s="68">
        <f>L391*M391</f>
        <v>6.276497058823529</v>
      </c>
      <c r="O391" s="68">
        <f>L391*60*1000</f>
        <v>1481.4705882352941</v>
      </c>
      <c r="P391" s="69">
        <f>O391*M391/1000</f>
        <v>376.5898235294118</v>
      </c>
    </row>
    <row r="392" spans="1:19" s="9" customFormat="1" ht="12.75" customHeight="1">
      <c r="A392" s="220"/>
      <c r="B392" s="66" t="s">
        <v>735</v>
      </c>
      <c r="C392" s="29">
        <v>45</v>
      </c>
      <c r="D392" s="29">
        <v>1990</v>
      </c>
      <c r="E392" s="39">
        <v>70.517</v>
      </c>
      <c r="F392" s="39">
        <v>5.22</v>
      </c>
      <c r="G392" s="39">
        <v>7.2</v>
      </c>
      <c r="H392" s="39">
        <v>58.09</v>
      </c>
      <c r="I392" s="74">
        <v>2350.42</v>
      </c>
      <c r="J392" s="39">
        <f>H392</f>
        <v>58.09</v>
      </c>
      <c r="K392" s="74">
        <f>I392</f>
        <v>2350.42</v>
      </c>
      <c r="L392" s="67">
        <f>J392/K392</f>
        <v>0.024714731835161378</v>
      </c>
      <c r="M392" s="32">
        <v>206.88</v>
      </c>
      <c r="N392" s="68">
        <f>L392*M392</f>
        <v>5.1129837220581855</v>
      </c>
      <c r="O392" s="68">
        <f>L392*60*1000</f>
        <v>1482.8839101096826</v>
      </c>
      <c r="P392" s="69">
        <f>O392*M392/1000</f>
        <v>306.7790233234911</v>
      </c>
      <c r="Q392" s="11"/>
      <c r="R392" s="10"/>
      <c r="S392" s="10"/>
    </row>
    <row r="393" spans="1:19" s="9" customFormat="1" ht="12.75">
      <c r="A393" s="220"/>
      <c r="B393" s="66" t="s">
        <v>411</v>
      </c>
      <c r="C393" s="29">
        <v>45</v>
      </c>
      <c r="D393" s="29" t="s">
        <v>24</v>
      </c>
      <c r="E393" s="39">
        <v>68.14</v>
      </c>
      <c r="F393" s="39">
        <v>3.06</v>
      </c>
      <c r="G393" s="39">
        <v>7.2</v>
      </c>
      <c r="H393" s="39">
        <v>57.88</v>
      </c>
      <c r="I393" s="74">
        <v>2337</v>
      </c>
      <c r="J393" s="39">
        <v>57.88</v>
      </c>
      <c r="K393" s="74">
        <v>2337</v>
      </c>
      <c r="L393" s="67">
        <f>J393/K393</f>
        <v>0.024766795036371417</v>
      </c>
      <c r="M393" s="32">
        <v>235.3</v>
      </c>
      <c r="N393" s="68">
        <f>L393*M393</f>
        <v>5.827626872058195</v>
      </c>
      <c r="O393" s="68">
        <f>L393*60*1000</f>
        <v>1486.0077021822851</v>
      </c>
      <c r="P393" s="69">
        <f>O393*M393/1000</f>
        <v>349.6576123234917</v>
      </c>
      <c r="R393" s="10"/>
      <c r="S393" s="10"/>
    </row>
    <row r="394" spans="1:19" s="9" customFormat="1" ht="11.25" customHeight="1">
      <c r="A394" s="220"/>
      <c r="B394" s="52" t="s">
        <v>425</v>
      </c>
      <c r="C394" s="25">
        <v>20</v>
      </c>
      <c r="D394" s="25">
        <v>1994</v>
      </c>
      <c r="E394" s="37">
        <v>38.7</v>
      </c>
      <c r="F394" s="37">
        <v>8.02</v>
      </c>
      <c r="G394" s="37">
        <v>2.72</v>
      </c>
      <c r="H394" s="37">
        <v>27.96</v>
      </c>
      <c r="I394" s="36">
        <v>1127.46</v>
      </c>
      <c r="J394" s="37">
        <v>27.96</v>
      </c>
      <c r="K394" s="36">
        <v>1127.46</v>
      </c>
      <c r="L394" s="295">
        <f>J394/K394</f>
        <v>0.024799105954978445</v>
      </c>
      <c r="M394" s="296">
        <v>263.899</v>
      </c>
      <c r="N394" s="296">
        <f>L394*M394</f>
        <v>6.544459262412857</v>
      </c>
      <c r="O394" s="296">
        <f>L394*1000*60</f>
        <v>1487.9463572987065</v>
      </c>
      <c r="P394" s="332">
        <f>N394*60</f>
        <v>392.6675557447714</v>
      </c>
      <c r="R394" s="10"/>
      <c r="S394" s="10"/>
    </row>
    <row r="395" spans="1:19" s="9" customFormat="1" ht="12.75" customHeight="1">
      <c r="A395" s="220"/>
      <c r="B395" s="52" t="s">
        <v>773</v>
      </c>
      <c r="C395" s="25">
        <v>45</v>
      </c>
      <c r="D395" s="25" t="s">
        <v>24</v>
      </c>
      <c r="E395" s="37">
        <f>SUM(F395:H395)</f>
        <v>68.3</v>
      </c>
      <c r="F395" s="37">
        <v>2.9</v>
      </c>
      <c r="G395" s="37">
        <v>6.9</v>
      </c>
      <c r="H395" s="37">
        <v>58.5</v>
      </c>
      <c r="I395" s="36">
        <v>2356.23</v>
      </c>
      <c r="J395" s="37">
        <v>58.5</v>
      </c>
      <c r="K395" s="36">
        <v>2356.23</v>
      </c>
      <c r="L395" s="67">
        <f>J395/K395</f>
        <v>0.024827796946817585</v>
      </c>
      <c r="M395" s="32">
        <v>204.4</v>
      </c>
      <c r="N395" s="68">
        <f>L395*M395</f>
        <v>5.074801695929515</v>
      </c>
      <c r="O395" s="68">
        <f>L395*60*1000</f>
        <v>1489.6678168090552</v>
      </c>
      <c r="P395" s="69">
        <f>O395*M395/1000</f>
        <v>304.4881017557709</v>
      </c>
      <c r="R395" s="10"/>
      <c r="S395" s="10"/>
    </row>
    <row r="396" spans="1:19" s="9" customFormat="1" ht="12.75" customHeight="1">
      <c r="A396" s="220"/>
      <c r="B396" s="66" t="s">
        <v>744</v>
      </c>
      <c r="C396" s="29">
        <v>53</v>
      </c>
      <c r="D396" s="29">
        <v>1972</v>
      </c>
      <c r="E396" s="39">
        <v>76.3</v>
      </c>
      <c r="F396" s="39">
        <v>4.823</v>
      </c>
      <c r="G396" s="39">
        <v>8</v>
      </c>
      <c r="H396" s="39">
        <v>63.477</v>
      </c>
      <c r="I396" s="74">
        <v>2550.71</v>
      </c>
      <c r="J396" s="39">
        <v>63.5</v>
      </c>
      <c r="K396" s="74">
        <v>2550.7</v>
      </c>
      <c r="L396" s="67">
        <f>J396/K396</f>
        <v>0.02489512682792959</v>
      </c>
      <c r="M396" s="32">
        <v>220.9</v>
      </c>
      <c r="N396" s="68">
        <f>L396*M396</f>
        <v>5.499333516289647</v>
      </c>
      <c r="O396" s="68">
        <f>L396*60*1000</f>
        <v>1493.7076096757753</v>
      </c>
      <c r="P396" s="69">
        <f>O396*M396/1000</f>
        <v>329.9600109773788</v>
      </c>
      <c r="R396" s="10"/>
      <c r="S396" s="10"/>
    </row>
    <row r="397" spans="1:19" s="9" customFormat="1" ht="12.75" customHeight="1">
      <c r="A397" s="220"/>
      <c r="B397" s="52" t="s">
        <v>374</v>
      </c>
      <c r="C397" s="25">
        <v>26</v>
      </c>
      <c r="D397" s="25">
        <v>1978</v>
      </c>
      <c r="E397" s="37">
        <f>SUM(F397:H397)</f>
        <v>40.405</v>
      </c>
      <c r="F397" s="37">
        <v>3.4368</v>
      </c>
      <c r="G397" s="37">
        <v>3.785</v>
      </c>
      <c r="H397" s="37">
        <v>33.1832</v>
      </c>
      <c r="I397" s="36">
        <v>1331.23</v>
      </c>
      <c r="J397" s="37">
        <v>33.1832</v>
      </c>
      <c r="K397" s="36">
        <v>1331.23</v>
      </c>
      <c r="L397" s="295">
        <f>J397/K397</f>
        <v>0.02492672190380325</v>
      </c>
      <c r="M397" s="296">
        <v>284.9</v>
      </c>
      <c r="N397" s="296">
        <f>L397*M397*1.09</f>
        <v>7.740769146728965</v>
      </c>
      <c r="O397" s="296">
        <f>L397*60*1000</f>
        <v>1495.6033142281951</v>
      </c>
      <c r="P397" s="332">
        <f>N397*60</f>
        <v>464.4461488037379</v>
      </c>
      <c r="Q397" s="11"/>
      <c r="R397" s="10"/>
      <c r="S397" s="10"/>
    </row>
    <row r="398" spans="1:19" s="9" customFormat="1" ht="12.75" customHeight="1">
      <c r="A398" s="220"/>
      <c r="B398" s="52" t="s">
        <v>774</v>
      </c>
      <c r="C398" s="25">
        <v>20</v>
      </c>
      <c r="D398" s="25" t="s">
        <v>24</v>
      </c>
      <c r="E398" s="37">
        <f>SUM(F398:H398)</f>
        <v>30.4</v>
      </c>
      <c r="F398" s="208">
        <v>1.3</v>
      </c>
      <c r="G398" s="208">
        <v>3.1</v>
      </c>
      <c r="H398" s="208">
        <v>26</v>
      </c>
      <c r="I398" s="36">
        <v>1055.4</v>
      </c>
      <c r="J398" s="37">
        <v>26</v>
      </c>
      <c r="K398" s="36">
        <v>1041.58</v>
      </c>
      <c r="L398" s="67">
        <f>J398/K398</f>
        <v>0.02496207684479349</v>
      </c>
      <c r="M398" s="32">
        <v>204.4</v>
      </c>
      <c r="N398" s="68">
        <f>L398*M398</f>
        <v>5.102248507075789</v>
      </c>
      <c r="O398" s="68">
        <f>L398*60*1000</f>
        <v>1497.7246106876091</v>
      </c>
      <c r="P398" s="69">
        <f>O398*M398/1000</f>
        <v>306.13491042454734</v>
      </c>
      <c r="R398" s="45"/>
      <c r="S398" s="10"/>
    </row>
    <row r="399" spans="1:19" s="9" customFormat="1" ht="12.75" customHeight="1">
      <c r="A399" s="220"/>
      <c r="B399" s="66" t="s">
        <v>677</v>
      </c>
      <c r="C399" s="29">
        <v>55</v>
      </c>
      <c r="D399" s="29" t="s">
        <v>24</v>
      </c>
      <c r="E399" s="39">
        <v>76.75</v>
      </c>
      <c r="F399" s="39">
        <v>4.54</v>
      </c>
      <c r="G399" s="39">
        <v>8.8</v>
      </c>
      <c r="H399" s="39">
        <v>63.41</v>
      </c>
      <c r="I399" s="74">
        <v>2528</v>
      </c>
      <c r="J399" s="39">
        <v>63.41</v>
      </c>
      <c r="K399" s="74">
        <v>2528</v>
      </c>
      <c r="L399" s="67">
        <f>J399/K399</f>
        <v>0.025083069620253164</v>
      </c>
      <c r="M399" s="32">
        <v>235.3</v>
      </c>
      <c r="N399" s="68">
        <f>L399*M399</f>
        <v>5.902046281645569</v>
      </c>
      <c r="O399" s="68">
        <f>L399*60*1000</f>
        <v>1504.98417721519</v>
      </c>
      <c r="P399" s="69">
        <f>O399*M399/1000</f>
        <v>354.12277689873423</v>
      </c>
      <c r="R399" s="10"/>
      <c r="S399" s="10"/>
    </row>
    <row r="400" spans="1:19" s="9" customFormat="1" ht="12.75" customHeight="1">
      <c r="A400" s="220"/>
      <c r="B400" s="52" t="s">
        <v>775</v>
      </c>
      <c r="C400" s="25">
        <v>40</v>
      </c>
      <c r="D400" s="25" t="s">
        <v>24</v>
      </c>
      <c r="E400" s="37">
        <f>SUM(F400:H400)</f>
        <v>75.19999999999999</v>
      </c>
      <c r="F400" s="208">
        <v>5.8</v>
      </c>
      <c r="G400" s="208">
        <v>6.1</v>
      </c>
      <c r="H400" s="208">
        <v>63.3</v>
      </c>
      <c r="I400" s="36">
        <v>2512.91</v>
      </c>
      <c r="J400" s="37">
        <v>63.3</v>
      </c>
      <c r="K400" s="36">
        <v>2512.91</v>
      </c>
      <c r="L400" s="67">
        <f>J400/K400</f>
        <v>0.025189919256957075</v>
      </c>
      <c r="M400" s="32">
        <v>204.4</v>
      </c>
      <c r="N400" s="68">
        <f>L400*M400</f>
        <v>5.148819496122027</v>
      </c>
      <c r="O400" s="68">
        <f>L400*60*1000</f>
        <v>1511.3951554174246</v>
      </c>
      <c r="P400" s="69">
        <f>O400*M400/1000</f>
        <v>308.92916976732164</v>
      </c>
      <c r="Q400" s="11"/>
      <c r="R400" s="10"/>
      <c r="S400" s="10"/>
    </row>
    <row r="401" spans="1:19" s="9" customFormat="1" ht="12.75" customHeight="1">
      <c r="A401" s="220"/>
      <c r="B401" s="52" t="s">
        <v>376</v>
      </c>
      <c r="C401" s="25">
        <v>13</v>
      </c>
      <c r="D401" s="25">
        <v>1981</v>
      </c>
      <c r="E401" s="37">
        <f>SUM(F401:H401)</f>
        <v>22.289999</v>
      </c>
      <c r="F401" s="37">
        <v>1.9869</v>
      </c>
      <c r="G401" s="37">
        <v>1.92</v>
      </c>
      <c r="H401" s="37">
        <v>18.383099</v>
      </c>
      <c r="I401" s="36">
        <v>729.29</v>
      </c>
      <c r="J401" s="37">
        <v>18.383099</v>
      </c>
      <c r="K401" s="36">
        <v>729.29</v>
      </c>
      <c r="L401" s="295">
        <f>J401/K401</f>
        <v>0.025206843642446766</v>
      </c>
      <c r="M401" s="296">
        <v>284.9</v>
      </c>
      <c r="N401" s="296">
        <f>L401*M401*1.09</f>
        <v>7.827758431569061</v>
      </c>
      <c r="O401" s="296">
        <f>L401*60*1000</f>
        <v>1512.410618546806</v>
      </c>
      <c r="P401" s="332">
        <f>N401*60</f>
        <v>469.6655058941436</v>
      </c>
      <c r="R401" s="10"/>
      <c r="S401" s="10"/>
    </row>
    <row r="402" spans="1:19" s="9" customFormat="1" ht="13.5" customHeight="1">
      <c r="A402" s="220"/>
      <c r="B402" s="66" t="s">
        <v>503</v>
      </c>
      <c r="C402" s="29">
        <v>30</v>
      </c>
      <c r="D402" s="29">
        <v>1988</v>
      </c>
      <c r="E402" s="39">
        <v>59.32</v>
      </c>
      <c r="F402" s="39">
        <v>5.53784</v>
      </c>
      <c r="G402" s="39">
        <v>4.2</v>
      </c>
      <c r="H402" s="39">
        <f>E402-F402-G402</f>
        <v>49.582159999999995</v>
      </c>
      <c r="I402" s="74">
        <v>1963.3</v>
      </c>
      <c r="J402" s="39">
        <f>H402</f>
        <v>49.582159999999995</v>
      </c>
      <c r="K402" s="74">
        <f>I402</f>
        <v>1963.3</v>
      </c>
      <c r="L402" s="67">
        <f>J402/K402</f>
        <v>0.025254500076401974</v>
      </c>
      <c r="M402" s="32">
        <v>279.476</v>
      </c>
      <c r="N402" s="68">
        <f>L402*M402</f>
        <v>7.058026663352518</v>
      </c>
      <c r="O402" s="68">
        <f>L402*60*1000</f>
        <v>1515.2700045841186</v>
      </c>
      <c r="P402" s="69">
        <f>O402*M402/1000</f>
        <v>423.48159980115116</v>
      </c>
      <c r="R402" s="10"/>
      <c r="S402" s="10"/>
    </row>
    <row r="403" spans="1:19" s="9" customFormat="1" ht="13.5" customHeight="1">
      <c r="A403" s="220"/>
      <c r="B403" s="297" t="s">
        <v>442</v>
      </c>
      <c r="C403" s="298">
        <v>20</v>
      </c>
      <c r="D403" s="298">
        <v>1997</v>
      </c>
      <c r="E403" s="299">
        <v>34.6</v>
      </c>
      <c r="F403" s="299">
        <v>1.4</v>
      </c>
      <c r="G403" s="299">
        <v>3.2</v>
      </c>
      <c r="H403" s="299">
        <v>30</v>
      </c>
      <c r="I403" s="300">
        <v>1186.4</v>
      </c>
      <c r="J403" s="299">
        <v>30</v>
      </c>
      <c r="K403" s="300">
        <v>1186.4</v>
      </c>
      <c r="L403" s="301">
        <v>0.02528658125421443</v>
      </c>
      <c r="M403" s="302">
        <v>215.8</v>
      </c>
      <c r="N403" s="302">
        <v>5.456844234659474</v>
      </c>
      <c r="O403" s="302">
        <f>L403*60*1000</f>
        <v>1517.1948752528656</v>
      </c>
      <c r="P403" s="333">
        <v>327.4106540795685</v>
      </c>
      <c r="R403" s="10"/>
      <c r="S403" s="10"/>
    </row>
    <row r="404" spans="1:19" s="9" customFormat="1" ht="12.75" customHeight="1">
      <c r="A404" s="220"/>
      <c r="B404" s="66" t="s">
        <v>745</v>
      </c>
      <c r="C404" s="29">
        <v>41</v>
      </c>
      <c r="D404" s="29">
        <v>1992</v>
      </c>
      <c r="E404" s="39">
        <v>66</v>
      </c>
      <c r="F404" s="39">
        <v>3.611</v>
      </c>
      <c r="G404" s="39">
        <v>6.4</v>
      </c>
      <c r="H404" s="39">
        <v>55.989</v>
      </c>
      <c r="I404" s="74">
        <v>2207.76</v>
      </c>
      <c r="J404" s="39">
        <v>56</v>
      </c>
      <c r="K404" s="74">
        <v>2207.8</v>
      </c>
      <c r="L404" s="67">
        <f>J404/K404</f>
        <v>0.02536461636017755</v>
      </c>
      <c r="M404" s="32">
        <v>220.9</v>
      </c>
      <c r="N404" s="68">
        <f>L404*M404</f>
        <v>5.603043753963221</v>
      </c>
      <c r="O404" s="68">
        <f>L404*60*1000</f>
        <v>1521.876981610653</v>
      </c>
      <c r="P404" s="69">
        <f>O404*M404/1000</f>
        <v>336.1826252377933</v>
      </c>
      <c r="R404" s="10"/>
      <c r="S404" s="10"/>
    </row>
    <row r="405" spans="1:19" s="9" customFormat="1" ht="12.75">
      <c r="A405" s="220"/>
      <c r="B405" s="52" t="s">
        <v>375</v>
      </c>
      <c r="C405" s="25">
        <v>36</v>
      </c>
      <c r="D405" s="25">
        <v>1984</v>
      </c>
      <c r="E405" s="37">
        <f>SUM(F405:H405)</f>
        <v>62.600001</v>
      </c>
      <c r="F405" s="37">
        <v>3.240043</v>
      </c>
      <c r="G405" s="37">
        <v>5.76</v>
      </c>
      <c r="H405" s="37">
        <v>53.599958</v>
      </c>
      <c r="I405" s="36">
        <v>2108.99</v>
      </c>
      <c r="J405" s="37">
        <v>53.599958</v>
      </c>
      <c r="K405" s="36">
        <v>2108.99</v>
      </c>
      <c r="L405" s="295">
        <f>J405/K405</f>
        <v>0.0254149891654299</v>
      </c>
      <c r="M405" s="296">
        <v>284.9</v>
      </c>
      <c r="N405" s="296">
        <f>L405*M405*1.09</f>
        <v>7.892396150421767</v>
      </c>
      <c r="O405" s="296">
        <f>L405*60*1000</f>
        <v>1524.899349925794</v>
      </c>
      <c r="P405" s="332">
        <f>N405*60</f>
        <v>473.543769025306</v>
      </c>
      <c r="Q405" s="11"/>
      <c r="R405" s="10"/>
      <c r="S405" s="10"/>
    </row>
    <row r="406" spans="1:16" s="9" customFormat="1" ht="12.75" customHeight="1">
      <c r="A406" s="220"/>
      <c r="B406" s="52" t="s">
        <v>421</v>
      </c>
      <c r="C406" s="25">
        <v>50</v>
      </c>
      <c r="D406" s="25">
        <v>1988</v>
      </c>
      <c r="E406" s="37">
        <v>72.5</v>
      </c>
      <c r="F406" s="37">
        <v>3.899</v>
      </c>
      <c r="G406" s="37">
        <v>7.84</v>
      </c>
      <c r="H406" s="37">
        <v>60.761</v>
      </c>
      <c r="I406" s="36">
        <v>2389.81</v>
      </c>
      <c r="J406" s="37">
        <v>60.76</v>
      </c>
      <c r="K406" s="36">
        <v>2389.81</v>
      </c>
      <c r="L406" s="295">
        <f>J406/K406</f>
        <v>0.02542461534598985</v>
      </c>
      <c r="M406" s="296">
        <v>263.899</v>
      </c>
      <c r="N406" s="296">
        <f>L406*M406</f>
        <v>6.7095305651913755</v>
      </c>
      <c r="O406" s="296">
        <f>L406*1000*60</f>
        <v>1525.4769207593909</v>
      </c>
      <c r="P406" s="332">
        <f>N406*60</f>
        <v>402.57183391148254</v>
      </c>
    </row>
    <row r="407" spans="1:19" s="9" customFormat="1" ht="12.75">
      <c r="A407" s="220"/>
      <c r="B407" s="66" t="s">
        <v>890</v>
      </c>
      <c r="C407" s="29">
        <v>51</v>
      </c>
      <c r="D407" s="29" t="s">
        <v>158</v>
      </c>
      <c r="E407" s="39">
        <f>+F407+G407+H407</f>
        <v>75.379119</v>
      </c>
      <c r="F407" s="39">
        <v>2.90037</v>
      </c>
      <c r="G407" s="39">
        <v>5.39</v>
      </c>
      <c r="H407" s="39">
        <v>67.088749</v>
      </c>
      <c r="I407" s="74">
        <v>2632.17</v>
      </c>
      <c r="J407" s="39">
        <v>67.088749</v>
      </c>
      <c r="K407" s="74">
        <v>2632.17</v>
      </c>
      <c r="L407" s="67">
        <f>J407/K407</f>
        <v>0.025488000015196587</v>
      </c>
      <c r="M407" s="32">
        <v>283.618</v>
      </c>
      <c r="N407" s="68">
        <f>L407*M407</f>
        <v>7.228855588310026</v>
      </c>
      <c r="O407" s="68">
        <f>L407*60*1000</f>
        <v>1529.2800009117952</v>
      </c>
      <c r="P407" s="69">
        <f>O407*M407/1000</f>
        <v>433.73133529860155</v>
      </c>
      <c r="R407" s="10"/>
      <c r="S407" s="10"/>
    </row>
    <row r="408" spans="1:19" s="9" customFormat="1" ht="12.75">
      <c r="A408" s="220"/>
      <c r="B408" s="66" t="s">
        <v>891</v>
      </c>
      <c r="C408" s="29">
        <v>100</v>
      </c>
      <c r="D408" s="29" t="s">
        <v>158</v>
      </c>
      <c r="E408" s="39">
        <f>+F408+G408+H408</f>
        <v>131.640377</v>
      </c>
      <c r="F408" s="39">
        <v>6.674778</v>
      </c>
      <c r="G408" s="39">
        <v>11.897241</v>
      </c>
      <c r="H408" s="39">
        <v>113.068358</v>
      </c>
      <c r="I408" s="74">
        <v>4434.32</v>
      </c>
      <c r="J408" s="39">
        <v>113.068358</v>
      </c>
      <c r="K408" s="74">
        <v>4434.32</v>
      </c>
      <c r="L408" s="67">
        <f>J408/K408</f>
        <v>0.02549846605567483</v>
      </c>
      <c r="M408" s="32">
        <v>283.618</v>
      </c>
      <c r="N408" s="68">
        <f>L408*M408</f>
        <v>7.231823945778384</v>
      </c>
      <c r="O408" s="68">
        <f>L408*60*1000</f>
        <v>1529.9079633404897</v>
      </c>
      <c r="P408" s="69">
        <f>O408*M408/1000</f>
        <v>433.909436746703</v>
      </c>
      <c r="Q408" s="11"/>
      <c r="R408" s="10"/>
      <c r="S408" s="10"/>
    </row>
    <row r="409" spans="1:19" s="9" customFormat="1" ht="12.75">
      <c r="A409" s="220"/>
      <c r="B409" s="66" t="s">
        <v>746</v>
      </c>
      <c r="C409" s="29">
        <v>40</v>
      </c>
      <c r="D409" s="29"/>
      <c r="E409" s="39">
        <v>59.8</v>
      </c>
      <c r="F409" s="39">
        <v>4.381</v>
      </c>
      <c r="G409" s="39">
        <v>6.4</v>
      </c>
      <c r="H409" s="39">
        <v>49.019</v>
      </c>
      <c r="I409" s="74">
        <v>1916.2</v>
      </c>
      <c r="J409" s="39">
        <v>49</v>
      </c>
      <c r="K409" s="74">
        <v>1916.2</v>
      </c>
      <c r="L409" s="67">
        <f>J409/K409</f>
        <v>0.02557144348189124</v>
      </c>
      <c r="M409" s="32">
        <v>220.9</v>
      </c>
      <c r="N409" s="68">
        <f>L409*M409</f>
        <v>5.6487318651497755</v>
      </c>
      <c r="O409" s="68">
        <f>L409*60*1000</f>
        <v>1534.2866089134745</v>
      </c>
      <c r="P409" s="69">
        <f>O409*M409/1000</f>
        <v>338.9239119089865</v>
      </c>
      <c r="Q409" s="11"/>
      <c r="R409" s="10"/>
      <c r="S409" s="10"/>
    </row>
    <row r="410" spans="1:19" s="9" customFormat="1" ht="12.75">
      <c r="A410" s="220"/>
      <c r="B410" s="66" t="s">
        <v>892</v>
      </c>
      <c r="C410" s="29">
        <v>8</v>
      </c>
      <c r="D410" s="29" t="s">
        <v>158</v>
      </c>
      <c r="E410" s="39">
        <f>+F410+G410+H410</f>
        <v>10.48474</v>
      </c>
      <c r="F410" s="39">
        <v>0</v>
      </c>
      <c r="G410" s="39">
        <v>0</v>
      </c>
      <c r="H410" s="39">
        <v>10.48474</v>
      </c>
      <c r="I410" s="74">
        <v>409.6</v>
      </c>
      <c r="J410" s="39">
        <v>10.48474</v>
      </c>
      <c r="K410" s="74">
        <v>409.6</v>
      </c>
      <c r="L410" s="67">
        <f>J410/K410</f>
        <v>0.025597509765625</v>
      </c>
      <c r="M410" s="32">
        <v>283.618</v>
      </c>
      <c r="N410" s="68">
        <f>L410*M410</f>
        <v>7.259914524707031</v>
      </c>
      <c r="O410" s="68">
        <f>L410*60*1000</f>
        <v>1535.8505859374998</v>
      </c>
      <c r="P410" s="69">
        <f>O410*M410/1000</f>
        <v>435.5948714824218</v>
      </c>
      <c r="R410" s="10"/>
      <c r="S410" s="10"/>
    </row>
    <row r="411" spans="1:19" s="9" customFormat="1" ht="12.75">
      <c r="A411" s="220"/>
      <c r="B411" s="66" t="s">
        <v>747</v>
      </c>
      <c r="C411" s="29">
        <v>40</v>
      </c>
      <c r="D411" s="29">
        <v>1986</v>
      </c>
      <c r="E411" s="39">
        <v>69.4</v>
      </c>
      <c r="F411" s="39">
        <v>4.89</v>
      </c>
      <c r="G411" s="39">
        <v>6.4</v>
      </c>
      <c r="H411" s="39">
        <v>58.11</v>
      </c>
      <c r="I411" s="74">
        <v>2268.74</v>
      </c>
      <c r="J411" s="39">
        <v>58.1</v>
      </c>
      <c r="K411" s="74">
        <v>2268.7</v>
      </c>
      <c r="L411" s="67">
        <f>J411/K411</f>
        <v>0.02560937982104289</v>
      </c>
      <c r="M411" s="32">
        <v>220.9</v>
      </c>
      <c r="N411" s="68">
        <f>L411*M411</f>
        <v>5.6571120024683745</v>
      </c>
      <c r="O411" s="68">
        <f>L411*60*1000</f>
        <v>1536.5627892625735</v>
      </c>
      <c r="P411" s="69">
        <f>O411*M411/1000</f>
        <v>339.4267201481025</v>
      </c>
      <c r="R411" s="10"/>
      <c r="S411" s="10"/>
    </row>
    <row r="412" spans="1:19" s="9" customFormat="1" ht="12.75">
      <c r="A412" s="220"/>
      <c r="B412" s="66" t="s">
        <v>748</v>
      </c>
      <c r="C412" s="29">
        <v>51</v>
      </c>
      <c r="D412" s="29">
        <v>1971</v>
      </c>
      <c r="E412" s="39">
        <v>77.8</v>
      </c>
      <c r="F412" s="39">
        <v>3.939</v>
      </c>
      <c r="G412" s="39">
        <v>8</v>
      </c>
      <c r="H412" s="39">
        <v>65.861</v>
      </c>
      <c r="I412" s="74">
        <v>2570.91</v>
      </c>
      <c r="J412" s="39">
        <v>65.9</v>
      </c>
      <c r="K412" s="74">
        <v>2570.9</v>
      </c>
      <c r="L412" s="67">
        <f>J412/K412</f>
        <v>0.025633046792951884</v>
      </c>
      <c r="M412" s="32">
        <v>220.9</v>
      </c>
      <c r="N412" s="68">
        <f>L412*M412</f>
        <v>5.662340036563071</v>
      </c>
      <c r="O412" s="68">
        <f>L412*60*1000</f>
        <v>1537.9828075771131</v>
      </c>
      <c r="P412" s="69">
        <f>O412*M412/1000</f>
        <v>339.7404021937843</v>
      </c>
      <c r="Q412" s="11"/>
      <c r="R412" s="10"/>
      <c r="S412" s="10"/>
    </row>
    <row r="413" spans="1:19" s="9" customFormat="1" ht="12.75">
      <c r="A413" s="220"/>
      <c r="B413" s="303" t="s">
        <v>580</v>
      </c>
      <c r="C413" s="29">
        <v>65</v>
      </c>
      <c r="D413" s="29">
        <v>1989</v>
      </c>
      <c r="E413" s="39">
        <v>74.761</v>
      </c>
      <c r="F413" s="39">
        <v>4.146</v>
      </c>
      <c r="G413" s="39">
        <v>10.4</v>
      </c>
      <c r="H413" s="39">
        <v>60.215</v>
      </c>
      <c r="I413" s="74">
        <v>2347.78</v>
      </c>
      <c r="J413" s="39">
        <v>60.215</v>
      </c>
      <c r="K413" s="74">
        <v>2347.78</v>
      </c>
      <c r="L413" s="67">
        <f>J413/K413</f>
        <v>0.025647633083167927</v>
      </c>
      <c r="M413" s="32">
        <v>300</v>
      </c>
      <c r="N413" s="68">
        <f>L413*M413</f>
        <v>7.694289924950378</v>
      </c>
      <c r="O413" s="68">
        <f>L413*60*1000</f>
        <v>1538.8579849900757</v>
      </c>
      <c r="P413" s="69">
        <f>O413*M413/1000</f>
        <v>461.6573954970227</v>
      </c>
      <c r="R413" s="10"/>
      <c r="S413" s="10"/>
    </row>
    <row r="414" spans="1:16" s="9" customFormat="1" ht="12.75" customHeight="1">
      <c r="A414" s="220"/>
      <c r="B414" s="66" t="s">
        <v>749</v>
      </c>
      <c r="C414" s="29">
        <v>35</v>
      </c>
      <c r="D414" s="29"/>
      <c r="E414" s="39">
        <v>47</v>
      </c>
      <c r="F414" s="39">
        <v>2.649</v>
      </c>
      <c r="G414" s="39">
        <v>5.6</v>
      </c>
      <c r="H414" s="39">
        <v>38.751</v>
      </c>
      <c r="I414" s="74">
        <v>1510.71</v>
      </c>
      <c r="J414" s="39">
        <v>38.8</v>
      </c>
      <c r="K414" s="74">
        <v>1510.7</v>
      </c>
      <c r="L414" s="67">
        <f>J414/K414</f>
        <v>0.02568345799960283</v>
      </c>
      <c r="M414" s="32">
        <v>220.9</v>
      </c>
      <c r="N414" s="68">
        <f>L414*M414</f>
        <v>5.673475872112266</v>
      </c>
      <c r="O414" s="68">
        <f>L414*60*1000</f>
        <v>1541.0074799761699</v>
      </c>
      <c r="P414" s="69">
        <f>O414*M414/1000</f>
        <v>340.4085523267359</v>
      </c>
    </row>
    <row r="415" spans="1:19" s="9" customFormat="1" ht="12.75">
      <c r="A415" s="220"/>
      <c r="B415" s="66" t="s">
        <v>941</v>
      </c>
      <c r="C415" s="29">
        <v>27</v>
      </c>
      <c r="D415" s="29">
        <v>1974</v>
      </c>
      <c r="E415" s="39">
        <v>43</v>
      </c>
      <c r="F415" s="39">
        <v>2.244</v>
      </c>
      <c r="G415" s="39">
        <v>4.32</v>
      </c>
      <c r="H415" s="39">
        <v>36.44</v>
      </c>
      <c r="I415" s="74">
        <v>1417</v>
      </c>
      <c r="J415" s="39">
        <v>36.44</v>
      </c>
      <c r="K415" s="74">
        <v>1417</v>
      </c>
      <c r="L415" s="67">
        <f>J415/K415</f>
        <v>0.025716302046577273</v>
      </c>
      <c r="M415" s="32">
        <v>227.81</v>
      </c>
      <c r="N415" s="68">
        <f>L415*M415</f>
        <v>5.858430769230769</v>
      </c>
      <c r="O415" s="68">
        <f>L415*60*1000</f>
        <v>1542.9781227946364</v>
      </c>
      <c r="P415" s="69">
        <f>O415*M415/1000</f>
        <v>351.5058461538461</v>
      </c>
      <c r="R415" s="10"/>
      <c r="S415" s="10"/>
    </row>
    <row r="416" spans="1:19" s="9" customFormat="1" ht="12.75">
      <c r="A416" s="220"/>
      <c r="B416" s="66" t="s">
        <v>678</v>
      </c>
      <c r="C416" s="29">
        <v>45</v>
      </c>
      <c r="D416" s="29" t="s">
        <v>24</v>
      </c>
      <c r="E416" s="39">
        <v>71.52</v>
      </c>
      <c r="F416" s="39">
        <v>4.03</v>
      </c>
      <c r="G416" s="39">
        <v>7.2</v>
      </c>
      <c r="H416" s="39">
        <v>60.29</v>
      </c>
      <c r="I416" s="74">
        <v>2342</v>
      </c>
      <c r="J416" s="39">
        <v>60.29</v>
      </c>
      <c r="K416" s="74">
        <v>2342</v>
      </c>
      <c r="L416" s="67">
        <f>J416/K416</f>
        <v>0.025742954739538856</v>
      </c>
      <c r="M416" s="32">
        <v>235.3</v>
      </c>
      <c r="N416" s="68">
        <f>L416*M416</f>
        <v>6.057317250213493</v>
      </c>
      <c r="O416" s="68">
        <f>L416*60*1000</f>
        <v>1544.5772843723314</v>
      </c>
      <c r="P416" s="69">
        <f>O416*M416/1000</f>
        <v>363.4390350128096</v>
      </c>
      <c r="R416" s="10"/>
      <c r="S416" s="10"/>
    </row>
    <row r="417" spans="1:19" s="9" customFormat="1" ht="12.75">
      <c r="A417" s="220"/>
      <c r="B417" s="66" t="s">
        <v>750</v>
      </c>
      <c r="C417" s="29">
        <v>41</v>
      </c>
      <c r="D417" s="29">
        <v>1979</v>
      </c>
      <c r="E417" s="39">
        <v>67.2</v>
      </c>
      <c r="F417" s="39">
        <v>3.752</v>
      </c>
      <c r="G417" s="39">
        <v>6.25</v>
      </c>
      <c r="H417" s="39">
        <v>57.098</v>
      </c>
      <c r="I417" s="74">
        <v>2217.69</v>
      </c>
      <c r="J417" s="39">
        <v>57.1</v>
      </c>
      <c r="K417" s="74">
        <v>2217.7</v>
      </c>
      <c r="L417" s="67">
        <f>J417/K417</f>
        <v>0.0257473959507598</v>
      </c>
      <c r="M417" s="32">
        <v>220.9</v>
      </c>
      <c r="N417" s="68">
        <f>L417*M417</f>
        <v>5.68759976552284</v>
      </c>
      <c r="O417" s="68">
        <f>L417*60*1000</f>
        <v>1544.843757045588</v>
      </c>
      <c r="P417" s="69">
        <f>O417*M417/1000</f>
        <v>341.2559859313704</v>
      </c>
      <c r="R417" s="10"/>
      <c r="S417" s="10"/>
    </row>
    <row r="418" spans="1:19" s="9" customFormat="1" ht="12.75">
      <c r="A418" s="220"/>
      <c r="B418" s="66" t="s">
        <v>751</v>
      </c>
      <c r="C418" s="29">
        <v>8</v>
      </c>
      <c r="D418" s="29">
        <v>1963</v>
      </c>
      <c r="E418" s="39">
        <v>12.5</v>
      </c>
      <c r="F418" s="39">
        <v>0</v>
      </c>
      <c r="G418" s="39">
        <v>0</v>
      </c>
      <c r="H418" s="39">
        <v>12.5</v>
      </c>
      <c r="I418" s="74">
        <v>484.81</v>
      </c>
      <c r="J418" s="39">
        <v>12.5</v>
      </c>
      <c r="K418" s="74">
        <v>484.8</v>
      </c>
      <c r="L418" s="67">
        <f>J418/K418</f>
        <v>0.025783828382838284</v>
      </c>
      <c r="M418" s="32">
        <v>220.9</v>
      </c>
      <c r="N418" s="68">
        <f>L418*M418</f>
        <v>5.695647689768977</v>
      </c>
      <c r="O418" s="68">
        <f>L418*60*1000</f>
        <v>1547.029702970297</v>
      </c>
      <c r="P418" s="69">
        <f>O418*M418/1000</f>
        <v>341.7388613861386</v>
      </c>
      <c r="R418" s="10"/>
      <c r="S418" s="10"/>
    </row>
    <row r="419" spans="1:19" s="9" customFormat="1" ht="12.75">
      <c r="A419" s="220"/>
      <c r="B419" s="66" t="s">
        <v>893</v>
      </c>
      <c r="C419" s="29">
        <v>40</v>
      </c>
      <c r="D419" s="29" t="s">
        <v>158</v>
      </c>
      <c r="E419" s="39">
        <f>+F419+G419+H419</f>
        <v>67.581188</v>
      </c>
      <c r="F419" s="39">
        <v>2.83815</v>
      </c>
      <c r="G419" s="39">
        <v>6.1</v>
      </c>
      <c r="H419" s="39">
        <v>58.643038</v>
      </c>
      <c r="I419" s="74">
        <v>2273.83</v>
      </c>
      <c r="J419" s="39">
        <v>58.643038</v>
      </c>
      <c r="K419" s="74">
        <v>2273.83</v>
      </c>
      <c r="L419" s="67">
        <f>J419/K419</f>
        <v>0.025790423206660126</v>
      </c>
      <c r="M419" s="32">
        <v>283.618</v>
      </c>
      <c r="N419" s="68">
        <f>L419*M419</f>
        <v>7.314628249026532</v>
      </c>
      <c r="O419" s="68">
        <f>L419*60*1000</f>
        <v>1547.4253923996075</v>
      </c>
      <c r="P419" s="69">
        <f>O419*M419/1000</f>
        <v>438.87769494159187</v>
      </c>
      <c r="R419" s="10"/>
      <c r="S419" s="10"/>
    </row>
    <row r="420" spans="1:19" s="9" customFormat="1" ht="12.75">
      <c r="A420" s="220"/>
      <c r="B420" s="66" t="s">
        <v>752</v>
      </c>
      <c r="C420" s="29">
        <v>51</v>
      </c>
      <c r="D420" s="29">
        <v>1973</v>
      </c>
      <c r="E420" s="39">
        <v>79</v>
      </c>
      <c r="F420" s="39">
        <v>4.966</v>
      </c>
      <c r="G420" s="39">
        <v>8</v>
      </c>
      <c r="H420" s="39">
        <v>66.034</v>
      </c>
      <c r="I420" s="74">
        <v>2555.25</v>
      </c>
      <c r="J420" s="39">
        <v>66</v>
      </c>
      <c r="K420" s="74">
        <v>2555.3</v>
      </c>
      <c r="L420" s="67">
        <f>J420/K420</f>
        <v>0.025828669823504086</v>
      </c>
      <c r="M420" s="32">
        <v>220.9</v>
      </c>
      <c r="N420" s="68">
        <f>L420*M420</f>
        <v>5.705553164012053</v>
      </c>
      <c r="O420" s="68">
        <f>L420*60*1000</f>
        <v>1549.7201894102452</v>
      </c>
      <c r="P420" s="69">
        <f>O420*M420/1000</f>
        <v>342.33318984072315</v>
      </c>
      <c r="R420" s="10"/>
      <c r="S420" s="10"/>
    </row>
    <row r="421" spans="1:19" s="9" customFormat="1" ht="12.75">
      <c r="A421" s="220"/>
      <c r="B421" s="66" t="s">
        <v>894</v>
      </c>
      <c r="C421" s="29">
        <v>90</v>
      </c>
      <c r="D421" s="29" t="s">
        <v>158</v>
      </c>
      <c r="E421" s="39">
        <f>+F421+G421+H421</f>
        <v>133.044085</v>
      </c>
      <c r="F421" s="39">
        <v>6.452775</v>
      </c>
      <c r="G421" s="39">
        <v>9.23</v>
      </c>
      <c r="H421" s="39">
        <v>117.36131</v>
      </c>
      <c r="I421" s="74">
        <v>4539.65</v>
      </c>
      <c r="J421" s="39">
        <v>117.36131</v>
      </c>
      <c r="K421" s="74">
        <v>4539.65</v>
      </c>
      <c r="L421" s="67">
        <f>J421/K421</f>
        <v>0.025852501844855883</v>
      </c>
      <c r="M421" s="32">
        <v>283.618</v>
      </c>
      <c r="N421" s="68">
        <f>L421*M421</f>
        <v>7.332234868234336</v>
      </c>
      <c r="O421" s="68">
        <f>L421*60*1000</f>
        <v>1551.150110691353</v>
      </c>
      <c r="P421" s="69">
        <f>O421*M421/1000</f>
        <v>439.9340920940601</v>
      </c>
      <c r="Q421" s="11"/>
      <c r="R421" s="10"/>
      <c r="S421" s="10"/>
    </row>
    <row r="422" spans="1:19" s="9" customFormat="1" ht="12.75">
      <c r="A422" s="220"/>
      <c r="B422" s="66" t="s">
        <v>895</v>
      </c>
      <c r="C422" s="29">
        <v>41</v>
      </c>
      <c r="D422" s="29" t="s">
        <v>158</v>
      </c>
      <c r="E422" s="39">
        <f>+F422+G422+H422</f>
        <v>67.499896</v>
      </c>
      <c r="F422" s="39">
        <v>2.918475</v>
      </c>
      <c r="G422" s="39">
        <v>6.32</v>
      </c>
      <c r="H422" s="39">
        <v>58.261421</v>
      </c>
      <c r="I422" s="74">
        <v>2247.74</v>
      </c>
      <c r="J422" s="39">
        <v>58.261421</v>
      </c>
      <c r="K422" s="74">
        <v>2247.74</v>
      </c>
      <c r="L422" s="67">
        <f>J422/K422</f>
        <v>0.025920000088978264</v>
      </c>
      <c r="M422" s="32">
        <v>283.618</v>
      </c>
      <c r="N422" s="68">
        <f>L422*M422</f>
        <v>7.351378585235837</v>
      </c>
      <c r="O422" s="68">
        <f>L422*60*1000</f>
        <v>1555.2000053386957</v>
      </c>
      <c r="P422" s="69">
        <f>O422*M422/1000</f>
        <v>441.0827151141502</v>
      </c>
      <c r="Q422" s="11"/>
      <c r="R422" s="10"/>
      <c r="S422" s="10"/>
    </row>
    <row r="423" spans="1:19" s="9" customFormat="1" ht="12.75">
      <c r="A423" s="220"/>
      <c r="B423" s="52" t="s">
        <v>242</v>
      </c>
      <c r="C423" s="25">
        <v>30</v>
      </c>
      <c r="D423" s="25">
        <v>1985</v>
      </c>
      <c r="E423" s="37">
        <v>48.9</v>
      </c>
      <c r="F423" s="37">
        <v>3.45</v>
      </c>
      <c r="G423" s="37">
        <v>4.8</v>
      </c>
      <c r="H423" s="37">
        <v>40.65</v>
      </c>
      <c r="I423" s="36">
        <v>1566.56</v>
      </c>
      <c r="J423" s="37">
        <v>40.65</v>
      </c>
      <c r="K423" s="36">
        <v>1566.56</v>
      </c>
      <c r="L423" s="295">
        <f>J423/K423</f>
        <v>0.025948575222142785</v>
      </c>
      <c r="M423" s="296">
        <v>263.899</v>
      </c>
      <c r="N423" s="296">
        <f>L423*M423</f>
        <v>6.847803052548259</v>
      </c>
      <c r="O423" s="296">
        <f>L423*1000*60</f>
        <v>1556.9145133285672</v>
      </c>
      <c r="P423" s="332">
        <f>N423*60</f>
        <v>410.86818315289554</v>
      </c>
      <c r="R423" s="10"/>
      <c r="S423" s="10"/>
    </row>
    <row r="424" spans="1:19" s="9" customFormat="1" ht="12.75" customHeight="1">
      <c r="A424" s="220"/>
      <c r="B424" s="66" t="s">
        <v>753</v>
      </c>
      <c r="C424" s="29">
        <v>36</v>
      </c>
      <c r="D424" s="29">
        <v>1969</v>
      </c>
      <c r="E424" s="39">
        <v>48</v>
      </c>
      <c r="F424" s="39">
        <v>3.108</v>
      </c>
      <c r="G424" s="39">
        <v>5.6</v>
      </c>
      <c r="H424" s="39">
        <v>39.292</v>
      </c>
      <c r="I424" s="74">
        <v>1512.63</v>
      </c>
      <c r="J424" s="39">
        <v>39.3</v>
      </c>
      <c r="K424" s="74">
        <v>1512.6</v>
      </c>
      <c r="L424" s="67">
        <f>J424/K424</f>
        <v>0.02598175327251091</v>
      </c>
      <c r="M424" s="32">
        <v>220.9</v>
      </c>
      <c r="N424" s="68">
        <f>L424*M424</f>
        <v>5.73936929789766</v>
      </c>
      <c r="O424" s="68">
        <f>L424*60*1000</f>
        <v>1558.9051963506547</v>
      </c>
      <c r="P424" s="69">
        <f>O424*M424/1000</f>
        <v>344.36215787385964</v>
      </c>
      <c r="R424" s="10"/>
      <c r="S424" s="10"/>
    </row>
    <row r="425" spans="1:19" s="9" customFormat="1" ht="12.75">
      <c r="A425" s="220"/>
      <c r="B425" s="297" t="s">
        <v>444</v>
      </c>
      <c r="C425" s="298">
        <v>35</v>
      </c>
      <c r="D425" s="298">
        <v>1993</v>
      </c>
      <c r="E425" s="299">
        <v>69.1</v>
      </c>
      <c r="F425" s="299">
        <v>4.3</v>
      </c>
      <c r="G425" s="299">
        <v>5.6</v>
      </c>
      <c r="H425" s="299">
        <v>59.2</v>
      </c>
      <c r="I425" s="300">
        <v>2275.2</v>
      </c>
      <c r="J425" s="299">
        <v>59.2</v>
      </c>
      <c r="K425" s="300">
        <v>2275.2</v>
      </c>
      <c r="L425" s="301">
        <v>0.026019690576652606</v>
      </c>
      <c r="M425" s="302">
        <v>215.8</v>
      </c>
      <c r="N425" s="302">
        <v>5.6150492264416325</v>
      </c>
      <c r="O425" s="302">
        <f>L425*60*1000</f>
        <v>1561.1814345991563</v>
      </c>
      <c r="P425" s="333">
        <v>336.902953586498</v>
      </c>
      <c r="R425" s="10"/>
      <c r="S425" s="10"/>
    </row>
    <row r="426" spans="1:19" s="9" customFormat="1" ht="12.75">
      <c r="A426" s="220"/>
      <c r="B426" s="52" t="s">
        <v>422</v>
      </c>
      <c r="C426" s="25">
        <v>60</v>
      </c>
      <c r="D426" s="25">
        <v>1981</v>
      </c>
      <c r="E426" s="37">
        <v>96.4</v>
      </c>
      <c r="F426" s="37">
        <v>5.01</v>
      </c>
      <c r="G426" s="37">
        <v>9.6</v>
      </c>
      <c r="H426" s="37">
        <v>81.79</v>
      </c>
      <c r="I426" s="36">
        <v>3123.05</v>
      </c>
      <c r="J426" s="37">
        <v>81.79</v>
      </c>
      <c r="K426" s="36">
        <v>3123.05</v>
      </c>
      <c r="L426" s="295">
        <f>J426/K426</f>
        <v>0.026189142024623364</v>
      </c>
      <c r="M426" s="296">
        <v>263.899</v>
      </c>
      <c r="N426" s="296">
        <f>L426*M426</f>
        <v>6.911288391156082</v>
      </c>
      <c r="O426" s="296">
        <f>L426*1000*60</f>
        <v>1571.3485214774018</v>
      </c>
      <c r="P426" s="332">
        <f>N426*60</f>
        <v>414.6773034693649</v>
      </c>
      <c r="R426" s="10"/>
      <c r="S426" s="10"/>
    </row>
    <row r="427" spans="1:19" s="9" customFormat="1" ht="12.75">
      <c r="A427" s="220"/>
      <c r="B427" s="66" t="s">
        <v>679</v>
      </c>
      <c r="C427" s="29">
        <v>30</v>
      </c>
      <c r="D427" s="29" t="s">
        <v>24</v>
      </c>
      <c r="E427" s="39">
        <v>47.52</v>
      </c>
      <c r="F427" s="39">
        <v>2.91</v>
      </c>
      <c r="G427" s="39">
        <v>4.8</v>
      </c>
      <c r="H427" s="39">
        <v>39.81</v>
      </c>
      <c r="I427" s="74">
        <v>1509</v>
      </c>
      <c r="J427" s="39">
        <v>39.81</v>
      </c>
      <c r="K427" s="74">
        <v>1509</v>
      </c>
      <c r="L427" s="67">
        <f>J427/K427</f>
        <v>0.0263817097415507</v>
      </c>
      <c r="M427" s="32">
        <v>235.3</v>
      </c>
      <c r="N427" s="68">
        <f>L427*M427</f>
        <v>6.20761630218688</v>
      </c>
      <c r="O427" s="68">
        <f>L427*60*1000</f>
        <v>1582.902584493042</v>
      </c>
      <c r="P427" s="69">
        <f>O427*M427/1000</f>
        <v>372.4569781312128</v>
      </c>
      <c r="R427" s="10"/>
      <c r="S427" s="10"/>
    </row>
    <row r="428" spans="1:19" s="9" customFormat="1" ht="12.75">
      <c r="A428" s="220"/>
      <c r="B428" s="66" t="s">
        <v>504</v>
      </c>
      <c r="C428" s="29">
        <v>30</v>
      </c>
      <c r="D428" s="29">
        <v>1992</v>
      </c>
      <c r="E428" s="39">
        <v>61.3</v>
      </c>
      <c r="F428" s="39">
        <v>5.83535</v>
      </c>
      <c r="G428" s="39">
        <v>3</v>
      </c>
      <c r="H428" s="39">
        <f>E428-F428-G428</f>
        <v>52.46465</v>
      </c>
      <c r="I428" s="74">
        <v>1984.89</v>
      </c>
      <c r="J428" s="39">
        <f>H428</f>
        <v>52.46465</v>
      </c>
      <c r="K428" s="74">
        <f>I428</f>
        <v>1984.89</v>
      </c>
      <c r="L428" s="67">
        <f>J428/K428</f>
        <v>0.026432018902810734</v>
      </c>
      <c r="M428" s="32">
        <v>279.476</v>
      </c>
      <c r="N428" s="68">
        <f>L428*M428</f>
        <v>7.387114914881932</v>
      </c>
      <c r="O428" s="68">
        <f>L428*60*1000</f>
        <v>1585.9211341686441</v>
      </c>
      <c r="P428" s="69">
        <f>O428*M428/1000</f>
        <v>443.226894892916</v>
      </c>
      <c r="R428" s="10"/>
      <c r="S428" s="10"/>
    </row>
    <row r="429" spans="1:19" s="9" customFormat="1" ht="12.75">
      <c r="A429" s="220"/>
      <c r="B429" s="52" t="s">
        <v>776</v>
      </c>
      <c r="C429" s="25">
        <v>45</v>
      </c>
      <c r="D429" s="25" t="s">
        <v>24</v>
      </c>
      <c r="E429" s="37">
        <f>SUM(F429:H429)</f>
        <v>72.4</v>
      </c>
      <c r="F429" s="37">
        <v>3.7</v>
      </c>
      <c r="G429" s="37">
        <v>6.9</v>
      </c>
      <c r="H429" s="37">
        <v>61.8</v>
      </c>
      <c r="I429" s="36">
        <v>2336.24</v>
      </c>
      <c r="J429" s="37">
        <v>61.8</v>
      </c>
      <c r="K429" s="36">
        <v>2336.24</v>
      </c>
      <c r="L429" s="67">
        <f>J429/K429</f>
        <v>0.026452761702564807</v>
      </c>
      <c r="M429" s="32">
        <v>204.4</v>
      </c>
      <c r="N429" s="68">
        <f>L429*M429</f>
        <v>5.406944492004246</v>
      </c>
      <c r="O429" s="68">
        <f>L429*60*1000</f>
        <v>1587.1657021538883</v>
      </c>
      <c r="P429" s="69">
        <f>O429*M429/1000</f>
        <v>324.41666952025474</v>
      </c>
      <c r="R429" s="10"/>
      <c r="S429" s="10"/>
    </row>
    <row r="430" spans="1:19" s="9" customFormat="1" ht="12.75">
      <c r="A430" s="220"/>
      <c r="B430" s="52" t="s">
        <v>423</v>
      </c>
      <c r="C430" s="25">
        <v>30</v>
      </c>
      <c r="D430" s="25">
        <v>1992</v>
      </c>
      <c r="E430" s="37">
        <v>48.8</v>
      </c>
      <c r="F430" s="37">
        <v>2.23</v>
      </c>
      <c r="G430" s="37">
        <v>4.8</v>
      </c>
      <c r="H430" s="37">
        <v>41.77</v>
      </c>
      <c r="I430" s="36">
        <v>1576.72</v>
      </c>
      <c r="J430" s="37">
        <v>41.77</v>
      </c>
      <c r="K430" s="36">
        <v>1576.72</v>
      </c>
      <c r="L430" s="295">
        <f>J430/K430</f>
        <v>0.026491704297529048</v>
      </c>
      <c r="M430" s="296">
        <v>263.899</v>
      </c>
      <c r="N430" s="296">
        <f>L430*M430</f>
        <v>6.9911342724136185</v>
      </c>
      <c r="O430" s="296">
        <f>L430*1000*60</f>
        <v>1589.5022578517428</v>
      </c>
      <c r="P430" s="332">
        <f>N430*60</f>
        <v>419.4680563448171</v>
      </c>
      <c r="R430" s="10"/>
      <c r="S430" s="10"/>
    </row>
    <row r="431" spans="1:19" s="9" customFormat="1" ht="12.75" customHeight="1">
      <c r="A431" s="220"/>
      <c r="B431" s="52" t="s">
        <v>94</v>
      </c>
      <c r="C431" s="25">
        <v>41</v>
      </c>
      <c r="D431" s="25">
        <v>1987</v>
      </c>
      <c r="E431" s="37">
        <v>72.86</v>
      </c>
      <c r="F431" s="37">
        <v>5.29</v>
      </c>
      <c r="G431" s="37">
        <v>6.08</v>
      </c>
      <c r="H431" s="37">
        <f>E431-F431-G431</f>
        <v>61.489999999999995</v>
      </c>
      <c r="I431" s="36">
        <v>2315.8</v>
      </c>
      <c r="J431" s="37">
        <f>H431/I431*K431</f>
        <v>43.837978236462554</v>
      </c>
      <c r="K431" s="25">
        <v>1651</v>
      </c>
      <c r="L431" s="295">
        <f>J431/K431</f>
        <v>0.02655237930736678</v>
      </c>
      <c r="M431" s="296">
        <v>323.29400000000004</v>
      </c>
      <c r="N431" s="296">
        <f>L431*M431</f>
        <v>8.584224915795836</v>
      </c>
      <c r="O431" s="296">
        <f>L431*60*1000</f>
        <v>1593.1427584420069</v>
      </c>
      <c r="P431" s="332">
        <f>O431*M431/1000</f>
        <v>515.0534949477502</v>
      </c>
      <c r="R431" s="10"/>
      <c r="S431" s="10"/>
    </row>
    <row r="432" spans="1:19" s="9" customFormat="1" ht="12.75" customHeight="1">
      <c r="A432" s="220"/>
      <c r="B432" s="52" t="s">
        <v>380</v>
      </c>
      <c r="C432" s="25">
        <v>22</v>
      </c>
      <c r="D432" s="25">
        <v>1974</v>
      </c>
      <c r="E432" s="37">
        <f>SUM(F432:H432)</f>
        <v>32.467</v>
      </c>
      <c r="F432" s="37">
        <v>0.9666</v>
      </c>
      <c r="G432" s="37">
        <v>3.1984</v>
      </c>
      <c r="H432" s="37">
        <v>28.302</v>
      </c>
      <c r="I432" s="36">
        <v>1064.69</v>
      </c>
      <c r="J432" s="37">
        <v>28.302</v>
      </c>
      <c r="K432" s="36">
        <v>1064.69</v>
      </c>
      <c r="L432" s="295">
        <f>J432/K432</f>
        <v>0.026582385483098363</v>
      </c>
      <c r="M432" s="296">
        <v>284.9</v>
      </c>
      <c r="N432" s="296">
        <f>L432*M432*1.09</f>
        <v>8.25492057030685</v>
      </c>
      <c r="O432" s="296">
        <f>L432*60*1000</f>
        <v>1594.9431289859017</v>
      </c>
      <c r="P432" s="332">
        <f>N432*60</f>
        <v>495.29523421841094</v>
      </c>
      <c r="R432" s="10"/>
      <c r="S432" s="10"/>
    </row>
    <row r="433" spans="1:19" s="9" customFormat="1" ht="12.75" customHeight="1">
      <c r="A433" s="220"/>
      <c r="B433" s="66" t="s">
        <v>942</v>
      </c>
      <c r="C433" s="29">
        <v>13</v>
      </c>
      <c r="D433" s="29">
        <v>2000</v>
      </c>
      <c r="E433" s="39">
        <v>20.8</v>
      </c>
      <c r="F433" s="39">
        <v>0.918</v>
      </c>
      <c r="G433" s="39">
        <v>2.1</v>
      </c>
      <c r="H433" s="39">
        <v>17.78</v>
      </c>
      <c r="I433" s="74">
        <v>666</v>
      </c>
      <c r="J433" s="39">
        <v>17.78</v>
      </c>
      <c r="K433" s="74">
        <v>666</v>
      </c>
      <c r="L433" s="67">
        <f>J433/K433</f>
        <v>0.0266966966966967</v>
      </c>
      <c r="M433" s="32">
        <v>227.81</v>
      </c>
      <c r="N433" s="68">
        <f>L433*M433</f>
        <v>6.081774474474475</v>
      </c>
      <c r="O433" s="68">
        <f>L433*60*1000</f>
        <v>1601.801801801802</v>
      </c>
      <c r="P433" s="69">
        <f>O433*M433/1000</f>
        <v>364.9064684684685</v>
      </c>
      <c r="R433" s="10"/>
      <c r="S433" s="10"/>
    </row>
    <row r="434" spans="1:19" s="9" customFormat="1" ht="12.75" customHeight="1">
      <c r="A434" s="220"/>
      <c r="B434" s="66" t="s">
        <v>620</v>
      </c>
      <c r="C434" s="29">
        <v>28</v>
      </c>
      <c r="D434" s="29">
        <v>1963</v>
      </c>
      <c r="E434" s="39">
        <v>35.871001</v>
      </c>
      <c r="F434" s="39">
        <v>3.162</v>
      </c>
      <c r="G434" s="39">
        <v>0</v>
      </c>
      <c r="H434" s="39">
        <v>32.709001</v>
      </c>
      <c r="I434" s="74">
        <v>1271.69</v>
      </c>
      <c r="J434" s="39">
        <v>19.602394</v>
      </c>
      <c r="K434" s="74">
        <v>731.26</v>
      </c>
      <c r="L434" s="67">
        <f>J434/K434</f>
        <v>0.026806326067335833</v>
      </c>
      <c r="M434" s="32">
        <v>254</v>
      </c>
      <c r="N434" s="68">
        <f>L434*M434</f>
        <v>6.8088068211033015</v>
      </c>
      <c r="O434" s="68">
        <f>L434*60*1000</f>
        <v>1608.37956404015</v>
      </c>
      <c r="P434" s="69">
        <f>O434*M434/1000</f>
        <v>408.52840926619814</v>
      </c>
      <c r="Q434" s="11"/>
      <c r="R434" s="10"/>
      <c r="S434" s="10"/>
    </row>
    <row r="435" spans="1:19" s="9" customFormat="1" ht="12.75" customHeight="1">
      <c r="A435" s="220"/>
      <c r="B435" s="66" t="s">
        <v>852</v>
      </c>
      <c r="C435" s="29">
        <v>48</v>
      </c>
      <c r="D435" s="29">
        <v>1965</v>
      </c>
      <c r="E435" s="39">
        <v>62.844</v>
      </c>
      <c r="F435" s="39">
        <v>4.187</v>
      </c>
      <c r="G435" s="39">
        <v>7.52</v>
      </c>
      <c r="H435" s="39">
        <v>51.137</v>
      </c>
      <c r="I435" s="74">
        <v>1901</v>
      </c>
      <c r="J435" s="39">
        <v>51.137</v>
      </c>
      <c r="K435" s="74">
        <v>1901</v>
      </c>
      <c r="L435" s="67">
        <f>J435/K435</f>
        <v>0.02690005260389269</v>
      </c>
      <c r="M435" s="32">
        <v>254.2</v>
      </c>
      <c r="N435" s="68">
        <f>L435*M435</f>
        <v>6.837993371909522</v>
      </c>
      <c r="O435" s="68">
        <f>L435*60*1000</f>
        <v>1614.0031562335614</v>
      </c>
      <c r="P435" s="69">
        <f>O435*M435/1000</f>
        <v>410.27960231457126</v>
      </c>
      <c r="R435" s="10"/>
      <c r="S435" s="10"/>
    </row>
    <row r="436" spans="1:19" s="9" customFormat="1" ht="12.75" customHeight="1">
      <c r="A436" s="220"/>
      <c r="B436" s="66" t="s">
        <v>801</v>
      </c>
      <c r="C436" s="29">
        <v>16</v>
      </c>
      <c r="D436" s="29">
        <v>1980</v>
      </c>
      <c r="E436" s="39">
        <v>26.8</v>
      </c>
      <c r="F436" s="39">
        <v>2.2</v>
      </c>
      <c r="G436" s="39">
        <v>2.5</v>
      </c>
      <c r="H436" s="39">
        <v>22.1</v>
      </c>
      <c r="I436" s="74">
        <v>820.96</v>
      </c>
      <c r="J436" s="39">
        <v>22.1</v>
      </c>
      <c r="K436" s="74">
        <v>820.96</v>
      </c>
      <c r="L436" s="67">
        <f>J436/K436</f>
        <v>0.02691970376145001</v>
      </c>
      <c r="M436" s="32">
        <v>216.9</v>
      </c>
      <c r="N436" s="68">
        <f>L436*M436</f>
        <v>5.8388837458585074</v>
      </c>
      <c r="O436" s="68">
        <f>L436*60*1000</f>
        <v>1615.1822256870005</v>
      </c>
      <c r="P436" s="69">
        <f>O436*M436/1000</f>
        <v>350.33302475151044</v>
      </c>
      <c r="Q436" s="11"/>
      <c r="R436" s="10"/>
      <c r="S436" s="10"/>
    </row>
    <row r="437" spans="1:19" s="9" customFormat="1" ht="12.75" customHeight="1">
      <c r="A437" s="220"/>
      <c r="B437" s="52" t="s">
        <v>379</v>
      </c>
      <c r="C437" s="25">
        <v>32</v>
      </c>
      <c r="D437" s="25">
        <v>1974</v>
      </c>
      <c r="E437" s="37">
        <f>SUM(F437:H437)</f>
        <v>56.338</v>
      </c>
      <c r="F437" s="37">
        <v>2.3628</v>
      </c>
      <c r="G437" s="37">
        <v>4.96</v>
      </c>
      <c r="H437" s="37">
        <v>49.0152</v>
      </c>
      <c r="I437" s="36">
        <v>1820.68</v>
      </c>
      <c r="J437" s="37">
        <v>49.0152</v>
      </c>
      <c r="K437" s="36">
        <v>1820.68</v>
      </c>
      <c r="L437" s="295">
        <f>J437/K437</f>
        <v>0.02692137003756838</v>
      </c>
      <c r="M437" s="296">
        <v>284.9</v>
      </c>
      <c r="N437" s="296">
        <f>L437*M437*1.09</f>
        <v>8.360189172836522</v>
      </c>
      <c r="O437" s="296">
        <f>L437*60*1000</f>
        <v>1615.2822022541027</v>
      </c>
      <c r="P437" s="332">
        <f>N437*60</f>
        <v>501.6113503701913</v>
      </c>
      <c r="R437" s="10"/>
      <c r="S437" s="10"/>
    </row>
    <row r="438" spans="1:16" s="9" customFormat="1" ht="12.75" customHeight="1">
      <c r="A438" s="220"/>
      <c r="B438" s="52" t="s">
        <v>378</v>
      </c>
      <c r="C438" s="25">
        <v>27</v>
      </c>
      <c r="D438" s="25">
        <v>1978</v>
      </c>
      <c r="E438" s="37">
        <f>SUM(F438:H438)</f>
        <v>44.249001</v>
      </c>
      <c r="F438" s="37">
        <v>3.3294</v>
      </c>
      <c r="G438" s="37">
        <v>3.865</v>
      </c>
      <c r="H438" s="37">
        <v>37.054601</v>
      </c>
      <c r="I438" s="36">
        <v>1371.74</v>
      </c>
      <c r="J438" s="37">
        <v>37.054601</v>
      </c>
      <c r="K438" s="36">
        <v>1371.74</v>
      </c>
      <c r="L438" s="295">
        <f>J438/K438</f>
        <v>0.02701284572878242</v>
      </c>
      <c r="M438" s="296">
        <v>284.9</v>
      </c>
      <c r="N438" s="296">
        <f>L438*M438*1.09</f>
        <v>8.388596125461822</v>
      </c>
      <c r="O438" s="296">
        <f>L438*60*1000</f>
        <v>1620.7707437269453</v>
      </c>
      <c r="P438" s="332">
        <f>N438*60</f>
        <v>503.31576752770934</v>
      </c>
    </row>
    <row r="439" spans="1:19" s="9" customFormat="1" ht="12.75" customHeight="1">
      <c r="A439" s="220"/>
      <c r="B439" s="66" t="s">
        <v>680</v>
      </c>
      <c r="C439" s="29">
        <v>65</v>
      </c>
      <c r="D439" s="29" t="s">
        <v>24</v>
      </c>
      <c r="E439" s="39">
        <v>77.89</v>
      </c>
      <c r="F439" s="39">
        <v>3.62</v>
      </c>
      <c r="G439" s="39">
        <v>10.4</v>
      </c>
      <c r="H439" s="39">
        <v>63.87</v>
      </c>
      <c r="I439" s="74">
        <v>2364</v>
      </c>
      <c r="J439" s="39">
        <v>63.87</v>
      </c>
      <c r="K439" s="74">
        <v>2364</v>
      </c>
      <c r="L439" s="67">
        <f>J439/K439</f>
        <v>0.027017766497461928</v>
      </c>
      <c r="M439" s="32">
        <v>235.3</v>
      </c>
      <c r="N439" s="68">
        <f>L439*M439</f>
        <v>6.357280456852792</v>
      </c>
      <c r="O439" s="68">
        <f>L439*60*1000</f>
        <v>1621.0659898477159</v>
      </c>
      <c r="P439" s="69">
        <f>O439*M439/1000</f>
        <v>381.43682741116754</v>
      </c>
      <c r="R439" s="10"/>
      <c r="S439" s="10"/>
    </row>
    <row r="440" spans="1:19" s="9" customFormat="1" ht="12.75" customHeight="1">
      <c r="A440" s="220"/>
      <c r="B440" s="52" t="s">
        <v>921</v>
      </c>
      <c r="C440" s="29">
        <v>40</v>
      </c>
      <c r="D440" s="29">
        <v>1987</v>
      </c>
      <c r="E440" s="39">
        <f>SUM(F440+G440+H440)</f>
        <v>54.968999999999994</v>
      </c>
      <c r="F440" s="37">
        <v>3.778</v>
      </c>
      <c r="G440" s="37">
        <v>6.4</v>
      </c>
      <c r="H440" s="37">
        <v>44.791</v>
      </c>
      <c r="I440" s="36">
        <v>1656.65</v>
      </c>
      <c r="J440" s="37">
        <v>44.791</v>
      </c>
      <c r="K440" s="36">
        <v>1656.65</v>
      </c>
      <c r="L440" s="67">
        <f>J440/K440</f>
        <v>0.027037092928500282</v>
      </c>
      <c r="M440" s="32">
        <v>283.51</v>
      </c>
      <c r="N440" s="68">
        <f>L440*M440</f>
        <v>7.665286216159115</v>
      </c>
      <c r="O440" s="68">
        <f>L440*60*1000</f>
        <v>1622.225575710017</v>
      </c>
      <c r="P440" s="69">
        <f>O440*M440/1000</f>
        <v>459.9171729695469</v>
      </c>
      <c r="R440" s="10"/>
      <c r="S440" s="10"/>
    </row>
    <row r="441" spans="1:22" s="9" customFormat="1" ht="12.75" customHeight="1">
      <c r="A441" s="220"/>
      <c r="B441" s="52" t="s">
        <v>922</v>
      </c>
      <c r="C441" s="29">
        <v>22</v>
      </c>
      <c r="D441" s="29">
        <v>1967</v>
      </c>
      <c r="E441" s="39">
        <f>SUM(F441+G441+H441)</f>
        <v>32.781</v>
      </c>
      <c r="F441" s="37">
        <v>1.964</v>
      </c>
      <c r="G441" s="37">
        <v>3.36</v>
      </c>
      <c r="H441" s="37">
        <v>27.457</v>
      </c>
      <c r="I441" s="36">
        <v>1013.03</v>
      </c>
      <c r="J441" s="37">
        <v>27.457</v>
      </c>
      <c r="K441" s="36">
        <v>1013.03</v>
      </c>
      <c r="L441" s="67">
        <f>J441/K441</f>
        <v>0.027103837003839965</v>
      </c>
      <c r="M441" s="32">
        <v>283.51</v>
      </c>
      <c r="N441" s="68">
        <f>L441*M441</f>
        <v>7.684208828958668</v>
      </c>
      <c r="O441" s="68">
        <f>L441*60*1000</f>
        <v>1626.230220230398</v>
      </c>
      <c r="P441" s="69">
        <f>O441*M441/1000</f>
        <v>461.0525297375201</v>
      </c>
      <c r="Q441" s="10"/>
      <c r="R441" s="10"/>
      <c r="S441" s="10"/>
      <c r="T441" s="12"/>
      <c r="U441" s="13"/>
      <c r="V441" s="13"/>
    </row>
    <row r="442" spans="1:19" s="9" customFormat="1" ht="12.75" customHeight="1">
      <c r="A442" s="220"/>
      <c r="B442" s="52" t="s">
        <v>923</v>
      </c>
      <c r="C442" s="29">
        <v>8</v>
      </c>
      <c r="D442" s="29">
        <v>1970</v>
      </c>
      <c r="E442" s="39">
        <f>SUM(F442+G442+H442)</f>
        <v>13.31</v>
      </c>
      <c r="F442" s="37">
        <v>1.066</v>
      </c>
      <c r="G442" s="37">
        <v>1.28</v>
      </c>
      <c r="H442" s="37">
        <v>10.964</v>
      </c>
      <c r="I442" s="36">
        <v>403.87</v>
      </c>
      <c r="J442" s="37">
        <v>10.964</v>
      </c>
      <c r="K442" s="36">
        <v>403.87</v>
      </c>
      <c r="L442" s="67">
        <f>J442/K442</f>
        <v>0.027147349394607178</v>
      </c>
      <c r="M442" s="32">
        <v>283.51</v>
      </c>
      <c r="N442" s="68">
        <f>L442*M442</f>
        <v>7.69654502686508</v>
      </c>
      <c r="O442" s="68">
        <f>L442*60*1000</f>
        <v>1628.8409636764306</v>
      </c>
      <c r="P442" s="69">
        <f>O442*M442/1000</f>
        <v>461.7927016119048</v>
      </c>
      <c r="R442" s="10"/>
      <c r="S442" s="10"/>
    </row>
    <row r="443" spans="1:19" s="9" customFormat="1" ht="12.75" customHeight="1">
      <c r="A443" s="220"/>
      <c r="B443" s="66" t="s">
        <v>736</v>
      </c>
      <c r="C443" s="29">
        <v>45</v>
      </c>
      <c r="D443" s="29">
        <v>1978</v>
      </c>
      <c r="E443" s="39">
        <v>75.104</v>
      </c>
      <c r="F443" s="39">
        <v>4.28</v>
      </c>
      <c r="G443" s="39">
        <v>7.2</v>
      </c>
      <c r="H443" s="39">
        <v>63.62</v>
      </c>
      <c r="I443" s="74">
        <v>2335.06</v>
      </c>
      <c r="J443" s="39">
        <f>H443</f>
        <v>63.62</v>
      </c>
      <c r="K443" s="74">
        <f>I443</f>
        <v>2335.06</v>
      </c>
      <c r="L443" s="67">
        <f>J443/K443</f>
        <v>0.02724555257680745</v>
      </c>
      <c r="M443" s="32">
        <v>206.88</v>
      </c>
      <c r="N443" s="68">
        <f>L443*M443</f>
        <v>5.636559917089925</v>
      </c>
      <c r="O443" s="68">
        <f>L443*60*1000</f>
        <v>1634.733154608447</v>
      </c>
      <c r="P443" s="69">
        <f>O443*M443/1000</f>
        <v>338.1935950253955</v>
      </c>
      <c r="R443" s="10"/>
      <c r="S443" s="10"/>
    </row>
    <row r="444" spans="1:19" s="9" customFormat="1" ht="12.75" customHeight="1">
      <c r="A444" s="220"/>
      <c r="B444" s="66" t="s">
        <v>621</v>
      </c>
      <c r="C444" s="29">
        <v>27</v>
      </c>
      <c r="D444" s="29">
        <v>1969</v>
      </c>
      <c r="E444" s="39">
        <v>47.885999</v>
      </c>
      <c r="F444" s="39">
        <v>1.483335</v>
      </c>
      <c r="G444" s="39">
        <v>4</v>
      </c>
      <c r="H444" s="39">
        <v>42.402664</v>
      </c>
      <c r="I444" s="74">
        <v>1664.94</v>
      </c>
      <c r="J444" s="39">
        <v>24.594071</v>
      </c>
      <c r="K444" s="74">
        <v>902.67</v>
      </c>
      <c r="L444" s="67">
        <f>J444/K444</f>
        <v>0.02724591600474149</v>
      </c>
      <c r="M444" s="32">
        <v>254</v>
      </c>
      <c r="N444" s="68">
        <f>L444*M444</f>
        <v>6.920462665204338</v>
      </c>
      <c r="O444" s="68">
        <f>L444*60*1000</f>
        <v>1634.7549602844895</v>
      </c>
      <c r="P444" s="69">
        <f>O444*M444/1000</f>
        <v>415.22775991226035</v>
      </c>
      <c r="Q444" s="11"/>
      <c r="R444" s="10"/>
      <c r="S444" s="10"/>
    </row>
    <row r="445" spans="1:19" s="9" customFormat="1" ht="12.75" customHeight="1">
      <c r="A445" s="220"/>
      <c r="B445" s="66" t="s">
        <v>737</v>
      </c>
      <c r="C445" s="29">
        <v>20</v>
      </c>
      <c r="D445" s="29">
        <v>1971</v>
      </c>
      <c r="E445" s="39">
        <v>30.798</v>
      </c>
      <c r="F445" s="39">
        <v>1.495</v>
      </c>
      <c r="G445" s="39">
        <v>3.2</v>
      </c>
      <c r="H445" s="39">
        <v>26.102</v>
      </c>
      <c r="I445" s="74">
        <v>956.63</v>
      </c>
      <c r="J445" s="39">
        <f>H445</f>
        <v>26.102</v>
      </c>
      <c r="K445" s="74">
        <f>I445</f>
        <v>956.63</v>
      </c>
      <c r="L445" s="67">
        <f>J445/K445</f>
        <v>0.027285366338082644</v>
      </c>
      <c r="M445" s="32">
        <v>206.88</v>
      </c>
      <c r="N445" s="68">
        <f>L445*M445</f>
        <v>5.644796588022537</v>
      </c>
      <c r="O445" s="68">
        <f>L445*60*1000</f>
        <v>1637.1219802849587</v>
      </c>
      <c r="P445" s="69">
        <f>O445*M445/1000</f>
        <v>338.68779528135224</v>
      </c>
      <c r="R445" s="10"/>
      <c r="S445" s="10"/>
    </row>
    <row r="446" spans="1:16" s="9" customFormat="1" ht="12.75" customHeight="1">
      <c r="A446" s="220"/>
      <c r="B446" s="66" t="s">
        <v>433</v>
      </c>
      <c r="C446" s="29">
        <v>20</v>
      </c>
      <c r="D446" s="29">
        <v>1970</v>
      </c>
      <c r="E446" s="39">
        <v>31.07</v>
      </c>
      <c r="F446" s="39">
        <v>1.67</v>
      </c>
      <c r="G446" s="39">
        <v>3.2</v>
      </c>
      <c r="H446" s="39">
        <v>26.194</v>
      </c>
      <c r="I446" s="74">
        <v>955.92</v>
      </c>
      <c r="J446" s="39">
        <f>H446</f>
        <v>26.194</v>
      </c>
      <c r="K446" s="74">
        <f>I446</f>
        <v>955.92</v>
      </c>
      <c r="L446" s="67">
        <f>J446/K446</f>
        <v>0.027401874633860575</v>
      </c>
      <c r="M446" s="32">
        <v>206.88</v>
      </c>
      <c r="N446" s="68">
        <f>L446*M446</f>
        <v>5.668899824253075</v>
      </c>
      <c r="O446" s="68">
        <f>L446*60*1000</f>
        <v>1644.1124780316345</v>
      </c>
      <c r="P446" s="69">
        <f>O446*M446/1000</f>
        <v>340.1339894551846</v>
      </c>
    </row>
    <row r="447" spans="1:19" s="9" customFormat="1" ht="12.75" customHeight="1">
      <c r="A447" s="220"/>
      <c r="B447" s="304" t="s">
        <v>548</v>
      </c>
      <c r="C447" s="305">
        <v>31</v>
      </c>
      <c r="D447" s="306" t="s">
        <v>24</v>
      </c>
      <c r="E447" s="307">
        <v>59.76</v>
      </c>
      <c r="F447" s="307">
        <v>3.59</v>
      </c>
      <c r="G447" s="308">
        <v>5.28</v>
      </c>
      <c r="H447" s="307">
        <v>50.89</v>
      </c>
      <c r="I447" s="309">
        <v>1844.65</v>
      </c>
      <c r="J447" s="307">
        <v>45.32</v>
      </c>
      <c r="K447" s="310">
        <v>1653.89</v>
      </c>
      <c r="L447" s="67">
        <f>J447/K447</f>
        <v>0.027402064224343818</v>
      </c>
      <c r="M447" s="32">
        <v>266.83</v>
      </c>
      <c r="N447" s="68">
        <f>L447*M447</f>
        <v>7.311692796981661</v>
      </c>
      <c r="O447" s="68">
        <f>L447*60*1000</f>
        <v>1644.123853460629</v>
      </c>
      <c r="P447" s="69">
        <f>O447*M447/1000</f>
        <v>438.70156781889966</v>
      </c>
      <c r="R447" s="45"/>
      <c r="S447" s="10"/>
    </row>
    <row r="448" spans="1:19" s="9" customFormat="1" ht="12.75" customHeight="1">
      <c r="A448" s="220"/>
      <c r="B448" s="66" t="s">
        <v>622</v>
      </c>
      <c r="C448" s="29">
        <v>24</v>
      </c>
      <c r="D448" s="29">
        <v>1969</v>
      </c>
      <c r="E448" s="39">
        <v>31.719002</v>
      </c>
      <c r="F448" s="39">
        <v>1.584927</v>
      </c>
      <c r="G448" s="39">
        <v>3.68</v>
      </c>
      <c r="H448" s="39">
        <v>26.454075</v>
      </c>
      <c r="I448" s="74">
        <v>1137.96</v>
      </c>
      <c r="J448" s="39">
        <v>26.454075</v>
      </c>
      <c r="K448" s="74">
        <v>964.42</v>
      </c>
      <c r="L448" s="67">
        <f>J448/K448</f>
        <v>0.02743003566910682</v>
      </c>
      <c r="M448" s="32">
        <v>254</v>
      </c>
      <c r="N448" s="68">
        <f>L448*M448</f>
        <v>6.967229059953133</v>
      </c>
      <c r="O448" s="68">
        <f>L448*60*1000</f>
        <v>1645.802140146409</v>
      </c>
      <c r="P448" s="69">
        <f>O448*M448/1000</f>
        <v>418.03374359718794</v>
      </c>
      <c r="R448" s="10"/>
      <c r="S448" s="10"/>
    </row>
    <row r="449" spans="1:19" s="9" customFormat="1" ht="12.75" customHeight="1">
      <c r="A449" s="220"/>
      <c r="B449" s="52" t="s">
        <v>924</v>
      </c>
      <c r="C449" s="29">
        <v>40</v>
      </c>
      <c r="D449" s="29">
        <v>1971</v>
      </c>
      <c r="E449" s="39">
        <f>SUM(F449+G449+H449)</f>
        <v>60.324</v>
      </c>
      <c r="F449" s="37">
        <v>2.356</v>
      </c>
      <c r="G449" s="37">
        <v>6.24</v>
      </c>
      <c r="H449" s="37">
        <v>51.728</v>
      </c>
      <c r="I449" s="36">
        <v>1885.08</v>
      </c>
      <c r="J449" s="37">
        <v>51.728</v>
      </c>
      <c r="K449" s="36">
        <v>1885.08</v>
      </c>
      <c r="L449" s="67">
        <f>J449/K449</f>
        <v>0.027440745220362002</v>
      </c>
      <c r="M449" s="32">
        <v>283.51</v>
      </c>
      <c r="N449" s="68">
        <f>L449*M449</f>
        <v>7.779725677424831</v>
      </c>
      <c r="O449" s="68">
        <f>L449*60*1000</f>
        <v>1646.4447132217201</v>
      </c>
      <c r="P449" s="69">
        <f>O449*M449/1000</f>
        <v>466.7835406454899</v>
      </c>
      <c r="R449" s="10"/>
      <c r="S449" s="10"/>
    </row>
    <row r="450" spans="1:19" s="9" customFormat="1" ht="12.75" customHeight="1">
      <c r="A450" s="220"/>
      <c r="B450" s="66" t="s">
        <v>316</v>
      </c>
      <c r="C450" s="29">
        <v>21</v>
      </c>
      <c r="D450" s="29">
        <v>1986</v>
      </c>
      <c r="E450" s="39">
        <v>37.065</v>
      </c>
      <c r="F450" s="39">
        <v>1.683</v>
      </c>
      <c r="G450" s="39">
        <v>3.52</v>
      </c>
      <c r="H450" s="39">
        <v>26.86</v>
      </c>
      <c r="I450" s="74">
        <v>1160.21</v>
      </c>
      <c r="J450" s="39">
        <v>30.13</v>
      </c>
      <c r="K450" s="74">
        <v>1097.3</v>
      </c>
      <c r="L450" s="67">
        <f>J450/K450</f>
        <v>0.027458306752939032</v>
      </c>
      <c r="M450" s="32">
        <v>337.137</v>
      </c>
      <c r="N450" s="68">
        <f>L450*M450</f>
        <v>9.257211163765607</v>
      </c>
      <c r="O450" s="68">
        <f>L450*60*1000</f>
        <v>1647.498405176342</v>
      </c>
      <c r="P450" s="69">
        <f>O450*M450/1000</f>
        <v>555.4326698259364</v>
      </c>
      <c r="R450" s="10"/>
      <c r="S450" s="10"/>
    </row>
    <row r="451" spans="1:19" s="9" customFormat="1" ht="12.75" customHeight="1">
      <c r="A451" s="220"/>
      <c r="B451" s="52" t="s">
        <v>926</v>
      </c>
      <c r="C451" s="29">
        <v>38</v>
      </c>
      <c r="D451" s="29">
        <v>1993</v>
      </c>
      <c r="E451" s="39">
        <f>SUM(F451+G451+H451)</f>
        <v>65.441</v>
      </c>
      <c r="F451" s="37">
        <v>4.825</v>
      </c>
      <c r="G451" s="37">
        <v>6.08</v>
      </c>
      <c r="H451" s="37">
        <v>54.536</v>
      </c>
      <c r="I451" s="36">
        <v>1983.84</v>
      </c>
      <c r="J451" s="37">
        <v>54.536</v>
      </c>
      <c r="K451" s="36">
        <v>1983.84</v>
      </c>
      <c r="L451" s="67">
        <f>J451/K451</f>
        <v>0.027490120170981534</v>
      </c>
      <c r="M451" s="32">
        <v>283.51</v>
      </c>
      <c r="N451" s="68">
        <f>L451*M451</f>
        <v>7.793723969674975</v>
      </c>
      <c r="O451" s="68">
        <f>L451*60*1000</f>
        <v>1649.407210258892</v>
      </c>
      <c r="P451" s="69">
        <f>O451*M451/1000</f>
        <v>467.6234381804985</v>
      </c>
      <c r="R451" s="10"/>
      <c r="S451" s="10"/>
    </row>
    <row r="452" spans="1:19" s="9" customFormat="1" ht="12.75" customHeight="1">
      <c r="A452" s="220"/>
      <c r="B452" s="52" t="s">
        <v>925</v>
      </c>
      <c r="C452" s="29">
        <v>75</v>
      </c>
      <c r="D452" s="29">
        <v>1978</v>
      </c>
      <c r="E452" s="39">
        <f>SUM(F452+G452+H452)</f>
        <v>130.828</v>
      </c>
      <c r="F452" s="37">
        <v>8.266</v>
      </c>
      <c r="G452" s="37">
        <v>12</v>
      </c>
      <c r="H452" s="37">
        <v>110.562</v>
      </c>
      <c r="I452" s="36">
        <v>4020.6</v>
      </c>
      <c r="J452" s="37">
        <v>110.562</v>
      </c>
      <c r="K452" s="36">
        <v>4020.6</v>
      </c>
      <c r="L452" s="67">
        <f>J452/K452</f>
        <v>0.027498880764065065</v>
      </c>
      <c r="M452" s="32">
        <v>283.51</v>
      </c>
      <c r="N452" s="68">
        <f>L452*M452</f>
        <v>7.796207685420086</v>
      </c>
      <c r="O452" s="68">
        <f>L452*60*1000</f>
        <v>1649.932845843904</v>
      </c>
      <c r="P452" s="69">
        <f>O452*M452/1000</f>
        <v>467.7724611252052</v>
      </c>
      <c r="R452" s="10"/>
      <c r="S452" s="10"/>
    </row>
    <row r="453" spans="1:19" s="9" customFormat="1" ht="12.75" customHeight="1">
      <c r="A453" s="220"/>
      <c r="B453" s="52" t="s">
        <v>152</v>
      </c>
      <c r="C453" s="25">
        <v>13</v>
      </c>
      <c r="D453" s="25">
        <v>1959</v>
      </c>
      <c r="E453" s="37">
        <f>SUM(F453:H453)</f>
        <v>15.47999</v>
      </c>
      <c r="F453" s="37"/>
      <c r="G453" s="37"/>
      <c r="H453" s="37">
        <v>15.47999</v>
      </c>
      <c r="I453" s="36">
        <v>562.28</v>
      </c>
      <c r="J453" s="37">
        <v>15.47999</v>
      </c>
      <c r="K453" s="36">
        <v>562.28</v>
      </c>
      <c r="L453" s="295">
        <f>J453/K453</f>
        <v>0.027530749804367934</v>
      </c>
      <c r="M453" s="296">
        <v>284.9</v>
      </c>
      <c r="N453" s="296">
        <f>L453*M453*1.09</f>
        <v>8.549426574998222</v>
      </c>
      <c r="O453" s="296">
        <f>L453*60*1000</f>
        <v>1651.844988262076</v>
      </c>
      <c r="P453" s="332">
        <f>N453*60</f>
        <v>512.9655944998933</v>
      </c>
      <c r="R453" s="10"/>
      <c r="S453" s="10"/>
    </row>
    <row r="454" spans="1:16" s="9" customFormat="1" ht="12.75" customHeight="1">
      <c r="A454" s="220"/>
      <c r="B454" s="303" t="s">
        <v>581</v>
      </c>
      <c r="C454" s="29">
        <v>70</v>
      </c>
      <c r="D454" s="29">
        <v>1972</v>
      </c>
      <c r="E454" s="39">
        <v>96.758</v>
      </c>
      <c r="F454" s="39">
        <v>6.046</v>
      </c>
      <c r="G454" s="39">
        <v>0.7</v>
      </c>
      <c r="H454" s="39">
        <v>90.012</v>
      </c>
      <c r="I454" s="74">
        <v>3269.03</v>
      </c>
      <c r="J454" s="39">
        <v>90.012</v>
      </c>
      <c r="K454" s="74">
        <v>3269.03</v>
      </c>
      <c r="L454" s="67">
        <f>J454/K454</f>
        <v>0.02753477331196104</v>
      </c>
      <c r="M454" s="32">
        <v>300</v>
      </c>
      <c r="N454" s="68">
        <f>L454*M454</f>
        <v>8.26043199358831</v>
      </c>
      <c r="O454" s="68">
        <f>L454*60*1000</f>
        <v>1652.0863987176624</v>
      </c>
      <c r="P454" s="69">
        <f>O454*M454/1000</f>
        <v>495.62591961529876</v>
      </c>
    </row>
    <row r="455" spans="1:19" s="9" customFormat="1" ht="12.75" customHeight="1">
      <c r="A455" s="220"/>
      <c r="B455" s="52" t="s">
        <v>927</v>
      </c>
      <c r="C455" s="29">
        <v>65</v>
      </c>
      <c r="D455" s="29">
        <v>1989</v>
      </c>
      <c r="E455" s="39">
        <f>SUM(F455+G455+H455)</f>
        <v>79.666</v>
      </c>
      <c r="F455" s="37">
        <v>4.507</v>
      </c>
      <c r="G455" s="37">
        <v>10.32</v>
      </c>
      <c r="H455" s="37">
        <v>64.839</v>
      </c>
      <c r="I455" s="36">
        <v>2352.05</v>
      </c>
      <c r="J455" s="37">
        <v>64.839</v>
      </c>
      <c r="K455" s="36">
        <v>2352.05</v>
      </c>
      <c r="L455" s="67">
        <f>J455/K455</f>
        <v>0.027567016007312768</v>
      </c>
      <c r="M455" s="32">
        <v>283.51</v>
      </c>
      <c r="N455" s="68">
        <f>L455*M455</f>
        <v>7.815524708233243</v>
      </c>
      <c r="O455" s="68">
        <f>L455*60*1000</f>
        <v>1654.0209604387662</v>
      </c>
      <c r="P455" s="69">
        <f>O455*M455/1000</f>
        <v>468.93148249399457</v>
      </c>
      <c r="R455" s="10"/>
      <c r="S455" s="10"/>
    </row>
    <row r="456" spans="1:19" s="9" customFormat="1" ht="12.75" customHeight="1">
      <c r="A456" s="220"/>
      <c r="B456" s="66" t="s">
        <v>505</v>
      </c>
      <c r="C456" s="29">
        <v>73</v>
      </c>
      <c r="D456" s="29">
        <v>1986</v>
      </c>
      <c r="E456" s="39">
        <v>154.601</v>
      </c>
      <c r="F456" s="39">
        <v>14.392</v>
      </c>
      <c r="G456" s="39">
        <v>10.08</v>
      </c>
      <c r="H456" s="39">
        <f>E456-F456-G456</f>
        <v>130.129</v>
      </c>
      <c r="I456" s="74">
        <v>4706.44</v>
      </c>
      <c r="J456" s="39">
        <f>H456</f>
        <v>130.129</v>
      </c>
      <c r="K456" s="74">
        <f>I456</f>
        <v>4706.44</v>
      </c>
      <c r="L456" s="67">
        <f>J456/K456</f>
        <v>0.02764913607737483</v>
      </c>
      <c r="M456" s="32">
        <v>279.476</v>
      </c>
      <c r="N456" s="68">
        <f>L456*M456</f>
        <v>7.727269954360408</v>
      </c>
      <c r="O456" s="68">
        <f>L456*60*1000</f>
        <v>1658.9481646424897</v>
      </c>
      <c r="P456" s="69">
        <f>O456*M456/1000</f>
        <v>463.63619726162443</v>
      </c>
      <c r="Q456" s="11"/>
      <c r="R456" s="10"/>
      <c r="S456" s="10"/>
    </row>
    <row r="457" spans="1:19" s="9" customFormat="1" ht="12.75" customHeight="1">
      <c r="A457" s="220"/>
      <c r="B457" s="52" t="s">
        <v>928</v>
      </c>
      <c r="C457" s="29">
        <v>45</v>
      </c>
      <c r="D457" s="29">
        <v>1968</v>
      </c>
      <c r="E457" s="39">
        <f>SUM(F457+G457+H457)</f>
        <v>64.337</v>
      </c>
      <c r="F457" s="37">
        <v>4.825</v>
      </c>
      <c r="G457" s="37">
        <v>7.2</v>
      </c>
      <c r="H457" s="37">
        <v>52.312</v>
      </c>
      <c r="I457" s="36">
        <v>1891.22</v>
      </c>
      <c r="J457" s="37">
        <v>52.312</v>
      </c>
      <c r="K457" s="36">
        <v>1891.22</v>
      </c>
      <c r="L457" s="67">
        <f>J457/K457</f>
        <v>0.027660451983375807</v>
      </c>
      <c r="M457" s="32">
        <v>283.51</v>
      </c>
      <c r="N457" s="68">
        <f>L457*M457</f>
        <v>7.842014741806874</v>
      </c>
      <c r="O457" s="68">
        <f>L457*60*1000</f>
        <v>1659.6271190025484</v>
      </c>
      <c r="P457" s="69">
        <f>O457*M457/1000</f>
        <v>470.5208845084125</v>
      </c>
      <c r="R457" s="10"/>
      <c r="S457" s="10"/>
    </row>
    <row r="458" spans="1:22" s="9" customFormat="1" ht="12.75" customHeight="1">
      <c r="A458" s="220"/>
      <c r="B458" s="52" t="s">
        <v>929</v>
      </c>
      <c r="C458" s="29">
        <v>45</v>
      </c>
      <c r="D458" s="29">
        <v>1976</v>
      </c>
      <c r="E458" s="39">
        <f>SUM(F458+G458+H458)</f>
        <v>76.922</v>
      </c>
      <c r="F458" s="37">
        <v>5.311</v>
      </c>
      <c r="G458" s="37">
        <v>7.2</v>
      </c>
      <c r="H458" s="37">
        <v>64.411</v>
      </c>
      <c r="I458" s="36">
        <v>2326.64</v>
      </c>
      <c r="J458" s="37">
        <v>64.411</v>
      </c>
      <c r="K458" s="36">
        <v>2326.64</v>
      </c>
      <c r="L458" s="67">
        <f>J458/K458</f>
        <v>0.02768412818485026</v>
      </c>
      <c r="M458" s="32">
        <v>283.51</v>
      </c>
      <c r="N458" s="68">
        <f>L458*M458</f>
        <v>7.848727181686897</v>
      </c>
      <c r="O458" s="68">
        <f>L458*60*1000</f>
        <v>1661.0476910910154</v>
      </c>
      <c r="P458" s="69">
        <f>O458*M458/1000</f>
        <v>470.92363090121376</v>
      </c>
      <c r="Q458" s="10"/>
      <c r="R458" s="10"/>
      <c r="S458" s="10"/>
      <c r="T458" s="12"/>
      <c r="U458" s="13"/>
      <c r="V458" s="13"/>
    </row>
    <row r="459" spans="1:19" s="9" customFormat="1" ht="12.75" customHeight="1">
      <c r="A459" s="220"/>
      <c r="B459" s="52" t="s">
        <v>930</v>
      </c>
      <c r="C459" s="29">
        <v>30</v>
      </c>
      <c r="D459" s="29">
        <v>1987</v>
      </c>
      <c r="E459" s="39">
        <f>SUM(F459+G459+H459)</f>
        <v>50.931</v>
      </c>
      <c r="F459" s="37">
        <v>4.282</v>
      </c>
      <c r="G459" s="37">
        <v>4.64</v>
      </c>
      <c r="H459" s="37">
        <v>42.009</v>
      </c>
      <c r="I459" s="36">
        <v>1512.81</v>
      </c>
      <c r="J459" s="37">
        <v>42.009</v>
      </c>
      <c r="K459" s="36">
        <v>1512.81</v>
      </c>
      <c r="L459" s="67">
        <f>J459/K459</f>
        <v>0.027768853986951437</v>
      </c>
      <c r="M459" s="32">
        <v>283.51</v>
      </c>
      <c r="N459" s="68">
        <f>L459*M459</f>
        <v>7.872747793840602</v>
      </c>
      <c r="O459" s="68">
        <f>L459*60*1000</f>
        <v>1666.1312392170862</v>
      </c>
      <c r="P459" s="69">
        <f>O459*M459/1000</f>
        <v>472.3648676304361</v>
      </c>
      <c r="R459" s="10"/>
      <c r="S459" s="10"/>
    </row>
    <row r="460" spans="1:19" s="9" customFormat="1" ht="12.75" customHeight="1">
      <c r="A460" s="220"/>
      <c r="B460" s="66" t="s">
        <v>943</v>
      </c>
      <c r="C460" s="29">
        <v>27</v>
      </c>
      <c r="D460" s="29">
        <v>1999</v>
      </c>
      <c r="E460" s="39">
        <v>46.07</v>
      </c>
      <c r="F460" s="39">
        <v>2.703</v>
      </c>
      <c r="G460" s="39">
        <v>4.32</v>
      </c>
      <c r="H460" s="39">
        <v>39.047</v>
      </c>
      <c r="I460" s="74">
        <v>1406</v>
      </c>
      <c r="J460" s="39">
        <v>39.047</v>
      </c>
      <c r="K460" s="74">
        <v>1406</v>
      </c>
      <c r="L460" s="67">
        <f>J460/K460</f>
        <v>0.027771692745376955</v>
      </c>
      <c r="M460" s="32">
        <v>227.81</v>
      </c>
      <c r="N460" s="68">
        <f>L460*M460</f>
        <v>6.326669324324325</v>
      </c>
      <c r="O460" s="68">
        <f>L460*60*1000</f>
        <v>1666.3015647226173</v>
      </c>
      <c r="P460" s="69">
        <f>O460*M460/1000</f>
        <v>379.6001594594594</v>
      </c>
      <c r="R460" s="10"/>
      <c r="S460" s="10"/>
    </row>
    <row r="461" spans="1:19" s="9" customFormat="1" ht="12.75" customHeight="1">
      <c r="A461" s="220"/>
      <c r="B461" s="66" t="s">
        <v>681</v>
      </c>
      <c r="C461" s="29">
        <v>54</v>
      </c>
      <c r="D461" s="29" t="s">
        <v>24</v>
      </c>
      <c r="E461" s="39">
        <v>96.16</v>
      </c>
      <c r="F461" s="39">
        <v>4.85</v>
      </c>
      <c r="G461" s="39">
        <v>8.56</v>
      </c>
      <c r="H461" s="39">
        <v>82.75</v>
      </c>
      <c r="I461" s="74">
        <v>2977</v>
      </c>
      <c r="J461" s="39">
        <v>82.75</v>
      </c>
      <c r="K461" s="74">
        <v>2977</v>
      </c>
      <c r="L461" s="67">
        <f>J461/K461</f>
        <v>0.02779643936849177</v>
      </c>
      <c r="M461" s="32">
        <v>235.3</v>
      </c>
      <c r="N461" s="68">
        <f>L461*M461</f>
        <v>6.540502183406114</v>
      </c>
      <c r="O461" s="68">
        <f>L461*60*1000</f>
        <v>1667.7863621095064</v>
      </c>
      <c r="P461" s="69">
        <f>O461*M461/1000</f>
        <v>392.43013100436684</v>
      </c>
      <c r="R461" s="10"/>
      <c r="S461" s="10"/>
    </row>
    <row r="462" spans="1:25" s="9" customFormat="1" ht="12.75" customHeight="1">
      <c r="A462" s="220"/>
      <c r="B462" s="52" t="s">
        <v>59</v>
      </c>
      <c r="C462" s="25">
        <v>57</v>
      </c>
      <c r="D462" s="25">
        <v>1982</v>
      </c>
      <c r="E462" s="37">
        <v>113.52</v>
      </c>
      <c r="F462" s="37">
        <v>7.95</v>
      </c>
      <c r="G462" s="37">
        <v>8.64</v>
      </c>
      <c r="H462" s="37">
        <f>E462-F462-G462</f>
        <v>96.92999999999999</v>
      </c>
      <c r="I462" s="36">
        <v>3486.1</v>
      </c>
      <c r="J462" s="37">
        <f>H462/I462*K462</f>
        <v>96.92721952898654</v>
      </c>
      <c r="K462" s="25">
        <v>3486</v>
      </c>
      <c r="L462" s="295">
        <f>J462/K462</f>
        <v>0.027804710134534293</v>
      </c>
      <c r="M462" s="296">
        <v>323.29400000000004</v>
      </c>
      <c r="N462" s="296">
        <f>L462*M462</f>
        <v>8.989095958234131</v>
      </c>
      <c r="O462" s="296">
        <f>L462*60*1000</f>
        <v>1668.2826080720577</v>
      </c>
      <c r="P462" s="332">
        <f>O462*M462/1000</f>
        <v>539.3457574940479</v>
      </c>
      <c r="Q462" s="10"/>
      <c r="R462" s="10"/>
      <c r="S462" s="10"/>
      <c r="T462" s="12"/>
      <c r="U462" s="13"/>
      <c r="V462" s="13"/>
      <c r="X462" s="14"/>
      <c r="Y462" s="14"/>
    </row>
    <row r="463" spans="1:19" s="9" customFormat="1" ht="12.75" customHeight="1">
      <c r="A463" s="220"/>
      <c r="B463" s="52" t="s">
        <v>57</v>
      </c>
      <c r="C463" s="25">
        <v>59</v>
      </c>
      <c r="D463" s="25">
        <v>1981</v>
      </c>
      <c r="E463" s="37">
        <v>113.13</v>
      </c>
      <c r="F463" s="37">
        <v>8.4</v>
      </c>
      <c r="G463" s="37">
        <v>9.6</v>
      </c>
      <c r="H463" s="37">
        <f>E463-F463-G463</f>
        <v>95.13</v>
      </c>
      <c r="I463" s="36">
        <v>3418.8</v>
      </c>
      <c r="J463" s="37">
        <f>H463/I463*K463</f>
        <v>93.38255528255527</v>
      </c>
      <c r="K463" s="25">
        <v>3356</v>
      </c>
      <c r="L463" s="295">
        <f>J463/K463</f>
        <v>0.027825552825552824</v>
      </c>
      <c r="M463" s="296">
        <v>323.29400000000004</v>
      </c>
      <c r="N463" s="296">
        <f>L463*M463</f>
        <v>8.995834275184276</v>
      </c>
      <c r="O463" s="296">
        <f>L463*60*1000</f>
        <v>1669.5331695331695</v>
      </c>
      <c r="P463" s="332">
        <f>O463*M463/1000</f>
        <v>539.7500565110566</v>
      </c>
      <c r="R463" s="10"/>
      <c r="S463" s="10"/>
    </row>
    <row r="464" spans="1:19" s="9" customFormat="1" ht="12.75" customHeight="1">
      <c r="A464" s="220"/>
      <c r="B464" s="311" t="s">
        <v>853</v>
      </c>
      <c r="C464" s="29">
        <v>6</v>
      </c>
      <c r="D464" s="29">
        <v>1960</v>
      </c>
      <c r="E464" s="39">
        <v>8.739</v>
      </c>
      <c r="F464" s="39"/>
      <c r="G464" s="39"/>
      <c r="H464" s="39">
        <v>8.739</v>
      </c>
      <c r="I464" s="74">
        <v>314</v>
      </c>
      <c r="J464" s="39">
        <v>8.739</v>
      </c>
      <c r="K464" s="74">
        <v>314</v>
      </c>
      <c r="L464" s="67">
        <f>J464/K464</f>
        <v>0.027831210191082804</v>
      </c>
      <c r="M464" s="29">
        <v>254.2</v>
      </c>
      <c r="N464" s="68">
        <f>L464*M464</f>
        <v>7.074693630573249</v>
      </c>
      <c r="O464" s="68">
        <f>L464*60*1000</f>
        <v>1669.8726114649683</v>
      </c>
      <c r="P464" s="69">
        <f>O464*M464/1000</f>
        <v>424.4816178343949</v>
      </c>
      <c r="R464" s="10"/>
      <c r="S464" s="10"/>
    </row>
    <row r="465" spans="1:16" s="9" customFormat="1" ht="12.75" customHeight="1">
      <c r="A465" s="220"/>
      <c r="B465" s="304" t="s">
        <v>549</v>
      </c>
      <c r="C465" s="305">
        <v>48</v>
      </c>
      <c r="D465" s="306" t="s">
        <v>24</v>
      </c>
      <c r="E465" s="307">
        <v>59.32</v>
      </c>
      <c r="F465" s="307">
        <v>3.66</v>
      </c>
      <c r="G465" s="308">
        <v>0.5</v>
      </c>
      <c r="H465" s="307">
        <v>55.15</v>
      </c>
      <c r="I465" s="312">
        <v>1973.26</v>
      </c>
      <c r="J465" s="307">
        <v>52.68</v>
      </c>
      <c r="K465" s="310">
        <v>1889.6</v>
      </c>
      <c r="L465" s="67">
        <f>J465/K465</f>
        <v>0.027878916172734972</v>
      </c>
      <c r="M465" s="32">
        <v>266.83</v>
      </c>
      <c r="N465" s="68">
        <f>L465*M465</f>
        <v>7.438931202370872</v>
      </c>
      <c r="O465" s="68">
        <f>L465*60*1000</f>
        <v>1672.7349703640984</v>
      </c>
      <c r="P465" s="69">
        <f>O465*M465/1000</f>
        <v>446.33587214225236</v>
      </c>
    </row>
    <row r="466" spans="1:19" s="9" customFormat="1" ht="12.75" customHeight="1">
      <c r="A466" s="220"/>
      <c r="B466" s="66" t="s">
        <v>802</v>
      </c>
      <c r="C466" s="29">
        <v>8</v>
      </c>
      <c r="D466" s="29">
        <v>1970</v>
      </c>
      <c r="E466" s="39">
        <v>13.1</v>
      </c>
      <c r="F466" s="39">
        <v>0.6</v>
      </c>
      <c r="G466" s="39">
        <v>1.3</v>
      </c>
      <c r="H466" s="39">
        <v>11.2</v>
      </c>
      <c r="I466" s="74">
        <v>400.74</v>
      </c>
      <c r="J466" s="39">
        <v>11.2</v>
      </c>
      <c r="K466" s="74">
        <v>400.74</v>
      </c>
      <c r="L466" s="67">
        <f>J466/K466</f>
        <v>0.02794829565304187</v>
      </c>
      <c r="M466" s="32">
        <v>216.9</v>
      </c>
      <c r="N466" s="68">
        <f>L466*M466</f>
        <v>6.061985327144781</v>
      </c>
      <c r="O466" s="68">
        <f>L466*60*1000</f>
        <v>1676.8977391825122</v>
      </c>
      <c r="P466" s="69">
        <f>O466*M466/1000</f>
        <v>363.71911962868694</v>
      </c>
      <c r="R466" s="10"/>
      <c r="S466" s="10"/>
    </row>
    <row r="467" spans="1:19" s="9" customFormat="1" ht="12.75" customHeight="1">
      <c r="A467" s="220"/>
      <c r="B467" s="313" t="s">
        <v>550</v>
      </c>
      <c r="C467" s="314">
        <v>60</v>
      </c>
      <c r="D467" s="315" t="s">
        <v>24</v>
      </c>
      <c r="E467" s="307">
        <v>82.6</v>
      </c>
      <c r="F467" s="307">
        <v>5.21</v>
      </c>
      <c r="G467" s="308">
        <v>9.6</v>
      </c>
      <c r="H467" s="307">
        <v>67.79</v>
      </c>
      <c r="I467" s="309">
        <v>2425.09</v>
      </c>
      <c r="J467" s="307">
        <v>67.79</v>
      </c>
      <c r="K467" s="310">
        <v>2425.09</v>
      </c>
      <c r="L467" s="67">
        <f>J467/K467</f>
        <v>0.02795360172199795</v>
      </c>
      <c r="M467" s="32">
        <v>266.83</v>
      </c>
      <c r="N467" s="68">
        <f>L467*M467</f>
        <v>7.458859547480713</v>
      </c>
      <c r="O467" s="68">
        <f>L467*60*1000</f>
        <v>1677.216103319877</v>
      </c>
      <c r="P467" s="69">
        <f>O467*M467/1000</f>
        <v>447.53157284884276</v>
      </c>
      <c r="R467" s="10"/>
      <c r="S467" s="10"/>
    </row>
    <row r="468" spans="1:19" s="9" customFormat="1" ht="12.75" customHeight="1">
      <c r="A468" s="220"/>
      <c r="B468" s="66" t="s">
        <v>623</v>
      </c>
      <c r="C468" s="29">
        <v>23</v>
      </c>
      <c r="D468" s="29">
        <v>1970</v>
      </c>
      <c r="E468" s="39">
        <v>37.933</v>
      </c>
      <c r="F468" s="39">
        <v>1.479</v>
      </c>
      <c r="G468" s="39">
        <v>3.52</v>
      </c>
      <c r="H468" s="39">
        <v>32.934</v>
      </c>
      <c r="I468" s="74">
        <v>1095.22</v>
      </c>
      <c r="J468" s="39">
        <v>26.479</v>
      </c>
      <c r="K468" s="74">
        <v>947.22</v>
      </c>
      <c r="L468" s="67">
        <f>J468/K468</f>
        <v>0.02795443508371867</v>
      </c>
      <c r="M468" s="32">
        <v>254</v>
      </c>
      <c r="N468" s="68">
        <f>L468*M468</f>
        <v>7.100426511264542</v>
      </c>
      <c r="O468" s="68">
        <f>L468*60*1000</f>
        <v>1677.2661050231204</v>
      </c>
      <c r="P468" s="69">
        <f>O468*M468/1000</f>
        <v>426.0255906758726</v>
      </c>
      <c r="R468" s="10"/>
      <c r="S468" s="10"/>
    </row>
    <row r="469" spans="1:19" s="9" customFormat="1" ht="12.75" customHeight="1">
      <c r="A469" s="220"/>
      <c r="B469" s="52" t="s">
        <v>39</v>
      </c>
      <c r="C469" s="25">
        <v>22</v>
      </c>
      <c r="D469" s="25">
        <v>1989</v>
      </c>
      <c r="E469" s="37">
        <v>39.933</v>
      </c>
      <c r="F469" s="37">
        <v>3.427414</v>
      </c>
      <c r="G469" s="37">
        <v>3.52</v>
      </c>
      <c r="H469" s="37">
        <v>32.985586</v>
      </c>
      <c r="I469" s="36">
        <v>1179.64</v>
      </c>
      <c r="J469" s="37">
        <v>32.985586</v>
      </c>
      <c r="K469" s="36">
        <v>1179.64</v>
      </c>
      <c r="L469" s="295">
        <f>J469/K469</f>
        <v>0.027962417347665386</v>
      </c>
      <c r="M469" s="25">
        <v>296.48</v>
      </c>
      <c r="N469" s="296">
        <f>L469*M469</f>
        <v>8.290297495235833</v>
      </c>
      <c r="O469" s="296">
        <f>L469*60*1000</f>
        <v>1677.7450408599232</v>
      </c>
      <c r="P469" s="332">
        <f>O469*M469/1000</f>
        <v>497.41784971415007</v>
      </c>
      <c r="R469" s="10"/>
      <c r="S469" s="10"/>
    </row>
    <row r="470" spans="1:19" s="9" customFormat="1" ht="12.75" customHeight="1">
      <c r="A470" s="220"/>
      <c r="B470" s="297" t="s">
        <v>449</v>
      </c>
      <c r="C470" s="298">
        <v>50</v>
      </c>
      <c r="D470" s="298">
        <v>1969</v>
      </c>
      <c r="E470" s="299">
        <v>83.89999999999999</v>
      </c>
      <c r="F470" s="299">
        <v>3.9</v>
      </c>
      <c r="G470" s="299">
        <v>7.9</v>
      </c>
      <c r="H470" s="299">
        <v>72.1</v>
      </c>
      <c r="I470" s="300">
        <v>2573.06</v>
      </c>
      <c r="J470" s="299">
        <v>72.1</v>
      </c>
      <c r="K470" s="300">
        <v>2573.1</v>
      </c>
      <c r="L470" s="301">
        <v>0.02802067544984649</v>
      </c>
      <c r="M470" s="302">
        <v>215.8</v>
      </c>
      <c r="N470" s="302">
        <v>6.0468617620768725</v>
      </c>
      <c r="O470" s="302">
        <f>L470*60*1000</f>
        <v>1681.2405269907892</v>
      </c>
      <c r="P470" s="333">
        <v>362.81170572461235</v>
      </c>
      <c r="R470" s="10"/>
      <c r="S470" s="10"/>
    </row>
    <row r="471" spans="1:19" s="9" customFormat="1" ht="12.75" customHeight="1">
      <c r="A471" s="220"/>
      <c r="B471" s="66" t="s">
        <v>624</v>
      </c>
      <c r="C471" s="29">
        <v>9</v>
      </c>
      <c r="D471" s="29">
        <v>1968</v>
      </c>
      <c r="E471" s="39">
        <v>13.777</v>
      </c>
      <c r="F471" s="39">
        <v>0.765</v>
      </c>
      <c r="G471" s="39">
        <v>1.44</v>
      </c>
      <c r="H471" s="39">
        <v>11.572</v>
      </c>
      <c r="I471" s="74">
        <v>412.22</v>
      </c>
      <c r="J471" s="39">
        <v>11.572</v>
      </c>
      <c r="K471" s="74">
        <v>412.22</v>
      </c>
      <c r="L471" s="67">
        <f>J471/K471</f>
        <v>0.028072388530396387</v>
      </c>
      <c r="M471" s="32">
        <v>254</v>
      </c>
      <c r="N471" s="68">
        <f>L471*M471</f>
        <v>7.130386686720683</v>
      </c>
      <c r="O471" s="68">
        <f>L471*60*1000</f>
        <v>1684.343311823783</v>
      </c>
      <c r="P471" s="69">
        <f>O471*M471/1000</f>
        <v>427.8232012032409</v>
      </c>
      <c r="R471" s="10"/>
      <c r="S471" s="10"/>
    </row>
    <row r="472" spans="1:19" s="9" customFormat="1" ht="12.75" customHeight="1">
      <c r="A472" s="220"/>
      <c r="B472" s="66" t="s">
        <v>682</v>
      </c>
      <c r="C472" s="29">
        <v>44</v>
      </c>
      <c r="D472" s="29" t="s">
        <v>24</v>
      </c>
      <c r="E472" s="39">
        <v>94.81</v>
      </c>
      <c r="F472" s="39">
        <v>4.34</v>
      </c>
      <c r="G472" s="39">
        <v>6.8</v>
      </c>
      <c r="H472" s="39">
        <v>83.67</v>
      </c>
      <c r="I472" s="74">
        <v>2966</v>
      </c>
      <c r="J472" s="39">
        <v>83.67</v>
      </c>
      <c r="K472" s="74">
        <v>2966</v>
      </c>
      <c r="L472" s="67">
        <f>J472/K472</f>
        <v>0.02820971004720162</v>
      </c>
      <c r="M472" s="32">
        <v>235.3</v>
      </c>
      <c r="N472" s="68">
        <f>L472*M472</f>
        <v>6.637744774106541</v>
      </c>
      <c r="O472" s="68">
        <f>L472*60*1000</f>
        <v>1692.582602832097</v>
      </c>
      <c r="P472" s="69">
        <f>O472*M472/1000</f>
        <v>398.26468644639243</v>
      </c>
      <c r="R472" s="10"/>
      <c r="S472" s="10"/>
    </row>
    <row r="473" spans="1:23" s="9" customFormat="1" ht="12.75" customHeight="1">
      <c r="A473" s="220"/>
      <c r="B473" s="66" t="s">
        <v>871</v>
      </c>
      <c r="C473" s="29">
        <v>36</v>
      </c>
      <c r="D473" s="29">
        <v>1968</v>
      </c>
      <c r="E473" s="39">
        <v>48.799</v>
      </c>
      <c r="F473" s="39">
        <v>1.836</v>
      </c>
      <c r="G473" s="39">
        <v>5.6</v>
      </c>
      <c r="H473" s="39">
        <v>41.363</v>
      </c>
      <c r="I473" s="74">
        <v>1464.82</v>
      </c>
      <c r="J473" s="39">
        <v>41.4</v>
      </c>
      <c r="K473" s="74">
        <v>1464.8</v>
      </c>
      <c r="L473" s="67">
        <f>J473/K473</f>
        <v>0.028263244128891318</v>
      </c>
      <c r="M473" s="32">
        <v>223.12</v>
      </c>
      <c r="N473" s="68">
        <f>L473*M473</f>
        <v>6.306095030038231</v>
      </c>
      <c r="O473" s="68">
        <f>L473*60*1000</f>
        <v>1695.794647733479</v>
      </c>
      <c r="P473" s="69">
        <f>O473*M473/1000</f>
        <v>378.3657018022938</v>
      </c>
      <c r="Q473" s="10"/>
      <c r="R473" s="10"/>
      <c r="S473" s="10"/>
      <c r="T473" s="12"/>
      <c r="U473" s="13"/>
      <c r="V473" s="13"/>
      <c r="W473" s="14"/>
    </row>
    <row r="474" spans="1:19" s="9" customFormat="1" ht="12.75" customHeight="1">
      <c r="A474" s="220"/>
      <c r="B474" s="297" t="s">
        <v>447</v>
      </c>
      <c r="C474" s="298">
        <v>50</v>
      </c>
      <c r="D474" s="298">
        <v>1978</v>
      </c>
      <c r="E474" s="299">
        <v>86.2</v>
      </c>
      <c r="F474" s="299">
        <v>4.4</v>
      </c>
      <c r="G474" s="299">
        <v>8</v>
      </c>
      <c r="H474" s="299">
        <v>73.8</v>
      </c>
      <c r="I474" s="300">
        <v>2609.15</v>
      </c>
      <c r="J474" s="299">
        <v>73.8</v>
      </c>
      <c r="K474" s="300">
        <v>2609.1</v>
      </c>
      <c r="L474" s="301">
        <v>0.028285615729561918</v>
      </c>
      <c r="M474" s="302">
        <v>215.8</v>
      </c>
      <c r="N474" s="302">
        <v>6.104035874439462</v>
      </c>
      <c r="O474" s="302">
        <f>L474*60*1000</f>
        <v>1697.136943773715</v>
      </c>
      <c r="P474" s="333">
        <v>366.2421524663677</v>
      </c>
      <c r="R474" s="10"/>
      <c r="S474" s="10"/>
    </row>
    <row r="475" spans="1:19" s="9" customFormat="1" ht="12.75" customHeight="1">
      <c r="A475" s="220"/>
      <c r="B475" s="52" t="s">
        <v>777</v>
      </c>
      <c r="C475" s="25">
        <v>14</v>
      </c>
      <c r="D475" s="25" t="s">
        <v>24</v>
      </c>
      <c r="E475" s="37">
        <f>SUM(F475:H475)</f>
        <v>19.2</v>
      </c>
      <c r="F475" s="208">
        <v>1.6</v>
      </c>
      <c r="G475" s="208">
        <v>0.1</v>
      </c>
      <c r="H475" s="208">
        <v>17.5</v>
      </c>
      <c r="I475" s="36">
        <v>624.59</v>
      </c>
      <c r="J475" s="37">
        <v>17.5</v>
      </c>
      <c r="K475" s="36">
        <v>617.86</v>
      </c>
      <c r="L475" s="67">
        <f>J475/K475</f>
        <v>0.02832356844592626</v>
      </c>
      <c r="M475" s="32">
        <v>204.4</v>
      </c>
      <c r="N475" s="68">
        <f>L475*M475</f>
        <v>5.789337390347328</v>
      </c>
      <c r="O475" s="68">
        <f>L475*60*1000</f>
        <v>1699.4141067555756</v>
      </c>
      <c r="P475" s="69">
        <f>O475*M475/1000</f>
        <v>347.36024342083965</v>
      </c>
      <c r="R475" s="10"/>
      <c r="S475" s="10"/>
    </row>
    <row r="476" spans="1:19" s="9" customFormat="1" ht="12.75" customHeight="1">
      <c r="A476" s="220"/>
      <c r="B476" s="297" t="s">
        <v>446</v>
      </c>
      <c r="C476" s="298">
        <v>50</v>
      </c>
      <c r="D476" s="298">
        <v>1973</v>
      </c>
      <c r="E476" s="299">
        <v>82.2</v>
      </c>
      <c r="F476" s="299">
        <v>3.2</v>
      </c>
      <c r="G476" s="299">
        <v>7.8</v>
      </c>
      <c r="H476" s="299">
        <v>71.2</v>
      </c>
      <c r="I476" s="300">
        <v>2510.26</v>
      </c>
      <c r="J476" s="299">
        <v>71.2</v>
      </c>
      <c r="K476" s="300">
        <v>2510.3</v>
      </c>
      <c r="L476" s="301">
        <v>0.02836314384734892</v>
      </c>
      <c r="M476" s="302">
        <v>215.8</v>
      </c>
      <c r="N476" s="302">
        <v>6.120766442257898</v>
      </c>
      <c r="O476" s="302">
        <f>L476*60*1000</f>
        <v>1701.7886308409352</v>
      </c>
      <c r="P476" s="333">
        <v>367.24598653547383</v>
      </c>
      <c r="R476" s="10"/>
      <c r="S476" s="10"/>
    </row>
    <row r="477" spans="1:19" s="9" customFormat="1" ht="12.75" customHeight="1">
      <c r="A477" s="220"/>
      <c r="B477" s="66" t="s">
        <v>625</v>
      </c>
      <c r="C477" s="29">
        <v>36</v>
      </c>
      <c r="D477" s="29">
        <v>1972</v>
      </c>
      <c r="E477" s="39">
        <v>51.217999</v>
      </c>
      <c r="F477" s="39">
        <v>2.3715</v>
      </c>
      <c r="G477" s="39">
        <v>5.76</v>
      </c>
      <c r="H477" s="39">
        <v>43.086499</v>
      </c>
      <c r="I477" s="74">
        <v>1516.82</v>
      </c>
      <c r="J477" s="39">
        <v>41.515658</v>
      </c>
      <c r="K477" s="74">
        <v>1461.52</v>
      </c>
      <c r="L477" s="67">
        <f>J477/K477</f>
        <v>0.028405809020745527</v>
      </c>
      <c r="M477" s="32">
        <v>254</v>
      </c>
      <c r="N477" s="68">
        <f>L477*M477</f>
        <v>7.2150754912693635</v>
      </c>
      <c r="O477" s="68">
        <f>L477*60*1000</f>
        <v>1704.3485412447317</v>
      </c>
      <c r="P477" s="69">
        <f>O477*M477/1000</f>
        <v>432.9045294761619</v>
      </c>
      <c r="Q477" s="11"/>
      <c r="R477" s="10"/>
      <c r="S477" s="10"/>
    </row>
    <row r="478" spans="1:19" s="9" customFormat="1" ht="12.75" customHeight="1">
      <c r="A478" s="220"/>
      <c r="B478" s="52" t="s">
        <v>145</v>
      </c>
      <c r="C478" s="25">
        <v>13</v>
      </c>
      <c r="D478" s="25">
        <v>1980</v>
      </c>
      <c r="E478" s="37">
        <f>SUM(F478:H478)</f>
        <v>22.52</v>
      </c>
      <c r="F478" s="37">
        <v>0.5907</v>
      </c>
      <c r="G478" s="37">
        <v>1.92</v>
      </c>
      <c r="H478" s="37">
        <v>20.0093</v>
      </c>
      <c r="I478" s="36">
        <v>703.82</v>
      </c>
      <c r="J478" s="37">
        <v>20.0093</v>
      </c>
      <c r="K478" s="36">
        <v>703.82</v>
      </c>
      <c r="L478" s="295">
        <f>J478/K478</f>
        <v>0.028429570060526838</v>
      </c>
      <c r="M478" s="296">
        <v>284.9</v>
      </c>
      <c r="N478" s="296">
        <f>L478*M478*1.09</f>
        <v>8.828547116166066</v>
      </c>
      <c r="O478" s="296">
        <f>L478*60*1000</f>
        <v>1705.7742036316104</v>
      </c>
      <c r="P478" s="332">
        <f>N478*60</f>
        <v>529.7128269699639</v>
      </c>
      <c r="R478" s="10"/>
      <c r="S478" s="10"/>
    </row>
    <row r="479" spans="1:19" s="9" customFormat="1" ht="12.75" customHeight="1">
      <c r="A479" s="220"/>
      <c r="B479" s="303" t="s">
        <v>582</v>
      </c>
      <c r="C479" s="29">
        <v>19</v>
      </c>
      <c r="D479" s="29">
        <v>1950</v>
      </c>
      <c r="E479" s="39">
        <v>18.794</v>
      </c>
      <c r="F479" s="39">
        <v>0</v>
      </c>
      <c r="G479" s="39">
        <v>0</v>
      </c>
      <c r="H479" s="39">
        <v>18.794</v>
      </c>
      <c r="I479" s="74">
        <v>660.46</v>
      </c>
      <c r="J479" s="39">
        <v>18.794</v>
      </c>
      <c r="K479" s="74">
        <v>660.46</v>
      </c>
      <c r="L479" s="67">
        <f>J479/K479</f>
        <v>0.0284559246585713</v>
      </c>
      <c r="M479" s="32">
        <v>300</v>
      </c>
      <c r="N479" s="68">
        <f>L479*M479</f>
        <v>8.53677739757139</v>
      </c>
      <c r="O479" s="68">
        <f>L479*60*1000</f>
        <v>1707.355479514278</v>
      </c>
      <c r="P479" s="69">
        <f>O479*M479/1000</f>
        <v>512.2066438542834</v>
      </c>
      <c r="R479" s="10"/>
      <c r="S479" s="10"/>
    </row>
    <row r="480" spans="1:19" s="9" customFormat="1" ht="12.75" customHeight="1">
      <c r="A480" s="220"/>
      <c r="B480" s="66" t="s">
        <v>506</v>
      </c>
      <c r="C480" s="29">
        <v>40</v>
      </c>
      <c r="D480" s="29">
        <v>1985</v>
      </c>
      <c r="E480" s="39">
        <v>75.07967</v>
      </c>
      <c r="F480" s="39">
        <v>6.632</v>
      </c>
      <c r="G480" s="39">
        <v>4</v>
      </c>
      <c r="H480" s="39">
        <f>E480-F480-G480</f>
        <v>64.44766999999999</v>
      </c>
      <c r="I480" s="74">
        <v>2264</v>
      </c>
      <c r="J480" s="39">
        <f>H480</f>
        <v>64.44766999999999</v>
      </c>
      <c r="K480" s="74">
        <f>I480</f>
        <v>2264</v>
      </c>
      <c r="L480" s="67">
        <f>J480/K480</f>
        <v>0.02846628533568904</v>
      </c>
      <c r="M480" s="32">
        <v>279.476</v>
      </c>
      <c r="N480" s="68">
        <f>L480*M480</f>
        <v>7.95564356047703</v>
      </c>
      <c r="O480" s="68">
        <f>L480*60*1000</f>
        <v>1707.9771201413423</v>
      </c>
      <c r="P480" s="69">
        <f>O480*M480/1000</f>
        <v>477.3386136286218</v>
      </c>
      <c r="Q480" s="11"/>
      <c r="R480" s="10"/>
      <c r="S480" s="10"/>
    </row>
    <row r="481" spans="1:19" s="9" customFormat="1" ht="12.75" customHeight="1">
      <c r="A481" s="220"/>
      <c r="B481" s="66" t="s">
        <v>812</v>
      </c>
      <c r="C481" s="29">
        <v>20</v>
      </c>
      <c r="D481" s="29" t="s">
        <v>24</v>
      </c>
      <c r="E481" s="39">
        <f>F481+G481+H481</f>
        <v>34.78</v>
      </c>
      <c r="F481" s="39">
        <v>1.594</v>
      </c>
      <c r="G481" s="39">
        <v>3.76</v>
      </c>
      <c r="H481" s="39">
        <v>29.426</v>
      </c>
      <c r="I481" s="74">
        <v>1029.2</v>
      </c>
      <c r="J481" s="39">
        <v>24.751</v>
      </c>
      <c r="K481" s="74">
        <v>865.72</v>
      </c>
      <c r="L481" s="67">
        <f>J481/K481</f>
        <v>0.028590075313034237</v>
      </c>
      <c r="M481" s="32">
        <v>350.76</v>
      </c>
      <c r="N481" s="68">
        <f>L481*M481</f>
        <v>10.028254816799889</v>
      </c>
      <c r="O481" s="68">
        <f>L481*60*1000</f>
        <v>1715.404518782054</v>
      </c>
      <c r="P481" s="69">
        <f>O481*M481/1000</f>
        <v>601.6952890079933</v>
      </c>
      <c r="R481" s="10"/>
      <c r="S481" s="10"/>
    </row>
    <row r="482" spans="1:19" s="9" customFormat="1" ht="12.75" customHeight="1">
      <c r="A482" s="220"/>
      <c r="B482" s="66" t="s">
        <v>626</v>
      </c>
      <c r="C482" s="29">
        <v>24</v>
      </c>
      <c r="D482" s="29">
        <v>1965</v>
      </c>
      <c r="E482" s="39">
        <v>37.463</v>
      </c>
      <c r="F482" s="39">
        <v>1.632</v>
      </c>
      <c r="G482" s="39">
        <v>3.84</v>
      </c>
      <c r="H482" s="39">
        <v>31.991</v>
      </c>
      <c r="I482" s="74">
        <v>1116.83</v>
      </c>
      <c r="J482" s="39">
        <v>28.130012</v>
      </c>
      <c r="K482" s="74">
        <v>982.04</v>
      </c>
      <c r="L482" s="67">
        <f>J482/K482</f>
        <v>0.02864446662050426</v>
      </c>
      <c r="M482" s="32">
        <v>254</v>
      </c>
      <c r="N482" s="68">
        <f>L482*M482</f>
        <v>7.275694521608082</v>
      </c>
      <c r="O482" s="68">
        <f>L482*60*1000</f>
        <v>1718.6679972302557</v>
      </c>
      <c r="P482" s="69">
        <f>O482*M482/1000</f>
        <v>436.54167129648494</v>
      </c>
      <c r="R482" s="10"/>
      <c r="S482" s="10"/>
    </row>
    <row r="483" spans="1:19" s="9" customFormat="1" ht="12.75" customHeight="1">
      <c r="A483" s="220"/>
      <c r="B483" s="316" t="s">
        <v>594</v>
      </c>
      <c r="C483" s="317">
        <v>22</v>
      </c>
      <c r="D483" s="25">
        <v>1988</v>
      </c>
      <c r="E483" s="37">
        <f>+F483+G483+H483</f>
        <v>40.697001</v>
      </c>
      <c r="F483" s="318">
        <v>2.0935200000000003</v>
      </c>
      <c r="G483" s="318">
        <v>3.52</v>
      </c>
      <c r="H483" s="318">
        <v>35.083481</v>
      </c>
      <c r="I483" s="319">
        <v>1221.79</v>
      </c>
      <c r="J483" s="318">
        <v>35.083481</v>
      </c>
      <c r="K483" s="319">
        <v>1221.79</v>
      </c>
      <c r="L483" s="295">
        <f>+J483/K483</f>
        <v>0.028714820877564884</v>
      </c>
      <c r="M483" s="296">
        <v>340.189</v>
      </c>
      <c r="N483" s="296">
        <f>+L483*M483</f>
        <v>9.76846619951792</v>
      </c>
      <c r="O483" s="296">
        <f>+L483*60*1000</f>
        <v>1722.889252653893</v>
      </c>
      <c r="P483" s="332">
        <f>+N483*60</f>
        <v>586.1079719710752</v>
      </c>
      <c r="R483" s="10"/>
      <c r="S483" s="10"/>
    </row>
    <row r="484" spans="1:16" s="9" customFormat="1" ht="12.75" customHeight="1">
      <c r="A484" s="220"/>
      <c r="B484" s="66" t="s">
        <v>713</v>
      </c>
      <c r="C484" s="29">
        <v>15</v>
      </c>
      <c r="D484" s="29">
        <v>1995</v>
      </c>
      <c r="E484" s="39">
        <v>35.9</v>
      </c>
      <c r="F484" s="39">
        <v>2</v>
      </c>
      <c r="G484" s="39">
        <v>2.4</v>
      </c>
      <c r="H484" s="39">
        <v>31.4</v>
      </c>
      <c r="I484" s="290"/>
      <c r="J484" s="39">
        <f>H484</f>
        <v>31.4</v>
      </c>
      <c r="K484" s="74">
        <v>1092</v>
      </c>
      <c r="L484" s="67">
        <f>J484/K484</f>
        <v>0.028754578754578753</v>
      </c>
      <c r="M484" s="32">
        <v>187.7</v>
      </c>
      <c r="N484" s="68">
        <f>L484*M484</f>
        <v>5.3972344322344314</v>
      </c>
      <c r="O484" s="68">
        <f>L484*60*1000</f>
        <v>1725.2747252747251</v>
      </c>
      <c r="P484" s="69">
        <f>O484*M484/1000</f>
        <v>323.8340659340659</v>
      </c>
    </row>
    <row r="485" spans="1:19" s="9" customFormat="1" ht="12.75" customHeight="1">
      <c r="A485" s="220"/>
      <c r="B485" s="316" t="s">
        <v>595</v>
      </c>
      <c r="C485" s="317">
        <v>20</v>
      </c>
      <c r="D485" s="25">
        <v>1985</v>
      </c>
      <c r="E485" s="37">
        <f>+F485+G485+H485</f>
        <v>36.543</v>
      </c>
      <c r="F485" s="318">
        <v>1.7177600000000002</v>
      </c>
      <c r="G485" s="318">
        <v>3.2</v>
      </c>
      <c r="H485" s="318">
        <v>31.625239999999998</v>
      </c>
      <c r="I485" s="319">
        <v>1099.8</v>
      </c>
      <c r="J485" s="318">
        <v>31.625239999999998</v>
      </c>
      <c r="K485" s="319">
        <v>1099.8</v>
      </c>
      <c r="L485" s="295">
        <f>+J485/K485</f>
        <v>0.028755446444808146</v>
      </c>
      <c r="M485" s="296">
        <v>340.189</v>
      </c>
      <c r="N485" s="296">
        <f>+L485*M485</f>
        <v>9.78228657061284</v>
      </c>
      <c r="O485" s="296">
        <f>+L485*60*1000</f>
        <v>1725.3267866884887</v>
      </c>
      <c r="P485" s="332">
        <f>+N485*60</f>
        <v>586.9371942367704</v>
      </c>
      <c r="R485" s="10"/>
      <c r="S485" s="10"/>
    </row>
    <row r="486" spans="1:19" s="9" customFormat="1" ht="12.75" customHeight="1">
      <c r="A486" s="220"/>
      <c r="B486" s="66" t="s">
        <v>873</v>
      </c>
      <c r="C486" s="29">
        <v>40</v>
      </c>
      <c r="D486" s="29">
        <v>1971</v>
      </c>
      <c r="E486" s="39">
        <v>64.271</v>
      </c>
      <c r="F486" s="39">
        <v>1.9635</v>
      </c>
      <c r="G486" s="39">
        <v>6.4</v>
      </c>
      <c r="H486" s="39">
        <v>1943.6</v>
      </c>
      <c r="I486" s="74">
        <v>1943.6</v>
      </c>
      <c r="J486" s="39">
        <v>55.907503</v>
      </c>
      <c r="K486" s="74">
        <v>1943.6</v>
      </c>
      <c r="L486" s="67">
        <f>J486/K486</f>
        <v>0.028764922309117102</v>
      </c>
      <c r="M486" s="32">
        <v>223.12</v>
      </c>
      <c r="N486" s="68">
        <f>L486*M486</f>
        <v>6.418029465610208</v>
      </c>
      <c r="O486" s="68">
        <f>L486*60*1000</f>
        <v>1725.895338547026</v>
      </c>
      <c r="P486" s="69">
        <f>O486*M486/1000</f>
        <v>385.0817679366125</v>
      </c>
      <c r="R486" s="10"/>
      <c r="S486" s="10"/>
    </row>
    <row r="487" spans="1:19" s="9" customFormat="1" ht="12.75" customHeight="1">
      <c r="A487" s="220"/>
      <c r="B487" s="304" t="s">
        <v>551</v>
      </c>
      <c r="C487" s="314">
        <v>106</v>
      </c>
      <c r="D487" s="315" t="s">
        <v>24</v>
      </c>
      <c r="E487" s="307">
        <v>99.38</v>
      </c>
      <c r="F487" s="307">
        <v>6.4</v>
      </c>
      <c r="G487" s="308">
        <v>17.28</v>
      </c>
      <c r="H487" s="307">
        <v>75.7</v>
      </c>
      <c r="I487" s="309">
        <v>2631.27</v>
      </c>
      <c r="J487" s="307">
        <v>74.53</v>
      </c>
      <c r="K487" s="310">
        <v>2590.66</v>
      </c>
      <c r="L487" s="67">
        <f>J487/K487</f>
        <v>0.028768730748149122</v>
      </c>
      <c r="M487" s="32">
        <v>266.83</v>
      </c>
      <c r="N487" s="68">
        <f>L487*M487</f>
        <v>7.67636042552863</v>
      </c>
      <c r="O487" s="68">
        <f>L487*60*1000</f>
        <v>1726.1238448889474</v>
      </c>
      <c r="P487" s="69">
        <f>O487*M487/1000</f>
        <v>460.5816255317178</v>
      </c>
      <c r="Q487" s="11"/>
      <c r="R487" s="10"/>
      <c r="S487" s="10"/>
    </row>
    <row r="488" spans="1:19" s="9" customFormat="1" ht="12.75" customHeight="1">
      <c r="A488" s="220"/>
      <c r="B488" s="297" t="s">
        <v>451</v>
      </c>
      <c r="C488" s="298">
        <v>20</v>
      </c>
      <c r="D488" s="298">
        <v>1979</v>
      </c>
      <c r="E488" s="299">
        <v>35.699999999999996</v>
      </c>
      <c r="F488" s="299">
        <v>1.7</v>
      </c>
      <c r="G488" s="299">
        <v>3.1</v>
      </c>
      <c r="H488" s="299">
        <v>30.9</v>
      </c>
      <c r="I488" s="300">
        <v>1073.91</v>
      </c>
      <c r="J488" s="299">
        <v>30.9</v>
      </c>
      <c r="K488" s="300">
        <v>1073.9</v>
      </c>
      <c r="L488" s="301">
        <v>0.02877362882949995</v>
      </c>
      <c r="M488" s="302">
        <v>215.8</v>
      </c>
      <c r="N488" s="302">
        <v>6.209349101406089</v>
      </c>
      <c r="O488" s="302">
        <f>L488*60*1000</f>
        <v>1726.4177297699969</v>
      </c>
      <c r="P488" s="333">
        <v>372.56094608436536</v>
      </c>
      <c r="R488" s="10"/>
      <c r="S488" s="10"/>
    </row>
    <row r="489" spans="1:19" s="9" customFormat="1" ht="12.75" customHeight="1">
      <c r="A489" s="220"/>
      <c r="B489" s="66" t="s">
        <v>813</v>
      </c>
      <c r="C489" s="29">
        <v>22</v>
      </c>
      <c r="D489" s="29" t="s">
        <v>24</v>
      </c>
      <c r="E489" s="39">
        <f>F489+G489+H489</f>
        <v>39.92</v>
      </c>
      <c r="F489" s="39">
        <v>1.687</v>
      </c>
      <c r="G489" s="39">
        <v>3.52</v>
      </c>
      <c r="H489" s="39">
        <v>34.713</v>
      </c>
      <c r="I489" s="74">
        <v>1205.61</v>
      </c>
      <c r="J489" s="39">
        <v>34.713</v>
      </c>
      <c r="K489" s="74">
        <v>1205.61</v>
      </c>
      <c r="L489" s="67">
        <f>J489/K489</f>
        <v>0.028792893224176976</v>
      </c>
      <c r="M489" s="32">
        <v>350.76</v>
      </c>
      <c r="N489" s="68">
        <f>L489*M489</f>
        <v>10.099395227312316</v>
      </c>
      <c r="O489" s="68">
        <f>L489*60*1000</f>
        <v>1727.5735934506185</v>
      </c>
      <c r="P489" s="69">
        <f>O489*M489/1000</f>
        <v>605.9637136387389</v>
      </c>
      <c r="R489" s="10"/>
      <c r="S489" s="10"/>
    </row>
    <row r="490" spans="1:19" s="9" customFormat="1" ht="12.75" customHeight="1">
      <c r="A490" s="220"/>
      <c r="B490" s="66" t="s">
        <v>318</v>
      </c>
      <c r="C490" s="29">
        <v>12</v>
      </c>
      <c r="D490" s="29">
        <v>1980</v>
      </c>
      <c r="E490" s="39">
        <v>20.221</v>
      </c>
      <c r="F490" s="39">
        <v>1.428</v>
      </c>
      <c r="G490" s="39">
        <v>1.92</v>
      </c>
      <c r="H490" s="39">
        <v>16.873</v>
      </c>
      <c r="I490" s="74">
        <v>584.73</v>
      </c>
      <c r="J490" s="39">
        <v>16.873</v>
      </c>
      <c r="K490" s="74">
        <v>584.73</v>
      </c>
      <c r="L490" s="67">
        <f>J490/K490</f>
        <v>0.028856053221144803</v>
      </c>
      <c r="M490" s="32">
        <v>337.137</v>
      </c>
      <c r="N490" s="68">
        <f>L490*M490</f>
        <v>9.728443214817096</v>
      </c>
      <c r="O490" s="68">
        <f>L490*60*1000</f>
        <v>1731.363193268688</v>
      </c>
      <c r="P490" s="69">
        <f>O490*M490/1000</f>
        <v>583.7065928890257</v>
      </c>
      <c r="Q490" s="11"/>
      <c r="R490" s="10"/>
      <c r="S490" s="10"/>
    </row>
    <row r="491" spans="1:19" s="9" customFormat="1" ht="12.75" customHeight="1">
      <c r="A491" s="220"/>
      <c r="B491" s="66" t="s">
        <v>683</v>
      </c>
      <c r="C491" s="29">
        <v>55</v>
      </c>
      <c r="D491" s="29" t="s">
        <v>24</v>
      </c>
      <c r="E491" s="39">
        <v>99.54</v>
      </c>
      <c r="F491" s="39">
        <v>4.95</v>
      </c>
      <c r="G491" s="39">
        <v>8.64</v>
      </c>
      <c r="H491" s="39">
        <v>85.95</v>
      </c>
      <c r="I491" s="74">
        <v>2973</v>
      </c>
      <c r="J491" s="39">
        <v>85.95</v>
      </c>
      <c r="K491" s="74">
        <v>2973</v>
      </c>
      <c r="L491" s="67">
        <f>J491/K491</f>
        <v>0.02891019172552977</v>
      </c>
      <c r="M491" s="32">
        <v>235.3</v>
      </c>
      <c r="N491" s="68">
        <f>L491*M491</f>
        <v>6.802568113017156</v>
      </c>
      <c r="O491" s="68">
        <f>L491*60*1000</f>
        <v>1734.6115035317862</v>
      </c>
      <c r="P491" s="69">
        <f>O491*M491/1000</f>
        <v>408.1540867810293</v>
      </c>
      <c r="Q491" s="11"/>
      <c r="R491" s="10"/>
      <c r="S491" s="10"/>
    </row>
    <row r="492" spans="1:25" s="9" customFormat="1" ht="12.75" customHeight="1">
      <c r="A492" s="220"/>
      <c r="B492" s="66" t="s">
        <v>814</v>
      </c>
      <c r="C492" s="29">
        <v>20</v>
      </c>
      <c r="D492" s="29" t="s">
        <v>24</v>
      </c>
      <c r="E492" s="39">
        <f>F492+G492+H492</f>
        <v>35.251</v>
      </c>
      <c r="F492" s="39">
        <v>1.811</v>
      </c>
      <c r="G492" s="39">
        <v>3.2</v>
      </c>
      <c r="H492" s="39">
        <v>30.24</v>
      </c>
      <c r="I492" s="74">
        <v>1045.09</v>
      </c>
      <c r="J492" s="39">
        <v>30.24</v>
      </c>
      <c r="K492" s="74">
        <v>1045.09</v>
      </c>
      <c r="L492" s="67">
        <f>J492/K492</f>
        <v>0.028935307007052026</v>
      </c>
      <c r="M492" s="32">
        <v>350.76</v>
      </c>
      <c r="N492" s="68">
        <f>L492*M492</f>
        <v>10.149348285793568</v>
      </c>
      <c r="O492" s="68">
        <f>L492*60*1000</f>
        <v>1736.1184204231215</v>
      </c>
      <c r="P492" s="69">
        <f>O492*M492/1000</f>
        <v>608.960897147614</v>
      </c>
      <c r="Q492" s="10"/>
      <c r="R492" s="10"/>
      <c r="S492" s="10"/>
      <c r="T492" s="12"/>
      <c r="U492" s="13"/>
      <c r="V492" s="13"/>
      <c r="W492" s="14"/>
      <c r="X492" s="14"/>
      <c r="Y492" s="14"/>
    </row>
    <row r="493" spans="1:19" s="9" customFormat="1" ht="12.75" customHeight="1">
      <c r="A493" s="220"/>
      <c r="B493" s="52" t="s">
        <v>424</v>
      </c>
      <c r="C493" s="25">
        <v>85</v>
      </c>
      <c r="D493" s="25">
        <v>1970</v>
      </c>
      <c r="E493" s="37">
        <v>131.6</v>
      </c>
      <c r="F493" s="37">
        <v>6.8</v>
      </c>
      <c r="G493" s="37">
        <v>13.6</v>
      </c>
      <c r="H493" s="37">
        <v>111.2</v>
      </c>
      <c r="I493" s="36">
        <v>3839.76</v>
      </c>
      <c r="J493" s="37">
        <v>111.2</v>
      </c>
      <c r="K493" s="36">
        <v>3839.76</v>
      </c>
      <c r="L493" s="295">
        <f>J493/K493</f>
        <v>0.028960143342292227</v>
      </c>
      <c r="M493" s="296">
        <v>263.899</v>
      </c>
      <c r="N493" s="296">
        <f>L493*M493</f>
        <v>7.642552867887576</v>
      </c>
      <c r="O493" s="296">
        <f>L493*1000*60</f>
        <v>1737.6086005375337</v>
      </c>
      <c r="P493" s="332">
        <f>N493*60</f>
        <v>458.5531720732546</v>
      </c>
      <c r="R493" s="10"/>
      <c r="S493" s="10"/>
    </row>
    <row r="494" spans="1:19" s="9" customFormat="1" ht="12.75" customHeight="1">
      <c r="A494" s="220"/>
      <c r="B494" s="297" t="s">
        <v>448</v>
      </c>
      <c r="C494" s="298">
        <v>10</v>
      </c>
      <c r="D494" s="298">
        <v>1968</v>
      </c>
      <c r="E494" s="299">
        <v>21.900000000000002</v>
      </c>
      <c r="F494" s="299">
        <v>1</v>
      </c>
      <c r="G494" s="299">
        <v>1.6</v>
      </c>
      <c r="H494" s="299">
        <v>19.3</v>
      </c>
      <c r="I494" s="300">
        <v>662.08</v>
      </c>
      <c r="J494" s="299">
        <v>19.3</v>
      </c>
      <c r="K494" s="300">
        <v>665.81</v>
      </c>
      <c r="L494" s="301">
        <v>0.028987248614469597</v>
      </c>
      <c r="M494" s="302">
        <v>215.8</v>
      </c>
      <c r="N494" s="302">
        <v>6.255448251002539</v>
      </c>
      <c r="O494" s="302">
        <f>L494*60*1000</f>
        <v>1739.2349168681758</v>
      </c>
      <c r="P494" s="333">
        <v>375.32689506015237</v>
      </c>
      <c r="R494" s="10"/>
      <c r="S494" s="10"/>
    </row>
    <row r="495" spans="1:19" s="9" customFormat="1" ht="12.75" customHeight="1">
      <c r="A495" s="220"/>
      <c r="B495" s="52" t="s">
        <v>173</v>
      </c>
      <c r="C495" s="25">
        <v>85</v>
      </c>
      <c r="D495" s="25">
        <v>1970</v>
      </c>
      <c r="E495" s="37">
        <v>130.1</v>
      </c>
      <c r="F495" s="37">
        <v>6.4055</v>
      </c>
      <c r="G495" s="37">
        <v>13.6</v>
      </c>
      <c r="H495" s="37">
        <v>110.09</v>
      </c>
      <c r="I495" s="36">
        <v>3789.83</v>
      </c>
      <c r="J495" s="37">
        <v>110.09</v>
      </c>
      <c r="K495" s="36">
        <v>3789.83</v>
      </c>
      <c r="L495" s="295">
        <f>J495/K495</f>
        <v>0.029048796384006672</v>
      </c>
      <c r="M495" s="296">
        <v>263.899</v>
      </c>
      <c r="N495" s="296">
        <f>L495*M495</f>
        <v>7.665948316942977</v>
      </c>
      <c r="O495" s="296">
        <f>L495*1000*60</f>
        <v>1742.9277830404003</v>
      </c>
      <c r="P495" s="332">
        <f>N495*60</f>
        <v>459.95689901657863</v>
      </c>
      <c r="R495" s="10"/>
      <c r="S495" s="10"/>
    </row>
    <row r="496" spans="1:19" s="9" customFormat="1" ht="12.75" customHeight="1">
      <c r="A496" s="220"/>
      <c r="B496" s="66" t="s">
        <v>815</v>
      </c>
      <c r="C496" s="29">
        <v>45</v>
      </c>
      <c r="D496" s="29" t="s">
        <v>24</v>
      </c>
      <c r="E496" s="39">
        <f>F496+G496+H496</f>
        <v>66.034</v>
      </c>
      <c r="F496" s="39">
        <v>3.496</v>
      </c>
      <c r="G496" s="39">
        <v>7.2</v>
      </c>
      <c r="H496" s="39">
        <v>55.338</v>
      </c>
      <c r="I496" s="74">
        <v>1903.57</v>
      </c>
      <c r="J496" s="39">
        <v>55.338</v>
      </c>
      <c r="K496" s="74">
        <v>1903.57</v>
      </c>
      <c r="L496" s="67">
        <f>J496/K496</f>
        <v>0.029070640953576702</v>
      </c>
      <c r="M496" s="32">
        <v>350.76</v>
      </c>
      <c r="N496" s="68">
        <f>L496*M496</f>
        <v>10.196818020876563</v>
      </c>
      <c r="O496" s="68">
        <f>L496*60*1000</f>
        <v>1744.238457214602</v>
      </c>
      <c r="P496" s="69">
        <f>O496*M496/1000</f>
        <v>611.8090812525937</v>
      </c>
      <c r="R496" s="10"/>
      <c r="S496" s="10"/>
    </row>
    <row r="497" spans="1:19" s="9" customFormat="1" ht="12.75" customHeight="1">
      <c r="A497" s="220"/>
      <c r="B497" s="52" t="s">
        <v>382</v>
      </c>
      <c r="C497" s="25">
        <v>54</v>
      </c>
      <c r="D497" s="25">
        <v>1992</v>
      </c>
      <c r="E497" s="37">
        <f>SUM(F497:H497)</f>
        <v>108.328802</v>
      </c>
      <c r="F497" s="37">
        <v>5.5846</v>
      </c>
      <c r="G497" s="37">
        <v>8.45</v>
      </c>
      <c r="H497" s="37">
        <v>94.294202</v>
      </c>
      <c r="I497" s="36">
        <v>3243.5</v>
      </c>
      <c r="J497" s="37">
        <v>94.294202</v>
      </c>
      <c r="K497" s="36">
        <v>3243.5</v>
      </c>
      <c r="L497" s="295">
        <f>J497/K497</f>
        <v>0.0290717441035918</v>
      </c>
      <c r="M497" s="296">
        <v>284.9</v>
      </c>
      <c r="N497" s="296">
        <f>L497*M497*1.09</f>
        <v>9.027968485673501</v>
      </c>
      <c r="O497" s="296">
        <f>L497*60*1000</f>
        <v>1744.3046462155078</v>
      </c>
      <c r="P497" s="332">
        <f>N497*60</f>
        <v>541.67810914041</v>
      </c>
      <c r="Q497" s="11"/>
      <c r="R497" s="10"/>
      <c r="S497" s="10"/>
    </row>
    <row r="498" spans="1:19" s="9" customFormat="1" ht="12.75" customHeight="1">
      <c r="A498" s="220"/>
      <c r="B498" s="66" t="s">
        <v>684</v>
      </c>
      <c r="C498" s="29">
        <v>44</v>
      </c>
      <c r="D498" s="29" t="s">
        <v>24</v>
      </c>
      <c r="E498" s="39">
        <v>78.02</v>
      </c>
      <c r="F498" s="39">
        <v>2.6</v>
      </c>
      <c r="G498" s="39">
        <v>6.97</v>
      </c>
      <c r="H498" s="39">
        <v>68.45</v>
      </c>
      <c r="I498" s="74">
        <v>2354</v>
      </c>
      <c r="J498" s="39">
        <v>68.45</v>
      </c>
      <c r="K498" s="74">
        <v>2354</v>
      </c>
      <c r="L498" s="67">
        <f>J498/K498</f>
        <v>0.029078164825828378</v>
      </c>
      <c r="M498" s="32">
        <v>235.3</v>
      </c>
      <c r="N498" s="68">
        <f>L498*M498</f>
        <v>6.842092183517417</v>
      </c>
      <c r="O498" s="68">
        <f>L498*60*1000</f>
        <v>1744.6898895497027</v>
      </c>
      <c r="P498" s="69">
        <f>O498*M498/1000</f>
        <v>410.525531011045</v>
      </c>
      <c r="R498" s="10"/>
      <c r="S498" s="10"/>
    </row>
    <row r="499" spans="1:19" s="9" customFormat="1" ht="12.75" customHeight="1">
      <c r="A499" s="220"/>
      <c r="B499" s="316" t="s">
        <v>596</v>
      </c>
      <c r="C499" s="317">
        <v>21</v>
      </c>
      <c r="D499" s="25">
        <v>1992</v>
      </c>
      <c r="E499" s="37">
        <f>+F499+G499+H499</f>
        <v>36.160005</v>
      </c>
      <c r="F499" s="318">
        <v>1.6104</v>
      </c>
      <c r="G499" s="318">
        <v>3.2</v>
      </c>
      <c r="H499" s="318">
        <v>31.349605</v>
      </c>
      <c r="I499" s="319">
        <v>1077.7</v>
      </c>
      <c r="J499" s="318">
        <v>31.349605</v>
      </c>
      <c r="K499" s="319">
        <v>1077.7</v>
      </c>
      <c r="L499" s="295">
        <f>+J499/K499</f>
        <v>0.029089361603414677</v>
      </c>
      <c r="M499" s="296">
        <v>340.189</v>
      </c>
      <c r="N499" s="296">
        <f>+L499*M499</f>
        <v>9.895880834504036</v>
      </c>
      <c r="O499" s="296">
        <f>+L499*60*1000</f>
        <v>1745.3616962048807</v>
      </c>
      <c r="P499" s="332">
        <f>+N499*60</f>
        <v>593.7528500702422</v>
      </c>
      <c r="R499" s="10"/>
      <c r="S499" s="10"/>
    </row>
    <row r="500" spans="1:19" s="9" customFormat="1" ht="12.75" customHeight="1">
      <c r="A500" s="220"/>
      <c r="B500" s="66" t="s">
        <v>854</v>
      </c>
      <c r="C500" s="29">
        <v>45</v>
      </c>
      <c r="D500" s="29">
        <v>1966</v>
      </c>
      <c r="E500" s="39">
        <v>65.314</v>
      </c>
      <c r="F500" s="39">
        <v>4.408</v>
      </c>
      <c r="G500" s="39">
        <v>6.96</v>
      </c>
      <c r="H500" s="39">
        <v>53.946</v>
      </c>
      <c r="I500" s="74">
        <v>1851</v>
      </c>
      <c r="J500" s="39">
        <v>53.946</v>
      </c>
      <c r="K500" s="74">
        <v>1851</v>
      </c>
      <c r="L500" s="67">
        <f>J500/K500</f>
        <v>0.029144246353322526</v>
      </c>
      <c r="M500" s="32">
        <v>254.2</v>
      </c>
      <c r="N500" s="68">
        <f>L500*M500</f>
        <v>7.408467423014586</v>
      </c>
      <c r="O500" s="68">
        <f>L500*60*1000</f>
        <v>1748.6547811993516</v>
      </c>
      <c r="P500" s="69">
        <f>O500*M500/1000</f>
        <v>444.50804538087516</v>
      </c>
      <c r="Q500" s="11"/>
      <c r="R500" s="10"/>
      <c r="S500" s="10"/>
    </row>
    <row r="501" spans="1:19" s="9" customFormat="1" ht="12.75" customHeight="1">
      <c r="A501" s="220"/>
      <c r="B501" s="66" t="s">
        <v>627</v>
      </c>
      <c r="C501" s="29">
        <v>47</v>
      </c>
      <c r="D501" s="29">
        <v>1980</v>
      </c>
      <c r="E501" s="39">
        <v>45.846999</v>
      </c>
      <c r="F501" s="39">
        <v>0</v>
      </c>
      <c r="G501" s="39">
        <v>0</v>
      </c>
      <c r="H501" s="39">
        <v>45.846999</v>
      </c>
      <c r="I501" s="74">
        <v>1572.62</v>
      </c>
      <c r="J501" s="39">
        <v>45.846999</v>
      </c>
      <c r="K501" s="74">
        <v>1572.62</v>
      </c>
      <c r="L501" s="67">
        <f>J501/K501</f>
        <v>0.029153259528684614</v>
      </c>
      <c r="M501" s="32">
        <v>254</v>
      </c>
      <c r="N501" s="68">
        <f>L501*M501</f>
        <v>7.404927920285892</v>
      </c>
      <c r="O501" s="68">
        <f>L501*60*1000</f>
        <v>1749.1955717210767</v>
      </c>
      <c r="P501" s="69">
        <f>O501*M501/1000</f>
        <v>444.29567521715353</v>
      </c>
      <c r="R501" s="10"/>
      <c r="S501" s="10"/>
    </row>
    <row r="502" spans="1:19" s="9" customFormat="1" ht="12.75" customHeight="1">
      <c r="A502" s="220"/>
      <c r="B502" s="304" t="s">
        <v>552</v>
      </c>
      <c r="C502" s="312">
        <v>70</v>
      </c>
      <c r="D502" s="315" t="s">
        <v>24</v>
      </c>
      <c r="E502" s="307">
        <v>97.63</v>
      </c>
      <c r="F502" s="307">
        <v>7.58</v>
      </c>
      <c r="G502" s="308">
        <v>0.68</v>
      </c>
      <c r="H502" s="307">
        <v>89.37</v>
      </c>
      <c r="I502" s="312">
        <v>3063.74</v>
      </c>
      <c r="J502" s="307">
        <v>89.37</v>
      </c>
      <c r="K502" s="310">
        <v>3063.74</v>
      </c>
      <c r="L502" s="67">
        <f>J502/K502</f>
        <v>0.029170229849791434</v>
      </c>
      <c r="M502" s="32">
        <v>266.83</v>
      </c>
      <c r="N502" s="68">
        <f>L502*M502</f>
        <v>7.783492430819848</v>
      </c>
      <c r="O502" s="68">
        <f>L502*60*1000</f>
        <v>1750.213790987486</v>
      </c>
      <c r="P502" s="69">
        <f>O502*M502/1000</f>
        <v>467.00954584919083</v>
      </c>
      <c r="Q502" s="11"/>
      <c r="R502" s="10"/>
      <c r="S502" s="10"/>
    </row>
    <row r="503" spans="1:19" s="9" customFormat="1" ht="12.75" customHeight="1">
      <c r="A503" s="220"/>
      <c r="B503" s="66" t="s">
        <v>276</v>
      </c>
      <c r="C503" s="29">
        <v>22</v>
      </c>
      <c r="D503" s="29" t="s">
        <v>24</v>
      </c>
      <c r="E503" s="39">
        <f>F503+G503+H503</f>
        <v>40.441</v>
      </c>
      <c r="F503" s="39">
        <v>1.586</v>
      </c>
      <c r="G503" s="39">
        <v>3.52</v>
      </c>
      <c r="H503" s="39">
        <v>35.335</v>
      </c>
      <c r="I503" s="74">
        <v>1209.73</v>
      </c>
      <c r="J503" s="39">
        <v>35.335</v>
      </c>
      <c r="K503" s="74">
        <v>1209.73</v>
      </c>
      <c r="L503" s="67">
        <f>J503/K503</f>
        <v>0.029208997048928275</v>
      </c>
      <c r="M503" s="32">
        <v>350.76</v>
      </c>
      <c r="N503" s="68">
        <f>L503*M503</f>
        <v>10.245347804882082</v>
      </c>
      <c r="O503" s="68">
        <f>L503*60*1000</f>
        <v>1752.5398229356965</v>
      </c>
      <c r="P503" s="69">
        <f>O503*M503/1000</f>
        <v>614.7208682929249</v>
      </c>
      <c r="Q503" s="11"/>
      <c r="R503" s="10"/>
      <c r="S503" s="10"/>
    </row>
    <row r="504" spans="1:19" s="9" customFormat="1" ht="12.75" customHeight="1">
      <c r="A504" s="220"/>
      <c r="B504" s="52" t="s">
        <v>381</v>
      </c>
      <c r="C504" s="25">
        <v>12</v>
      </c>
      <c r="D504" s="25">
        <v>1986</v>
      </c>
      <c r="E504" s="37">
        <f>SUM(F504:H504)</f>
        <v>23.839997</v>
      </c>
      <c r="F504" s="37">
        <v>1.2351</v>
      </c>
      <c r="G504" s="37">
        <v>1.945</v>
      </c>
      <c r="H504" s="37">
        <v>20.659897</v>
      </c>
      <c r="I504" s="36">
        <v>706.88</v>
      </c>
      <c r="J504" s="37">
        <v>20.659897</v>
      </c>
      <c r="K504" s="36">
        <v>706.88</v>
      </c>
      <c r="L504" s="295">
        <f>J504/K504</f>
        <v>0.029226880092802176</v>
      </c>
      <c r="M504" s="296">
        <v>284.9</v>
      </c>
      <c r="N504" s="296">
        <f>L504*M504*1.09</f>
        <v>9.07614457089888</v>
      </c>
      <c r="O504" s="296">
        <f>L504*60*1000</f>
        <v>1753.6128055681306</v>
      </c>
      <c r="P504" s="332">
        <f>N504*60</f>
        <v>544.5686742539327</v>
      </c>
      <c r="R504" s="10"/>
      <c r="S504" s="10"/>
    </row>
    <row r="505" spans="1:22" s="9" customFormat="1" ht="12.75" customHeight="1">
      <c r="A505" s="220"/>
      <c r="B505" s="66" t="s">
        <v>816</v>
      </c>
      <c r="C505" s="29">
        <v>20</v>
      </c>
      <c r="D505" s="29" t="s">
        <v>24</v>
      </c>
      <c r="E505" s="39">
        <f>F505+G505+H505</f>
        <v>35.303</v>
      </c>
      <c r="F505" s="39">
        <v>2.485</v>
      </c>
      <c r="G505" s="39">
        <v>3.12</v>
      </c>
      <c r="H505" s="39">
        <v>29.698</v>
      </c>
      <c r="I505" s="74">
        <v>1014.75</v>
      </c>
      <c r="J505" s="39">
        <v>29.698</v>
      </c>
      <c r="K505" s="74">
        <v>1014.75</v>
      </c>
      <c r="L505" s="67">
        <f>J505/K505</f>
        <v>0.029266321754126634</v>
      </c>
      <c r="M505" s="32">
        <v>350.76</v>
      </c>
      <c r="N505" s="68">
        <f>L505*M505</f>
        <v>10.265455018477457</v>
      </c>
      <c r="O505" s="68">
        <f>L505*60*1000</f>
        <v>1755.979305247598</v>
      </c>
      <c r="P505" s="69">
        <f>O505*M505/1000</f>
        <v>615.9273011086475</v>
      </c>
      <c r="Q505" s="10"/>
      <c r="R505" s="10"/>
      <c r="S505" s="10"/>
      <c r="T505" s="12"/>
      <c r="U505" s="13"/>
      <c r="V505" s="13"/>
    </row>
    <row r="506" spans="1:19" s="9" customFormat="1" ht="12.75" customHeight="1">
      <c r="A506" s="220"/>
      <c r="B506" s="316" t="s">
        <v>597</v>
      </c>
      <c r="C506" s="317">
        <v>20</v>
      </c>
      <c r="D506" s="25">
        <v>1986</v>
      </c>
      <c r="E506" s="37">
        <f>+F506+G506+H506</f>
        <v>37.516999</v>
      </c>
      <c r="F506" s="318">
        <v>2.259928</v>
      </c>
      <c r="G506" s="318">
        <v>3.2</v>
      </c>
      <c r="H506" s="318">
        <v>32.057071</v>
      </c>
      <c r="I506" s="319">
        <v>1094.49</v>
      </c>
      <c r="J506" s="318">
        <v>32.057071</v>
      </c>
      <c r="K506" s="319">
        <v>1094.49</v>
      </c>
      <c r="L506" s="295">
        <f>+J506/K506</f>
        <v>0.029289505614487114</v>
      </c>
      <c r="M506" s="296">
        <v>340.189</v>
      </c>
      <c r="N506" s="296">
        <f>+L506*M506</f>
        <v>9.963967625486758</v>
      </c>
      <c r="O506" s="296">
        <f>+L506*60*1000</f>
        <v>1757.3703368692268</v>
      </c>
      <c r="P506" s="332">
        <f>+N506*60</f>
        <v>597.8380575292055</v>
      </c>
      <c r="Q506" s="11"/>
      <c r="R506" s="10"/>
      <c r="S506" s="10"/>
    </row>
    <row r="507" spans="1:19" s="9" customFormat="1" ht="12.75" customHeight="1">
      <c r="A507" s="220"/>
      <c r="B507" s="66" t="s">
        <v>817</v>
      </c>
      <c r="C507" s="29">
        <v>22</v>
      </c>
      <c r="D507" s="29" t="s">
        <v>24</v>
      </c>
      <c r="E507" s="39">
        <f>F507+G507+H507</f>
        <v>41.532</v>
      </c>
      <c r="F507" s="39">
        <v>2.323</v>
      </c>
      <c r="G507" s="39">
        <v>3.52</v>
      </c>
      <c r="H507" s="39">
        <v>35.689</v>
      </c>
      <c r="I507" s="74">
        <v>1217.03</v>
      </c>
      <c r="J507" s="39">
        <v>35.689</v>
      </c>
      <c r="K507" s="74">
        <v>1217.03</v>
      </c>
      <c r="L507" s="67">
        <f>J507/K507</f>
        <v>0.02932466742808312</v>
      </c>
      <c r="M507" s="32">
        <v>350.76</v>
      </c>
      <c r="N507" s="68">
        <f>L507*M507</f>
        <v>10.285920347074434</v>
      </c>
      <c r="O507" s="68">
        <f>L507*60*1000</f>
        <v>1759.4800456849873</v>
      </c>
      <c r="P507" s="69">
        <f>O507*M507/1000</f>
        <v>617.1552208244661</v>
      </c>
      <c r="R507" s="10"/>
      <c r="S507" s="10"/>
    </row>
    <row r="508" spans="1:19" s="9" customFormat="1" ht="12.75" customHeight="1">
      <c r="A508" s="220"/>
      <c r="B508" s="316" t="s">
        <v>598</v>
      </c>
      <c r="C508" s="317">
        <v>19</v>
      </c>
      <c r="D508" s="25">
        <v>1987</v>
      </c>
      <c r="E508" s="37">
        <f>+F508+G508+H508</f>
        <v>34.684617</v>
      </c>
      <c r="F508" s="318">
        <v>2.109624</v>
      </c>
      <c r="G508" s="318">
        <v>3.04</v>
      </c>
      <c r="H508" s="318">
        <v>29.534993</v>
      </c>
      <c r="I508" s="319">
        <v>1039.89</v>
      </c>
      <c r="J508" s="318">
        <v>29.534993</v>
      </c>
      <c r="K508" s="319">
        <v>1004.6700000000001</v>
      </c>
      <c r="L508" s="295">
        <f>+J508/K508</f>
        <v>0.02939770571431415</v>
      </c>
      <c r="M508" s="296">
        <v>340.189</v>
      </c>
      <c r="N508" s="296">
        <f>+L508*M508</f>
        <v>10.000776109246816</v>
      </c>
      <c r="O508" s="296">
        <f>+L508*60*1000</f>
        <v>1763.862342858849</v>
      </c>
      <c r="P508" s="332">
        <f>+N508*60</f>
        <v>600.0465665548089</v>
      </c>
      <c r="Q508" s="11"/>
      <c r="R508" s="10"/>
      <c r="S508" s="10"/>
    </row>
    <row r="509" spans="1:19" s="9" customFormat="1" ht="12.75" customHeight="1">
      <c r="A509" s="220"/>
      <c r="B509" s="316" t="s">
        <v>254</v>
      </c>
      <c r="C509" s="317">
        <v>20</v>
      </c>
      <c r="D509" s="25">
        <v>1983</v>
      </c>
      <c r="E509" s="37">
        <f>+F509+G509+H509</f>
        <v>36.244995</v>
      </c>
      <c r="F509" s="318">
        <v>2.52296</v>
      </c>
      <c r="G509" s="318">
        <v>3.2</v>
      </c>
      <c r="H509" s="318">
        <v>30.522035000000002</v>
      </c>
      <c r="I509" s="319">
        <v>1037.5</v>
      </c>
      <c r="J509" s="318">
        <v>30.522035000000002</v>
      </c>
      <c r="K509" s="319">
        <v>1037.5</v>
      </c>
      <c r="L509" s="295">
        <f>+J509/K509</f>
        <v>0.029418828915662654</v>
      </c>
      <c r="M509" s="296">
        <v>340.189</v>
      </c>
      <c r="N509" s="296">
        <f>+L509*M509</f>
        <v>10.007961989990363</v>
      </c>
      <c r="O509" s="296">
        <f>+L509*60*1000</f>
        <v>1765.1297349397591</v>
      </c>
      <c r="P509" s="332">
        <f>+N509*60</f>
        <v>600.4777193994219</v>
      </c>
      <c r="R509" s="10"/>
      <c r="S509" s="10"/>
    </row>
    <row r="510" spans="1:19" s="9" customFormat="1" ht="12.75" customHeight="1">
      <c r="A510" s="220"/>
      <c r="B510" s="66" t="s">
        <v>628</v>
      </c>
      <c r="C510" s="29">
        <v>36</v>
      </c>
      <c r="D510" s="29">
        <v>1976</v>
      </c>
      <c r="E510" s="39">
        <v>44.389</v>
      </c>
      <c r="F510" s="39">
        <v>0</v>
      </c>
      <c r="G510" s="39">
        <v>0</v>
      </c>
      <c r="H510" s="39">
        <v>44.389</v>
      </c>
      <c r="I510" s="74">
        <v>1508.15</v>
      </c>
      <c r="J510" s="39">
        <v>44.389</v>
      </c>
      <c r="K510" s="74">
        <v>1508.15</v>
      </c>
      <c r="L510" s="67">
        <f>J510/K510</f>
        <v>0.029432748731890064</v>
      </c>
      <c r="M510" s="32">
        <v>254</v>
      </c>
      <c r="N510" s="68">
        <f>L510*M510</f>
        <v>7.475918177900076</v>
      </c>
      <c r="O510" s="68">
        <f>L510*60*1000</f>
        <v>1765.964923913404</v>
      </c>
      <c r="P510" s="69">
        <f>O510*M510/1000</f>
        <v>448.5550906740046</v>
      </c>
      <c r="R510" s="10"/>
      <c r="S510" s="10"/>
    </row>
    <row r="511" spans="1:16" s="9" customFormat="1" ht="12.75" customHeight="1">
      <c r="A511" s="220"/>
      <c r="B511" s="66" t="s">
        <v>818</v>
      </c>
      <c r="C511" s="29">
        <v>18</v>
      </c>
      <c r="D511" s="29" t="s">
        <v>24</v>
      </c>
      <c r="E511" s="39">
        <f>F511+G511+H511</f>
        <v>34.221000000000004</v>
      </c>
      <c r="F511" s="39">
        <v>1.945</v>
      </c>
      <c r="G511" s="39">
        <v>2.88</v>
      </c>
      <c r="H511" s="39">
        <v>29.396</v>
      </c>
      <c r="I511" s="74">
        <v>998.64</v>
      </c>
      <c r="J511" s="39">
        <v>29.396</v>
      </c>
      <c r="K511" s="74">
        <v>998.64</v>
      </c>
      <c r="L511" s="67">
        <f>J511/K511</f>
        <v>0.029436033004886647</v>
      </c>
      <c r="M511" s="32">
        <v>350.76</v>
      </c>
      <c r="N511" s="68">
        <f>L511*M511</f>
        <v>10.32498293679404</v>
      </c>
      <c r="O511" s="68">
        <f>L511*60*1000</f>
        <v>1766.161980293199</v>
      </c>
      <c r="P511" s="69">
        <f>O511*M511/1000</f>
        <v>619.4989762076425</v>
      </c>
    </row>
    <row r="512" spans="1:19" s="9" customFormat="1" ht="12.75" customHeight="1">
      <c r="A512" s="220"/>
      <c r="B512" s="66" t="s">
        <v>507</v>
      </c>
      <c r="C512" s="29">
        <v>80</v>
      </c>
      <c r="D512" s="29">
        <v>1990</v>
      </c>
      <c r="E512" s="39">
        <v>185.268</v>
      </c>
      <c r="F512" s="39">
        <v>14.64497</v>
      </c>
      <c r="G512" s="39">
        <v>11.13</v>
      </c>
      <c r="H512" s="39">
        <f>E512-F512-G512</f>
        <v>159.49303</v>
      </c>
      <c r="I512" s="74">
        <v>5414.8</v>
      </c>
      <c r="J512" s="39">
        <f>H512</f>
        <v>159.49303</v>
      </c>
      <c r="K512" s="74">
        <f>I512</f>
        <v>5414.8</v>
      </c>
      <c r="L512" s="67">
        <f>J512/K512</f>
        <v>0.029455017729186673</v>
      </c>
      <c r="M512" s="32">
        <v>279.476</v>
      </c>
      <c r="N512" s="68">
        <f>L512*M512</f>
        <v>8.231970534882175</v>
      </c>
      <c r="O512" s="68">
        <f>L512*60*1000</f>
        <v>1767.3010637512002</v>
      </c>
      <c r="P512" s="69">
        <f>O512*M512/1000</f>
        <v>493.9182320929304</v>
      </c>
      <c r="R512" s="10"/>
      <c r="S512" s="10"/>
    </row>
    <row r="513" spans="1:19" s="9" customFormat="1" ht="12.75" customHeight="1">
      <c r="A513" s="220"/>
      <c r="B513" s="52" t="s">
        <v>41</v>
      </c>
      <c r="C513" s="25">
        <v>72</v>
      </c>
      <c r="D513" s="25">
        <v>1980</v>
      </c>
      <c r="E513" s="37">
        <v>150.328</v>
      </c>
      <c r="F513" s="37">
        <v>16.971014</v>
      </c>
      <c r="G513" s="37">
        <v>11.52</v>
      </c>
      <c r="H513" s="37">
        <v>121.836986</v>
      </c>
      <c r="I513" s="36">
        <v>4129.55</v>
      </c>
      <c r="J513" s="37">
        <v>121.836977</v>
      </c>
      <c r="K513" s="36">
        <v>4129.55</v>
      </c>
      <c r="L513" s="295">
        <f>J513/K513</f>
        <v>0.029503693380634695</v>
      </c>
      <c r="M513" s="25">
        <v>296.48</v>
      </c>
      <c r="N513" s="296">
        <f>L513*M513</f>
        <v>8.747255013490575</v>
      </c>
      <c r="O513" s="296">
        <f>L513*60*1000</f>
        <v>1770.2216028380817</v>
      </c>
      <c r="P513" s="332">
        <f>O513*M513/1000</f>
        <v>524.8353008094344</v>
      </c>
      <c r="R513" s="10"/>
      <c r="S513" s="10"/>
    </row>
    <row r="514" spans="1:19" s="9" customFormat="1" ht="12.75" customHeight="1">
      <c r="A514" s="220"/>
      <c r="B514" s="66" t="s">
        <v>714</v>
      </c>
      <c r="C514" s="29">
        <v>30</v>
      </c>
      <c r="D514" s="29">
        <v>1970</v>
      </c>
      <c r="E514" s="39">
        <v>59.1</v>
      </c>
      <c r="F514" s="39">
        <v>3.26</v>
      </c>
      <c r="G514" s="39">
        <v>4.8</v>
      </c>
      <c r="H514" s="39">
        <v>51</v>
      </c>
      <c r="I514" s="290"/>
      <c r="J514" s="39">
        <f>H514</f>
        <v>51</v>
      </c>
      <c r="K514" s="74">
        <v>1727</v>
      </c>
      <c r="L514" s="67">
        <f>J514/K514</f>
        <v>0.029530978575564564</v>
      </c>
      <c r="M514" s="32">
        <v>187.7</v>
      </c>
      <c r="N514" s="68">
        <f>L514*M514</f>
        <v>5.542964678633468</v>
      </c>
      <c r="O514" s="68">
        <f>L514*60*1000</f>
        <v>1771.8587145338738</v>
      </c>
      <c r="P514" s="69">
        <f>O514*M514/1000</f>
        <v>332.5778807180081</v>
      </c>
      <c r="R514" s="10"/>
      <c r="S514" s="10"/>
    </row>
    <row r="515" spans="1:19" s="9" customFormat="1" ht="12.75" customHeight="1">
      <c r="A515" s="220"/>
      <c r="B515" s="52" t="s">
        <v>40</v>
      </c>
      <c r="C515" s="25">
        <v>40</v>
      </c>
      <c r="D515" s="25">
        <v>1985</v>
      </c>
      <c r="E515" s="37">
        <v>76.987</v>
      </c>
      <c r="F515" s="37">
        <v>6.702961</v>
      </c>
      <c r="G515" s="37">
        <v>6.4</v>
      </c>
      <c r="H515" s="37">
        <v>63.884039</v>
      </c>
      <c r="I515" s="36">
        <v>2161.15</v>
      </c>
      <c r="J515" s="37">
        <v>63.88404</v>
      </c>
      <c r="K515" s="36">
        <v>2161.15</v>
      </c>
      <c r="L515" s="295">
        <f>J515/K515</f>
        <v>0.02956020637160771</v>
      </c>
      <c r="M515" s="25">
        <v>296.48</v>
      </c>
      <c r="N515" s="296">
        <f>L515*M515</f>
        <v>8.764009985054255</v>
      </c>
      <c r="O515" s="296">
        <f>L515*60*1000</f>
        <v>1773.6123822964626</v>
      </c>
      <c r="P515" s="332">
        <f>O515*M515/1000</f>
        <v>525.8405991032552</v>
      </c>
      <c r="R515" s="10"/>
      <c r="S515" s="10"/>
    </row>
    <row r="516" spans="1:19" s="9" customFormat="1" ht="12.75" customHeight="1">
      <c r="A516" s="220"/>
      <c r="B516" s="303" t="s">
        <v>583</v>
      </c>
      <c r="C516" s="29">
        <v>22</v>
      </c>
      <c r="D516" s="29">
        <v>1982</v>
      </c>
      <c r="E516" s="39">
        <v>40.651</v>
      </c>
      <c r="F516" s="39">
        <v>2.601</v>
      </c>
      <c r="G516" s="39">
        <v>3.52</v>
      </c>
      <c r="H516" s="39">
        <v>34.53</v>
      </c>
      <c r="I516" s="74">
        <v>1167.95</v>
      </c>
      <c r="J516" s="39">
        <v>34.53</v>
      </c>
      <c r="K516" s="74">
        <v>1167.95</v>
      </c>
      <c r="L516" s="67">
        <f>J516/K516</f>
        <v>0.029564621773192346</v>
      </c>
      <c r="M516" s="32">
        <v>300</v>
      </c>
      <c r="N516" s="68">
        <f>L516*M516</f>
        <v>8.869386531957703</v>
      </c>
      <c r="O516" s="68">
        <f>L516*60*1000</f>
        <v>1773.8773063915407</v>
      </c>
      <c r="P516" s="69">
        <f>O516*M516/1000</f>
        <v>532.1631919174623</v>
      </c>
      <c r="R516" s="10"/>
      <c r="S516" s="10"/>
    </row>
    <row r="517" spans="1:19" s="9" customFormat="1" ht="12.75" customHeight="1">
      <c r="A517" s="220"/>
      <c r="B517" s="52" t="s">
        <v>95</v>
      </c>
      <c r="C517" s="25">
        <v>47</v>
      </c>
      <c r="D517" s="25">
        <v>1981</v>
      </c>
      <c r="E517" s="37">
        <v>107.03</v>
      </c>
      <c r="F517" s="37">
        <v>7.32</v>
      </c>
      <c r="G517" s="37">
        <v>11.36</v>
      </c>
      <c r="H517" s="37">
        <f>E517-F517-G517</f>
        <v>88.35000000000001</v>
      </c>
      <c r="I517" s="36">
        <v>2980.6</v>
      </c>
      <c r="J517" s="37">
        <f>H517/I517*K517</f>
        <v>84.59736294705766</v>
      </c>
      <c r="K517" s="25">
        <v>2854</v>
      </c>
      <c r="L517" s="295">
        <f>J517/K517</f>
        <v>0.029641682882641088</v>
      </c>
      <c r="M517" s="296">
        <v>323.29400000000004</v>
      </c>
      <c r="N517" s="296">
        <f>L517*M517</f>
        <v>9.582978225860568</v>
      </c>
      <c r="O517" s="296">
        <f>L517*60*1000</f>
        <v>1778.5009729584654</v>
      </c>
      <c r="P517" s="332">
        <f>O517*M517/1000</f>
        <v>574.9786935516343</v>
      </c>
      <c r="R517" s="10"/>
      <c r="S517" s="10"/>
    </row>
    <row r="518" spans="1:19" s="9" customFormat="1" ht="12.75" customHeight="1">
      <c r="A518" s="220"/>
      <c r="B518" s="66" t="s">
        <v>685</v>
      </c>
      <c r="C518" s="29">
        <v>24</v>
      </c>
      <c r="D518" s="29" t="s">
        <v>24</v>
      </c>
      <c r="E518" s="39">
        <v>39.1</v>
      </c>
      <c r="F518" s="39">
        <v>1.84</v>
      </c>
      <c r="G518" s="39">
        <v>3.84</v>
      </c>
      <c r="H518" s="39">
        <v>33.42</v>
      </c>
      <c r="I518" s="74">
        <v>1127</v>
      </c>
      <c r="J518" s="39">
        <v>33.42</v>
      </c>
      <c r="K518" s="74">
        <v>1127</v>
      </c>
      <c r="L518" s="67">
        <f>J518/K518</f>
        <v>0.029653948535936114</v>
      </c>
      <c r="M518" s="32">
        <v>235.3</v>
      </c>
      <c r="N518" s="68">
        <f>L518*M518</f>
        <v>6.977574090505768</v>
      </c>
      <c r="O518" s="68">
        <f>L518*60*1000</f>
        <v>1779.236912156167</v>
      </c>
      <c r="P518" s="69">
        <f>O518*M518/1000</f>
        <v>418.6544454303461</v>
      </c>
      <c r="R518" s="10"/>
      <c r="S518" s="10"/>
    </row>
    <row r="519" spans="1:19" s="9" customFormat="1" ht="12.75" customHeight="1">
      <c r="A519" s="220"/>
      <c r="B519" s="297" t="s">
        <v>445</v>
      </c>
      <c r="C519" s="298">
        <v>40</v>
      </c>
      <c r="D519" s="298">
        <v>1980</v>
      </c>
      <c r="E519" s="299">
        <v>75.5</v>
      </c>
      <c r="F519" s="299">
        <v>3.6</v>
      </c>
      <c r="G519" s="299">
        <v>6.4</v>
      </c>
      <c r="H519" s="299">
        <v>65.5</v>
      </c>
      <c r="I519" s="300">
        <v>2208.76</v>
      </c>
      <c r="J519" s="299">
        <v>65.5</v>
      </c>
      <c r="K519" s="300">
        <v>2208.8</v>
      </c>
      <c r="L519" s="301">
        <v>0.029654110829409632</v>
      </c>
      <c r="M519" s="302">
        <v>215.8</v>
      </c>
      <c r="N519" s="302">
        <v>6.399357116986599</v>
      </c>
      <c r="O519" s="302">
        <f>L519*60*1000</f>
        <v>1779.246649764578</v>
      </c>
      <c r="P519" s="333">
        <v>383.961427019196</v>
      </c>
      <c r="R519" s="10"/>
      <c r="S519" s="10"/>
    </row>
    <row r="520" spans="1:19" s="9" customFormat="1" ht="12.75" customHeight="1">
      <c r="A520" s="220"/>
      <c r="B520" s="66" t="s">
        <v>855</v>
      </c>
      <c r="C520" s="29">
        <v>16</v>
      </c>
      <c r="D520" s="29">
        <v>1909</v>
      </c>
      <c r="E520" s="39">
        <v>25.139</v>
      </c>
      <c r="F520" s="39"/>
      <c r="G520" s="39"/>
      <c r="H520" s="39">
        <v>25.139</v>
      </c>
      <c r="I520" s="74">
        <v>847</v>
      </c>
      <c r="J520" s="39">
        <v>25.139</v>
      </c>
      <c r="K520" s="74">
        <v>847</v>
      </c>
      <c r="L520" s="67">
        <f>J520/K520</f>
        <v>0.02968004722550177</v>
      </c>
      <c r="M520" s="32">
        <v>254.2</v>
      </c>
      <c r="N520" s="68">
        <f>L520*M520</f>
        <v>7.54466800472255</v>
      </c>
      <c r="O520" s="68">
        <f>L520*60*1000</f>
        <v>1780.8028335301062</v>
      </c>
      <c r="P520" s="69">
        <f>O520*M520/1000</f>
        <v>452.680080283353</v>
      </c>
      <c r="R520" s="10"/>
      <c r="S520" s="10"/>
    </row>
    <row r="521" spans="1:19" s="9" customFormat="1" ht="12.75" customHeight="1">
      <c r="A521" s="220"/>
      <c r="B521" s="316" t="s">
        <v>308</v>
      </c>
      <c r="C521" s="317">
        <v>28</v>
      </c>
      <c r="D521" s="25">
        <v>1987</v>
      </c>
      <c r="E521" s="37">
        <f>+F521+G521+H521</f>
        <v>41.95437700000001</v>
      </c>
      <c r="F521" s="318">
        <v>2.7913600000000005</v>
      </c>
      <c r="G521" s="318">
        <v>4.32</v>
      </c>
      <c r="H521" s="318">
        <v>34.843017</v>
      </c>
      <c r="I521" s="319">
        <v>1209.81</v>
      </c>
      <c r="J521" s="318">
        <v>34.843017</v>
      </c>
      <c r="K521" s="319">
        <v>1171.56</v>
      </c>
      <c r="L521" s="295">
        <f>+J521/K521</f>
        <v>0.029740702140735435</v>
      </c>
      <c r="M521" s="296">
        <v>340.189</v>
      </c>
      <c r="N521" s="296">
        <f>+L521*M521</f>
        <v>10.117459720554647</v>
      </c>
      <c r="O521" s="296">
        <f>+L521*60*1000</f>
        <v>1784.4421284441262</v>
      </c>
      <c r="P521" s="332">
        <f>+N521*60</f>
        <v>607.0475832332788</v>
      </c>
      <c r="Q521" s="11"/>
      <c r="R521" s="10"/>
      <c r="S521" s="10"/>
    </row>
    <row r="522" spans="1:19" s="9" customFormat="1" ht="12.75" customHeight="1">
      <c r="A522" s="220"/>
      <c r="B522" s="316" t="s">
        <v>309</v>
      </c>
      <c r="C522" s="317">
        <v>12</v>
      </c>
      <c r="D522" s="25">
        <v>1987</v>
      </c>
      <c r="E522" s="37">
        <f>+F522+G522+H522</f>
        <v>21.224041000000003</v>
      </c>
      <c r="F522" s="318">
        <v>1.5030400000000002</v>
      </c>
      <c r="G522" s="318">
        <v>1.92</v>
      </c>
      <c r="H522" s="318">
        <v>17.801001000000003</v>
      </c>
      <c r="I522" s="319">
        <v>598.54</v>
      </c>
      <c r="J522" s="318">
        <v>17.801001000000003</v>
      </c>
      <c r="K522" s="319">
        <v>598.54</v>
      </c>
      <c r="L522" s="295">
        <f>+J522/K522</f>
        <v>0.02974070404651319</v>
      </c>
      <c r="M522" s="296">
        <v>340.189</v>
      </c>
      <c r="N522" s="296">
        <f>+L522*M522</f>
        <v>10.117460368879275</v>
      </c>
      <c r="O522" s="296">
        <f>+L522*60*1000</f>
        <v>1784.4422427907914</v>
      </c>
      <c r="P522" s="332">
        <f>+N522*60</f>
        <v>607.0476221327565</v>
      </c>
      <c r="Q522" s="11"/>
      <c r="R522" s="10"/>
      <c r="S522" s="10"/>
    </row>
    <row r="523" spans="1:19" s="9" customFormat="1" ht="12.75" customHeight="1">
      <c r="A523" s="220"/>
      <c r="B523" s="66" t="s">
        <v>715</v>
      </c>
      <c r="C523" s="29">
        <v>60</v>
      </c>
      <c r="D523" s="29">
        <v>1983</v>
      </c>
      <c r="E523" s="39">
        <v>113.48</v>
      </c>
      <c r="F523" s="39">
        <v>7.1</v>
      </c>
      <c r="G523" s="39">
        <v>9.6</v>
      </c>
      <c r="H523" s="39">
        <v>96.7</v>
      </c>
      <c r="I523" s="290"/>
      <c r="J523" s="39">
        <f>H523</f>
        <v>96.7</v>
      </c>
      <c r="K523" s="74">
        <v>3251</v>
      </c>
      <c r="L523" s="67">
        <f>J523/K523</f>
        <v>0.029744693940326056</v>
      </c>
      <c r="M523" s="32">
        <v>187.7</v>
      </c>
      <c r="N523" s="68">
        <f>L523*M523</f>
        <v>5.5830790525992</v>
      </c>
      <c r="O523" s="68">
        <f>L523*60*1000</f>
        <v>1784.6816364195633</v>
      </c>
      <c r="P523" s="69">
        <f>O523*M523/1000</f>
        <v>334.984743155952</v>
      </c>
      <c r="R523" s="10"/>
      <c r="S523" s="10"/>
    </row>
    <row r="524" spans="1:19" s="9" customFormat="1" ht="12.75" customHeight="1">
      <c r="A524" s="220"/>
      <c r="B524" s="320" t="s">
        <v>599</v>
      </c>
      <c r="C524" s="321">
        <v>27</v>
      </c>
      <c r="D524" s="25">
        <v>1999</v>
      </c>
      <c r="E524" s="37">
        <f>+F524+G524+H524</f>
        <v>55.18600000000001</v>
      </c>
      <c r="F524" s="322">
        <v>3.111</v>
      </c>
      <c r="G524" s="322">
        <v>4.32</v>
      </c>
      <c r="H524" s="322">
        <v>47.755</v>
      </c>
      <c r="I524" s="323">
        <v>1600</v>
      </c>
      <c r="J524" s="322">
        <v>47.755</v>
      </c>
      <c r="K524" s="323">
        <v>1600</v>
      </c>
      <c r="L524" s="295">
        <f>+J524/K524</f>
        <v>0.029846875000000002</v>
      </c>
      <c r="M524" s="296">
        <v>335.284</v>
      </c>
      <c r="N524" s="296">
        <f>+L524*M524</f>
        <v>10.0071796375</v>
      </c>
      <c r="O524" s="296">
        <f>+L524*60*1000</f>
        <v>1790.8125000000002</v>
      </c>
      <c r="P524" s="332">
        <f>+N524*60</f>
        <v>600.43077825</v>
      </c>
      <c r="Q524" s="11"/>
      <c r="R524" s="10"/>
      <c r="S524" s="10"/>
    </row>
    <row r="525" spans="1:19" s="9" customFormat="1" ht="12.75" customHeight="1">
      <c r="A525" s="220"/>
      <c r="B525" s="66" t="s">
        <v>856</v>
      </c>
      <c r="C525" s="29">
        <v>11</v>
      </c>
      <c r="D525" s="29">
        <v>1973</v>
      </c>
      <c r="E525" s="39">
        <v>16.091</v>
      </c>
      <c r="F525" s="39">
        <v>0.661</v>
      </c>
      <c r="G525" s="39">
        <v>1.76</v>
      </c>
      <c r="H525" s="39">
        <v>13.67</v>
      </c>
      <c r="I525" s="74">
        <v>458</v>
      </c>
      <c r="J525" s="39">
        <v>13.67</v>
      </c>
      <c r="K525" s="74">
        <v>458</v>
      </c>
      <c r="L525" s="67">
        <f>J525/K525</f>
        <v>0.029847161572052403</v>
      </c>
      <c r="M525" s="32">
        <v>254.2</v>
      </c>
      <c r="N525" s="68">
        <f>L525*M525</f>
        <v>7.587148471615721</v>
      </c>
      <c r="O525" s="68">
        <f>L525*60*1000</f>
        <v>1790.8296943231442</v>
      </c>
      <c r="P525" s="69">
        <f>O525*M525/1000</f>
        <v>455.22890829694325</v>
      </c>
      <c r="Q525" s="11"/>
      <c r="R525" s="10"/>
      <c r="S525" s="10"/>
    </row>
    <row r="526" spans="1:19" s="9" customFormat="1" ht="12.75" customHeight="1">
      <c r="A526" s="220"/>
      <c r="B526" s="66" t="s">
        <v>819</v>
      </c>
      <c r="C526" s="29">
        <v>22</v>
      </c>
      <c r="D526" s="29" t="s">
        <v>24</v>
      </c>
      <c r="E526" s="39">
        <f>F526+G526+H526</f>
        <v>39.992999999999995</v>
      </c>
      <c r="F526" s="39">
        <v>1.783</v>
      </c>
      <c r="G526" s="39">
        <v>3.52</v>
      </c>
      <c r="H526" s="39">
        <v>34.69</v>
      </c>
      <c r="I526" s="74">
        <v>1161.06</v>
      </c>
      <c r="J526" s="39">
        <v>34.69</v>
      </c>
      <c r="K526" s="74">
        <v>1161.06</v>
      </c>
      <c r="L526" s="67">
        <f>J526/K526</f>
        <v>0.029877870222038482</v>
      </c>
      <c r="M526" s="32">
        <v>350.76</v>
      </c>
      <c r="N526" s="68">
        <f>L526*M526</f>
        <v>10.479961759082217</v>
      </c>
      <c r="O526" s="68">
        <f>L526*60*1000</f>
        <v>1792.672213322309</v>
      </c>
      <c r="P526" s="69">
        <f>O526*M526/1000</f>
        <v>628.7977055449331</v>
      </c>
      <c r="Q526" s="11"/>
      <c r="R526" s="10"/>
      <c r="S526" s="10"/>
    </row>
    <row r="527" spans="1:19" s="9" customFormat="1" ht="12.75" customHeight="1">
      <c r="A527" s="220"/>
      <c r="B527" s="66" t="s">
        <v>872</v>
      </c>
      <c r="C527" s="29">
        <v>24</v>
      </c>
      <c r="D527" s="29">
        <v>1986</v>
      </c>
      <c r="E527" s="39">
        <v>47.247</v>
      </c>
      <c r="F527" s="39">
        <v>1.53</v>
      </c>
      <c r="G527" s="39">
        <v>3.84</v>
      </c>
      <c r="H527" s="39">
        <v>41.876998</v>
      </c>
      <c r="I527" s="74">
        <v>1401.71</v>
      </c>
      <c r="J527" s="39">
        <v>41.9</v>
      </c>
      <c r="K527" s="74">
        <v>1401.7</v>
      </c>
      <c r="L527" s="67">
        <f>J527/K527</f>
        <v>0.029892273667689234</v>
      </c>
      <c r="M527" s="32">
        <v>223.12</v>
      </c>
      <c r="N527" s="68">
        <f>L527*M527</f>
        <v>6.669564100734822</v>
      </c>
      <c r="O527" s="68">
        <f>L527*60*1000</f>
        <v>1793.5364200613542</v>
      </c>
      <c r="P527" s="69">
        <f>O527*M527/1000</f>
        <v>400.1738460440894</v>
      </c>
      <c r="R527" s="10"/>
      <c r="S527" s="10"/>
    </row>
    <row r="528" spans="1:19" s="9" customFormat="1" ht="12.75" customHeight="1">
      <c r="A528" s="220"/>
      <c r="B528" s="66" t="s">
        <v>508</v>
      </c>
      <c r="C528" s="29">
        <v>43</v>
      </c>
      <c r="D528" s="29">
        <v>1960</v>
      </c>
      <c r="E528" s="39">
        <v>67.702</v>
      </c>
      <c r="F528" s="39">
        <v>6.22836</v>
      </c>
      <c r="G528" s="39">
        <v>4.24</v>
      </c>
      <c r="H528" s="39">
        <f>E528-F528-G528</f>
        <v>57.233639999999994</v>
      </c>
      <c r="I528" s="74">
        <v>1906.23</v>
      </c>
      <c r="J528" s="39">
        <f>H528</f>
        <v>57.233639999999994</v>
      </c>
      <c r="K528" s="74">
        <f>I528</f>
        <v>1906.23</v>
      </c>
      <c r="L528" s="67">
        <f>J528/K528</f>
        <v>0.030024519601517127</v>
      </c>
      <c r="M528" s="32">
        <v>279.476</v>
      </c>
      <c r="N528" s="68">
        <f>L528*M528</f>
        <v>8.3911326401536</v>
      </c>
      <c r="O528" s="68">
        <f>L528*60*1000</f>
        <v>1801.4711760910275</v>
      </c>
      <c r="P528" s="69">
        <f>O528*M528/1000</f>
        <v>503.46795840921595</v>
      </c>
      <c r="Q528" s="11"/>
      <c r="R528" s="10"/>
      <c r="S528" s="10"/>
    </row>
    <row r="529" spans="1:19" s="9" customFormat="1" ht="12.75" customHeight="1">
      <c r="A529" s="220"/>
      <c r="B529" s="316" t="s">
        <v>203</v>
      </c>
      <c r="C529" s="317">
        <v>9</v>
      </c>
      <c r="D529" s="25">
        <v>1977</v>
      </c>
      <c r="E529" s="37">
        <f>+F529+G529+H529</f>
        <v>14.355102000000002</v>
      </c>
      <c r="F529" s="318">
        <v>0.620004</v>
      </c>
      <c r="G529" s="318">
        <v>1.44</v>
      </c>
      <c r="H529" s="318">
        <v>12.295098000000001</v>
      </c>
      <c r="I529" s="319">
        <v>673.4</v>
      </c>
      <c r="J529" s="318">
        <v>12.295098000000001</v>
      </c>
      <c r="K529" s="319">
        <v>408.73</v>
      </c>
      <c r="L529" s="295">
        <f>+J529/K529</f>
        <v>0.030081222322804788</v>
      </c>
      <c r="M529" s="296">
        <v>340.189</v>
      </c>
      <c r="N529" s="296">
        <f>+L529*M529</f>
        <v>10.233300940772638</v>
      </c>
      <c r="O529" s="296">
        <f>+L529*60*1000</f>
        <v>1804.8733393682871</v>
      </c>
      <c r="P529" s="332">
        <f>+N529*60</f>
        <v>613.9980564463583</v>
      </c>
      <c r="R529" s="10"/>
      <c r="S529" s="10"/>
    </row>
    <row r="530" spans="1:19" s="9" customFormat="1" ht="12.75" customHeight="1">
      <c r="A530" s="220"/>
      <c r="B530" s="316" t="s">
        <v>600</v>
      </c>
      <c r="C530" s="317">
        <v>20</v>
      </c>
      <c r="D530" s="25">
        <v>1990</v>
      </c>
      <c r="E530" s="37">
        <f>+F530+G530+H530</f>
        <v>36.676998</v>
      </c>
      <c r="F530" s="318">
        <v>1.66408</v>
      </c>
      <c r="G530" s="318">
        <v>3.2</v>
      </c>
      <c r="H530" s="318">
        <v>31.812918</v>
      </c>
      <c r="I530" s="319">
        <v>1056.63</v>
      </c>
      <c r="J530" s="318">
        <v>31.812918</v>
      </c>
      <c r="K530" s="319">
        <v>1056.63</v>
      </c>
      <c r="L530" s="295">
        <f>+J530/K530</f>
        <v>0.030107907214445923</v>
      </c>
      <c r="M530" s="296">
        <v>340.189</v>
      </c>
      <c r="N530" s="296">
        <f>+L530*M530</f>
        <v>10.242378847375145</v>
      </c>
      <c r="O530" s="296">
        <f>+L530*60*1000</f>
        <v>1806.4744328667555</v>
      </c>
      <c r="P530" s="332">
        <f>+N530*60</f>
        <v>614.5427308425087</v>
      </c>
      <c r="R530" s="10"/>
      <c r="S530" s="10"/>
    </row>
    <row r="531" spans="1:19" s="9" customFormat="1" ht="12.75" customHeight="1">
      <c r="A531" s="220"/>
      <c r="B531" s="52" t="s">
        <v>778</v>
      </c>
      <c r="C531" s="25">
        <v>20</v>
      </c>
      <c r="D531" s="25" t="s">
        <v>24</v>
      </c>
      <c r="E531" s="37">
        <f>SUM(F531:H531)</f>
        <v>37.3</v>
      </c>
      <c r="F531" s="208">
        <v>5.1</v>
      </c>
      <c r="G531" s="208">
        <v>3</v>
      </c>
      <c r="H531" s="208">
        <v>29.2</v>
      </c>
      <c r="I531" s="36">
        <v>957.78</v>
      </c>
      <c r="J531" s="37">
        <v>27.2</v>
      </c>
      <c r="K531" s="36">
        <v>902.07</v>
      </c>
      <c r="L531" s="67">
        <f>J531/K531</f>
        <v>0.030152870619796688</v>
      </c>
      <c r="M531" s="32">
        <v>204.4</v>
      </c>
      <c r="N531" s="68">
        <f>L531*M531</f>
        <v>6.163246754686443</v>
      </c>
      <c r="O531" s="68">
        <f>L531*60*1000</f>
        <v>1809.172237187801</v>
      </c>
      <c r="P531" s="69">
        <f>O531*M531/1000</f>
        <v>369.79480528118654</v>
      </c>
      <c r="R531" s="10"/>
      <c r="S531" s="10"/>
    </row>
    <row r="532" spans="1:19" s="9" customFormat="1" ht="12.75" customHeight="1">
      <c r="A532" s="220"/>
      <c r="B532" s="66" t="s">
        <v>820</v>
      </c>
      <c r="C532" s="29">
        <v>32</v>
      </c>
      <c r="D532" s="29" t="s">
        <v>24</v>
      </c>
      <c r="E532" s="39">
        <f>F532+G532+H532</f>
        <v>61.248000000000005</v>
      </c>
      <c r="F532" s="39">
        <v>2.458</v>
      </c>
      <c r="G532" s="39">
        <v>5.12</v>
      </c>
      <c r="H532" s="39">
        <v>53.67</v>
      </c>
      <c r="I532" s="74">
        <v>1774.12</v>
      </c>
      <c r="J532" s="39">
        <v>53.67</v>
      </c>
      <c r="K532" s="74">
        <v>1774.12</v>
      </c>
      <c r="L532" s="67">
        <f>J532/K532</f>
        <v>0.0302516177034248</v>
      </c>
      <c r="M532" s="32">
        <v>350.76</v>
      </c>
      <c r="N532" s="68">
        <f>L532*M532</f>
        <v>10.611057425653282</v>
      </c>
      <c r="O532" s="68">
        <f>L532*60*1000</f>
        <v>1815.097062205488</v>
      </c>
      <c r="P532" s="69">
        <f>O532*M532/1000</f>
        <v>636.6634455391969</v>
      </c>
      <c r="R532" s="10"/>
      <c r="S532" s="10"/>
    </row>
    <row r="533" spans="1:19" s="9" customFormat="1" ht="12.75" customHeight="1">
      <c r="A533" s="220"/>
      <c r="B533" s="52" t="s">
        <v>67</v>
      </c>
      <c r="C533" s="25">
        <v>54</v>
      </c>
      <c r="D533" s="25">
        <v>1987</v>
      </c>
      <c r="E533" s="37">
        <v>78.82</v>
      </c>
      <c r="F533" s="37">
        <v>4.54</v>
      </c>
      <c r="G533" s="37">
        <v>8.4</v>
      </c>
      <c r="H533" s="37">
        <f>E533-F533-G533</f>
        <v>65.87999999999998</v>
      </c>
      <c r="I533" s="36">
        <v>2177.6</v>
      </c>
      <c r="J533" s="37">
        <f>H533/I533*K533</f>
        <v>65.89210139603232</v>
      </c>
      <c r="K533" s="25">
        <v>2178</v>
      </c>
      <c r="L533" s="295">
        <f>J533/K533</f>
        <v>0.03025349008082292</v>
      </c>
      <c r="M533" s="296">
        <v>323.29400000000004</v>
      </c>
      <c r="N533" s="296">
        <f>L533*M533</f>
        <v>9.780771822189566</v>
      </c>
      <c r="O533" s="296">
        <f>L533*60*1000</f>
        <v>1815.2094048493752</v>
      </c>
      <c r="P533" s="332">
        <f>O533*M533/1000</f>
        <v>586.846309331374</v>
      </c>
      <c r="R533" s="10"/>
      <c r="S533" s="10"/>
    </row>
    <row r="534" spans="1:19" s="9" customFormat="1" ht="12.75" customHeight="1">
      <c r="A534" s="220"/>
      <c r="B534" s="316" t="s">
        <v>104</v>
      </c>
      <c r="C534" s="317">
        <v>20</v>
      </c>
      <c r="D534" s="25">
        <v>1981</v>
      </c>
      <c r="E534" s="37">
        <f>+F534+G534+H534</f>
        <v>36.857997</v>
      </c>
      <c r="F534" s="318">
        <v>2.3906389999999997</v>
      </c>
      <c r="G534" s="318">
        <v>3.2</v>
      </c>
      <c r="H534" s="318">
        <v>31.267358</v>
      </c>
      <c r="I534" s="319">
        <v>1031.73</v>
      </c>
      <c r="J534" s="318">
        <v>31.267358</v>
      </c>
      <c r="K534" s="319">
        <v>1031.73</v>
      </c>
      <c r="L534" s="295">
        <f>+J534/K534</f>
        <v>0.0303057563509833</v>
      </c>
      <c r="M534" s="296">
        <v>340.189</v>
      </c>
      <c r="N534" s="296">
        <f>+L534*M534</f>
        <v>10.309684947284659</v>
      </c>
      <c r="O534" s="296">
        <f>+L534*60*1000</f>
        <v>1818.345381058998</v>
      </c>
      <c r="P534" s="332">
        <f>+N534*60</f>
        <v>618.5810968370795</v>
      </c>
      <c r="Q534" s="11"/>
      <c r="R534" s="10"/>
      <c r="S534" s="10"/>
    </row>
    <row r="535" spans="1:19" s="9" customFormat="1" ht="12.75" customHeight="1">
      <c r="A535" s="220"/>
      <c r="B535" s="52" t="s">
        <v>426</v>
      </c>
      <c r="C535" s="25">
        <v>60</v>
      </c>
      <c r="D535" s="25">
        <v>1985</v>
      </c>
      <c r="E535" s="37">
        <v>132.3</v>
      </c>
      <c r="F535" s="37">
        <v>6.46</v>
      </c>
      <c r="G535" s="37">
        <v>9.36</v>
      </c>
      <c r="H535" s="37">
        <v>116.78</v>
      </c>
      <c r="I535" s="36">
        <v>3842.05</v>
      </c>
      <c r="J535" s="37">
        <v>116.48</v>
      </c>
      <c r="K535" s="36">
        <v>3842.05</v>
      </c>
      <c r="L535" s="295">
        <f>J535/K535</f>
        <v>0.03031714839733996</v>
      </c>
      <c r="M535" s="296">
        <v>263.899</v>
      </c>
      <c r="N535" s="296">
        <f>L535*M535</f>
        <v>8.000665144909618</v>
      </c>
      <c r="O535" s="296">
        <f>L535*1000*60</f>
        <v>1819.0289038403978</v>
      </c>
      <c r="P535" s="332">
        <f>N535*60</f>
        <v>480.0399086945771</v>
      </c>
      <c r="R535" s="10"/>
      <c r="S535" s="10"/>
    </row>
    <row r="536" spans="1:16" s="9" customFormat="1" ht="12.75" customHeight="1">
      <c r="A536" s="220"/>
      <c r="B536" s="303" t="s">
        <v>584</v>
      </c>
      <c r="C536" s="29">
        <v>8</v>
      </c>
      <c r="D536" s="29">
        <v>1961</v>
      </c>
      <c r="E536" s="39">
        <v>12.881</v>
      </c>
      <c r="F536" s="39">
        <v>0.663</v>
      </c>
      <c r="G536" s="39">
        <v>1.28</v>
      </c>
      <c r="H536" s="39">
        <v>10.938</v>
      </c>
      <c r="I536" s="74">
        <v>360.55</v>
      </c>
      <c r="J536" s="39">
        <v>10.938</v>
      </c>
      <c r="K536" s="74">
        <v>360.55</v>
      </c>
      <c r="L536" s="67">
        <f>J536/K536</f>
        <v>0.030336985161558732</v>
      </c>
      <c r="M536" s="32">
        <v>300</v>
      </c>
      <c r="N536" s="68">
        <f>L536*M536</f>
        <v>9.101095548467619</v>
      </c>
      <c r="O536" s="68">
        <f>L536*60*1000</f>
        <v>1820.219109693524</v>
      </c>
      <c r="P536" s="69">
        <f>O536*M536/1000</f>
        <v>546.0657329080572</v>
      </c>
    </row>
    <row r="537" spans="1:19" s="9" customFormat="1" ht="12.75" customHeight="1">
      <c r="A537" s="220"/>
      <c r="B537" s="52" t="s">
        <v>294</v>
      </c>
      <c r="C537" s="25">
        <v>38</v>
      </c>
      <c r="D537" s="25" t="s">
        <v>24</v>
      </c>
      <c r="E537" s="37">
        <v>80.216</v>
      </c>
      <c r="F537" s="37">
        <v>5.051961</v>
      </c>
      <c r="G537" s="37">
        <v>6</v>
      </c>
      <c r="H537" s="37">
        <v>69.164039</v>
      </c>
      <c r="I537" s="36">
        <v>2277.52</v>
      </c>
      <c r="J537" s="37">
        <v>69.164039</v>
      </c>
      <c r="K537" s="36">
        <v>2277.52</v>
      </c>
      <c r="L537" s="295">
        <f>J537/K537</f>
        <v>0.030368136833046473</v>
      </c>
      <c r="M537" s="25">
        <v>296.48</v>
      </c>
      <c r="N537" s="296">
        <f>L537*M537</f>
        <v>9.003545208261619</v>
      </c>
      <c r="O537" s="296">
        <f>L537*60*1000</f>
        <v>1822.0882099827884</v>
      </c>
      <c r="P537" s="332">
        <f>O537*M537/1000</f>
        <v>540.2127124956971</v>
      </c>
      <c r="R537" s="10"/>
      <c r="S537" s="10"/>
    </row>
    <row r="538" spans="1:19" s="9" customFormat="1" ht="12.75" customHeight="1">
      <c r="A538" s="220"/>
      <c r="B538" s="66" t="s">
        <v>686</v>
      </c>
      <c r="C538" s="29">
        <v>109</v>
      </c>
      <c r="D538" s="29" t="s">
        <v>24</v>
      </c>
      <c r="E538" s="39">
        <v>98.88</v>
      </c>
      <c r="F538" s="39">
        <v>4.73</v>
      </c>
      <c r="G538" s="39">
        <v>16.32</v>
      </c>
      <c r="H538" s="39">
        <v>77.83</v>
      </c>
      <c r="I538" s="74">
        <v>2560</v>
      </c>
      <c r="J538" s="39">
        <v>77.83</v>
      </c>
      <c r="K538" s="74">
        <v>2560</v>
      </c>
      <c r="L538" s="67">
        <f>J538/K538</f>
        <v>0.030402343749999998</v>
      </c>
      <c r="M538" s="32">
        <v>235.3</v>
      </c>
      <c r="N538" s="68">
        <f>L538*M538</f>
        <v>7.153671484375</v>
      </c>
      <c r="O538" s="68">
        <f>L538*60*1000</f>
        <v>1824.1406249999998</v>
      </c>
      <c r="P538" s="69">
        <f>O538*M538/1000</f>
        <v>429.22028906249994</v>
      </c>
      <c r="R538" s="10"/>
      <c r="S538" s="10"/>
    </row>
    <row r="539" spans="1:19" s="9" customFormat="1" ht="12.75" customHeight="1">
      <c r="A539" s="220"/>
      <c r="B539" s="66" t="s">
        <v>874</v>
      </c>
      <c r="C539" s="29">
        <v>30</v>
      </c>
      <c r="D539" s="29">
        <v>1990</v>
      </c>
      <c r="E539" s="39">
        <v>70.508</v>
      </c>
      <c r="F539" s="39">
        <v>4.998</v>
      </c>
      <c r="G539" s="39">
        <v>4.8</v>
      </c>
      <c r="H539" s="39">
        <v>1996.3</v>
      </c>
      <c r="I539" s="74">
        <v>1996.3</v>
      </c>
      <c r="J539" s="39">
        <v>60.71</v>
      </c>
      <c r="K539" s="74">
        <v>1996.3</v>
      </c>
      <c r="L539" s="67">
        <f>J539/K539</f>
        <v>0.0304112608325402</v>
      </c>
      <c r="M539" s="32">
        <v>223.12</v>
      </c>
      <c r="N539" s="68">
        <f>L539*M539</f>
        <v>6.785360516956369</v>
      </c>
      <c r="O539" s="68">
        <f>L539*60*1000</f>
        <v>1824.675649952412</v>
      </c>
      <c r="P539" s="69">
        <f>O539*M539/1000</f>
        <v>407.12163101738213</v>
      </c>
      <c r="R539" s="10"/>
      <c r="S539" s="10"/>
    </row>
    <row r="540" spans="1:19" s="9" customFormat="1" ht="12.75" customHeight="1">
      <c r="A540" s="220"/>
      <c r="B540" s="316" t="s">
        <v>205</v>
      </c>
      <c r="C540" s="317">
        <v>13</v>
      </c>
      <c r="D540" s="25">
        <v>1980</v>
      </c>
      <c r="E540" s="37">
        <f>+F540+G540+H540</f>
        <v>19.147001</v>
      </c>
      <c r="F540" s="318">
        <v>1.095073</v>
      </c>
      <c r="G540" s="318">
        <v>1.28</v>
      </c>
      <c r="H540" s="318">
        <v>16.771928</v>
      </c>
      <c r="I540" s="319">
        <v>997.63</v>
      </c>
      <c r="J540" s="318">
        <v>16.771928</v>
      </c>
      <c r="K540" s="319">
        <v>551.26</v>
      </c>
      <c r="L540" s="295">
        <f>+J540/K540</f>
        <v>0.030424714290897215</v>
      </c>
      <c r="M540" s="296">
        <v>340.189</v>
      </c>
      <c r="N540" s="296">
        <f>+L540*M540</f>
        <v>10.350153129906033</v>
      </c>
      <c r="O540" s="296">
        <f>+L540*60*1000</f>
        <v>1825.4828574538328</v>
      </c>
      <c r="P540" s="332">
        <f>+N540*60</f>
        <v>621.009187794362</v>
      </c>
      <c r="R540" s="10"/>
      <c r="S540" s="10"/>
    </row>
    <row r="541" spans="1:19" s="9" customFormat="1" ht="12.75" customHeight="1">
      <c r="A541" s="220"/>
      <c r="B541" s="52" t="s">
        <v>779</v>
      </c>
      <c r="C541" s="25">
        <v>24</v>
      </c>
      <c r="D541" s="25" t="s">
        <v>24</v>
      </c>
      <c r="E541" s="37">
        <f>SUM(F541:H541)</f>
        <v>32.25</v>
      </c>
      <c r="F541" s="208">
        <v>2.2</v>
      </c>
      <c r="G541" s="208">
        <v>0.2</v>
      </c>
      <c r="H541" s="208">
        <v>29.85</v>
      </c>
      <c r="I541" s="36">
        <v>1111.86</v>
      </c>
      <c r="J541" s="37">
        <v>29.85</v>
      </c>
      <c r="K541" s="36">
        <v>980.15</v>
      </c>
      <c r="L541" s="67">
        <f>J541/K541</f>
        <v>0.03045452226699995</v>
      </c>
      <c r="M541" s="32">
        <v>204.4</v>
      </c>
      <c r="N541" s="68">
        <f>L541*M541</f>
        <v>6.22490435137479</v>
      </c>
      <c r="O541" s="68">
        <f>L541*60*1000</f>
        <v>1827.271336019997</v>
      </c>
      <c r="P541" s="69">
        <f>O541*M541/1000</f>
        <v>373.4942610824874</v>
      </c>
      <c r="R541" s="10"/>
      <c r="S541" s="10"/>
    </row>
    <row r="542" spans="1:19" s="9" customFormat="1" ht="12.75" customHeight="1">
      <c r="A542" s="220"/>
      <c r="B542" s="66" t="s">
        <v>857</v>
      </c>
      <c r="C542" s="29">
        <v>13</v>
      </c>
      <c r="D542" s="29">
        <v>1985</v>
      </c>
      <c r="E542" s="39">
        <v>19.563</v>
      </c>
      <c r="F542" s="39">
        <v>1.267</v>
      </c>
      <c r="G542" s="39">
        <v>1.92</v>
      </c>
      <c r="H542" s="39">
        <v>16.376</v>
      </c>
      <c r="I542" s="74">
        <v>537</v>
      </c>
      <c r="J542" s="39">
        <v>16.376</v>
      </c>
      <c r="K542" s="74">
        <v>537</v>
      </c>
      <c r="L542" s="67">
        <f>J542/K542</f>
        <v>0.030495344506517693</v>
      </c>
      <c r="M542" s="32">
        <v>254.2</v>
      </c>
      <c r="N542" s="68">
        <f>L542*M542</f>
        <v>7.751916573556797</v>
      </c>
      <c r="O542" s="68">
        <f>L542*60*1000</f>
        <v>1829.7206703910615</v>
      </c>
      <c r="P542" s="69">
        <f>O542*M542/1000</f>
        <v>465.1149944134078</v>
      </c>
      <c r="R542" s="10"/>
      <c r="S542" s="10"/>
    </row>
    <row r="543" spans="1:19" s="9" customFormat="1" ht="12.75" customHeight="1">
      <c r="A543" s="220"/>
      <c r="B543" s="52" t="s">
        <v>780</v>
      </c>
      <c r="C543" s="25">
        <v>31</v>
      </c>
      <c r="D543" s="25" t="s">
        <v>24</v>
      </c>
      <c r="E543" s="37">
        <f>SUM(F543:H543)</f>
        <v>49.4</v>
      </c>
      <c r="F543" s="208">
        <v>1.9</v>
      </c>
      <c r="G543" s="208">
        <v>2.4</v>
      </c>
      <c r="H543" s="208">
        <v>45.1</v>
      </c>
      <c r="I543" s="36">
        <v>1226.64</v>
      </c>
      <c r="J543" s="37">
        <v>36.7</v>
      </c>
      <c r="K543" s="36">
        <v>1202.59</v>
      </c>
      <c r="L543" s="67">
        <f>J543/K543</f>
        <v>0.030517466468206127</v>
      </c>
      <c r="M543" s="32">
        <v>204.4</v>
      </c>
      <c r="N543" s="68">
        <f>L543*M543</f>
        <v>6.237770146101332</v>
      </c>
      <c r="O543" s="68">
        <f>L543*60*1000</f>
        <v>1831.0479880923676</v>
      </c>
      <c r="P543" s="69">
        <f>O543*M543/1000</f>
        <v>374.26620876607996</v>
      </c>
      <c r="R543" s="10"/>
      <c r="S543" s="10"/>
    </row>
    <row r="544" spans="1:19" s="9" customFormat="1" ht="12.75" customHeight="1">
      <c r="A544" s="220"/>
      <c r="B544" s="52" t="s">
        <v>146</v>
      </c>
      <c r="C544" s="25">
        <v>24</v>
      </c>
      <c r="D544" s="25">
        <v>1964</v>
      </c>
      <c r="E544" s="37">
        <f>SUM(F544:H544)</f>
        <v>33.699001</v>
      </c>
      <c r="F544" s="37"/>
      <c r="G544" s="37"/>
      <c r="H544" s="37">
        <v>33.699001</v>
      </c>
      <c r="I544" s="36">
        <v>1103</v>
      </c>
      <c r="J544" s="37">
        <v>33.699001</v>
      </c>
      <c r="K544" s="36">
        <v>1103</v>
      </c>
      <c r="L544" s="295">
        <f>J544/K544</f>
        <v>0.030552131459655487</v>
      </c>
      <c r="M544" s="296">
        <v>284.9</v>
      </c>
      <c r="N544" s="296">
        <f>L544*M544*1.09</f>
        <v>9.487689455612873</v>
      </c>
      <c r="O544" s="296">
        <f>L544*60*1000</f>
        <v>1833.1278875793294</v>
      </c>
      <c r="P544" s="332">
        <f>N544*60</f>
        <v>569.2613673367724</v>
      </c>
      <c r="R544" s="10"/>
      <c r="S544" s="10"/>
    </row>
    <row r="545" spans="1:19" s="9" customFormat="1" ht="12.75" customHeight="1">
      <c r="A545" s="220"/>
      <c r="B545" s="66" t="s">
        <v>716</v>
      </c>
      <c r="C545" s="29">
        <v>27</v>
      </c>
      <c r="D545" s="29">
        <v>1992</v>
      </c>
      <c r="E545" s="39">
        <v>70.2</v>
      </c>
      <c r="F545" s="39">
        <v>3.2</v>
      </c>
      <c r="G545" s="39">
        <v>4.3</v>
      </c>
      <c r="H545" s="39">
        <v>62.6</v>
      </c>
      <c r="I545" s="290"/>
      <c r="J545" s="39">
        <f>H545</f>
        <v>62.6</v>
      </c>
      <c r="K545" s="74">
        <v>2043</v>
      </c>
      <c r="L545" s="67">
        <f>J545/K545</f>
        <v>0.030641213901125796</v>
      </c>
      <c r="M545" s="32">
        <v>187.7</v>
      </c>
      <c r="N545" s="68">
        <f>L545*M545</f>
        <v>5.751355849241311</v>
      </c>
      <c r="O545" s="68">
        <f>L545*60*1000</f>
        <v>1838.4728340675479</v>
      </c>
      <c r="P545" s="69">
        <f>O545*M545/1000</f>
        <v>345.08135095447875</v>
      </c>
      <c r="R545" s="10"/>
      <c r="S545" s="10"/>
    </row>
    <row r="546" spans="1:19" s="9" customFormat="1" ht="12.75" customHeight="1">
      <c r="A546" s="220"/>
      <c r="B546" s="297" t="s">
        <v>450</v>
      </c>
      <c r="C546" s="298">
        <v>40</v>
      </c>
      <c r="D546" s="298">
        <v>1975</v>
      </c>
      <c r="E546" s="299">
        <v>77.8</v>
      </c>
      <c r="F546" s="299">
        <v>2.1</v>
      </c>
      <c r="G546" s="299">
        <v>6.4</v>
      </c>
      <c r="H546" s="299">
        <v>69.3</v>
      </c>
      <c r="I546" s="300">
        <v>2260.93</v>
      </c>
      <c r="J546" s="299">
        <v>69.3</v>
      </c>
      <c r="K546" s="300">
        <v>2260.9</v>
      </c>
      <c r="L546" s="301">
        <v>0.030651510460436106</v>
      </c>
      <c r="M546" s="302">
        <v>215.8</v>
      </c>
      <c r="N546" s="302">
        <v>6.614595957362112</v>
      </c>
      <c r="O546" s="302">
        <f>L546*60*1000</f>
        <v>1839.0906276261662</v>
      </c>
      <c r="P546" s="333">
        <v>396.8757574417267</v>
      </c>
      <c r="R546" s="10"/>
      <c r="S546" s="10"/>
    </row>
    <row r="547" spans="1:19" s="9" customFormat="1" ht="12.75" customHeight="1">
      <c r="A547" s="220"/>
      <c r="B547" s="52" t="s">
        <v>74</v>
      </c>
      <c r="C547" s="25">
        <v>60</v>
      </c>
      <c r="D547" s="25">
        <v>1985</v>
      </c>
      <c r="E547" s="37">
        <v>115.95</v>
      </c>
      <c r="F547" s="37">
        <v>8.063345</v>
      </c>
      <c r="G547" s="37">
        <v>9.6</v>
      </c>
      <c r="H547" s="37">
        <v>98.286655</v>
      </c>
      <c r="I547" s="36">
        <v>3189.58</v>
      </c>
      <c r="J547" s="37">
        <v>98.286664</v>
      </c>
      <c r="K547" s="36">
        <v>3189.58</v>
      </c>
      <c r="L547" s="295">
        <f>J547/K547</f>
        <v>0.03081492359495608</v>
      </c>
      <c r="M547" s="25">
        <v>296.48</v>
      </c>
      <c r="N547" s="296">
        <f>L547*M547</f>
        <v>9.136008547432578</v>
      </c>
      <c r="O547" s="296">
        <f>L547*60*1000</f>
        <v>1848.8954156973648</v>
      </c>
      <c r="P547" s="332">
        <f>O547*M547/1000</f>
        <v>548.1605128459547</v>
      </c>
      <c r="R547" s="10"/>
      <c r="S547" s="10"/>
    </row>
    <row r="548" spans="1:19" s="9" customFormat="1" ht="12.75" customHeight="1">
      <c r="A548" s="220"/>
      <c r="B548" s="297" t="s">
        <v>443</v>
      </c>
      <c r="C548" s="298">
        <v>28</v>
      </c>
      <c r="D548" s="298">
        <v>1998</v>
      </c>
      <c r="E548" s="299">
        <v>43.7</v>
      </c>
      <c r="F548" s="299">
        <v>1.4</v>
      </c>
      <c r="G548" s="299">
        <v>4.4</v>
      </c>
      <c r="H548" s="299">
        <v>37.9</v>
      </c>
      <c r="I548" s="300">
        <v>1228.24</v>
      </c>
      <c r="J548" s="299">
        <v>37.9</v>
      </c>
      <c r="K548" s="300">
        <v>1228.2</v>
      </c>
      <c r="L548" s="301">
        <v>0.030858166422406772</v>
      </c>
      <c r="M548" s="302">
        <v>215.8</v>
      </c>
      <c r="N548" s="302">
        <v>6.659192313955382</v>
      </c>
      <c r="O548" s="302">
        <f>L548*60*1000</f>
        <v>1851.4899853444063</v>
      </c>
      <c r="P548" s="333">
        <v>399.5515388373229</v>
      </c>
      <c r="R548" s="10"/>
      <c r="S548" s="10"/>
    </row>
    <row r="549" spans="1:19" s="9" customFormat="1" ht="12.75" customHeight="1">
      <c r="A549" s="220"/>
      <c r="B549" s="66" t="s">
        <v>717</v>
      </c>
      <c r="C549" s="29">
        <v>60</v>
      </c>
      <c r="D549" s="29">
        <v>1985</v>
      </c>
      <c r="E549" s="39">
        <v>117.3</v>
      </c>
      <c r="F549" s="39">
        <v>8.1</v>
      </c>
      <c r="G549" s="39">
        <v>9.6</v>
      </c>
      <c r="H549" s="39">
        <v>99.6</v>
      </c>
      <c r="I549" s="290"/>
      <c r="J549" s="39">
        <f>H549</f>
        <v>99.6</v>
      </c>
      <c r="K549" s="74">
        <v>3225</v>
      </c>
      <c r="L549" s="67">
        <f>J549/K549</f>
        <v>0.030883720930232558</v>
      </c>
      <c r="M549" s="32">
        <v>187.7</v>
      </c>
      <c r="N549" s="68">
        <f>L549*M549</f>
        <v>5.79687441860465</v>
      </c>
      <c r="O549" s="68">
        <f>L549*60*1000</f>
        <v>1853.0232558139535</v>
      </c>
      <c r="P549" s="69">
        <f>O549*M549/1000</f>
        <v>347.81246511627904</v>
      </c>
      <c r="Q549" s="11"/>
      <c r="R549" s="10"/>
      <c r="S549" s="10"/>
    </row>
    <row r="550" spans="1:19" s="9" customFormat="1" ht="12.75" customHeight="1">
      <c r="A550" s="220"/>
      <c r="B550" s="66" t="s">
        <v>875</v>
      </c>
      <c r="C550" s="29">
        <v>20</v>
      </c>
      <c r="D550" s="29">
        <v>1977</v>
      </c>
      <c r="E550" s="39">
        <v>36.957</v>
      </c>
      <c r="F550" s="39">
        <v>1.402</v>
      </c>
      <c r="G550" s="39">
        <v>3.2</v>
      </c>
      <c r="H550" s="39">
        <v>32.3545</v>
      </c>
      <c r="I550" s="74">
        <v>1044.61</v>
      </c>
      <c r="J550" s="39">
        <v>32.3545</v>
      </c>
      <c r="K550" s="74">
        <v>1044.6</v>
      </c>
      <c r="L550" s="67">
        <f>J550/K550</f>
        <v>0.030973099751100904</v>
      </c>
      <c r="M550" s="32">
        <v>223.12</v>
      </c>
      <c r="N550" s="68">
        <f>L550*M550</f>
        <v>6.910718016465633</v>
      </c>
      <c r="O550" s="68">
        <f>L550*60*1000</f>
        <v>1858.3859850660542</v>
      </c>
      <c r="P550" s="69">
        <f>O550*M550/1000</f>
        <v>414.64308098793805</v>
      </c>
      <c r="R550" s="10"/>
      <c r="S550" s="10"/>
    </row>
    <row r="551" spans="1:19" s="9" customFormat="1" ht="12.75" customHeight="1">
      <c r="A551" s="220"/>
      <c r="B551" s="52" t="s">
        <v>35</v>
      </c>
      <c r="C551" s="25">
        <v>49</v>
      </c>
      <c r="D551" s="25">
        <v>1986</v>
      </c>
      <c r="E551" s="37">
        <v>100.81</v>
      </c>
      <c r="F551" s="37">
        <v>5.712204</v>
      </c>
      <c r="G551" s="37">
        <v>7.68</v>
      </c>
      <c r="H551" s="37">
        <v>87.417796</v>
      </c>
      <c r="I551" s="36">
        <v>2820.68</v>
      </c>
      <c r="J551" s="37">
        <v>87.417793</v>
      </c>
      <c r="K551" s="36">
        <v>2820.68</v>
      </c>
      <c r="L551" s="295">
        <f>J551/K551</f>
        <v>0.030991744189344417</v>
      </c>
      <c r="M551" s="25">
        <v>296.48</v>
      </c>
      <c r="N551" s="296">
        <f>L551*M551</f>
        <v>9.188432317256833</v>
      </c>
      <c r="O551" s="296">
        <f>L551*60*1000</f>
        <v>1859.504651360665</v>
      </c>
      <c r="P551" s="332">
        <f>O551*M551/1000</f>
        <v>551.30593903541</v>
      </c>
      <c r="R551" s="10"/>
      <c r="S551" s="10"/>
    </row>
    <row r="552" spans="1:19" s="9" customFormat="1" ht="12.75" customHeight="1">
      <c r="A552" s="220"/>
      <c r="B552" s="66" t="s">
        <v>111</v>
      </c>
      <c r="C552" s="29">
        <v>12</v>
      </c>
      <c r="D552" s="29">
        <v>1980</v>
      </c>
      <c r="E552" s="39">
        <v>17.201</v>
      </c>
      <c r="F552" s="39">
        <v>0.612</v>
      </c>
      <c r="G552" s="39">
        <v>1.6</v>
      </c>
      <c r="H552" s="39">
        <v>14.989</v>
      </c>
      <c r="I552" s="74">
        <v>587.63</v>
      </c>
      <c r="J552" s="39">
        <v>14.53</v>
      </c>
      <c r="K552" s="74">
        <v>468.68</v>
      </c>
      <c r="L552" s="67">
        <f>J552/K552</f>
        <v>0.031001962959801996</v>
      </c>
      <c r="M552" s="32">
        <v>337.137</v>
      </c>
      <c r="N552" s="68">
        <f>L552*M552</f>
        <v>10.451908786378766</v>
      </c>
      <c r="O552" s="68">
        <f>L552*60*1000</f>
        <v>1860.1177775881197</v>
      </c>
      <c r="P552" s="69">
        <f>O552*M552/1000</f>
        <v>627.114527182726</v>
      </c>
      <c r="R552" s="10"/>
      <c r="S552" s="10"/>
    </row>
    <row r="553" spans="1:19" s="9" customFormat="1" ht="12.75" customHeight="1">
      <c r="A553" s="220"/>
      <c r="B553" s="316" t="s">
        <v>105</v>
      </c>
      <c r="C553" s="317">
        <v>46</v>
      </c>
      <c r="D553" s="25">
        <v>1963</v>
      </c>
      <c r="E553" s="37">
        <f>+F553+G553+H553</f>
        <v>35.819181</v>
      </c>
      <c r="F553" s="318">
        <v>2.7913600000000005</v>
      </c>
      <c r="G553" s="318">
        <v>0</v>
      </c>
      <c r="H553" s="318">
        <v>33.027821</v>
      </c>
      <c r="I553" s="319">
        <v>1094</v>
      </c>
      <c r="J553" s="318">
        <v>33.027821</v>
      </c>
      <c r="K553" s="319">
        <v>1064.64</v>
      </c>
      <c r="L553" s="295">
        <f>+J553/K553</f>
        <v>0.031022524984971444</v>
      </c>
      <c r="M553" s="296">
        <v>340.189</v>
      </c>
      <c r="N553" s="296">
        <f>+L553*M553</f>
        <v>10.55352175211245</v>
      </c>
      <c r="O553" s="296">
        <f>+L553*60*1000</f>
        <v>1861.3514990982867</v>
      </c>
      <c r="P553" s="332">
        <f>+N553*60</f>
        <v>633.211305126747</v>
      </c>
      <c r="R553" s="10"/>
      <c r="S553" s="10"/>
    </row>
    <row r="554" spans="1:19" s="9" customFormat="1" ht="12.75" customHeight="1">
      <c r="A554" s="220"/>
      <c r="B554" s="66" t="s">
        <v>718</v>
      </c>
      <c r="C554" s="29">
        <v>20</v>
      </c>
      <c r="D554" s="29">
        <v>1989</v>
      </c>
      <c r="E554" s="39">
        <v>39.4</v>
      </c>
      <c r="F554" s="39">
        <v>2.8</v>
      </c>
      <c r="G554" s="39">
        <v>3.2</v>
      </c>
      <c r="H554" s="39">
        <v>33.3</v>
      </c>
      <c r="I554" s="290"/>
      <c r="J554" s="39">
        <f>H554</f>
        <v>33.3</v>
      </c>
      <c r="K554" s="74">
        <v>1071</v>
      </c>
      <c r="L554" s="67">
        <f>J554/K554</f>
        <v>0.031092436974789913</v>
      </c>
      <c r="M554" s="32">
        <v>187.7</v>
      </c>
      <c r="N554" s="68">
        <f>L554*M554</f>
        <v>5.836050420168067</v>
      </c>
      <c r="O554" s="68">
        <f>L554*60*1000</f>
        <v>1865.5462184873948</v>
      </c>
      <c r="P554" s="69">
        <f>O554*M554/1000</f>
        <v>350.16302521008396</v>
      </c>
      <c r="R554" s="10"/>
      <c r="S554" s="10"/>
    </row>
    <row r="555" spans="1:19" s="9" customFormat="1" ht="12.75" customHeight="1">
      <c r="A555" s="220"/>
      <c r="B555" s="66" t="s">
        <v>629</v>
      </c>
      <c r="C555" s="29">
        <v>16</v>
      </c>
      <c r="D555" s="29">
        <v>1958</v>
      </c>
      <c r="E555" s="39">
        <v>23.442001</v>
      </c>
      <c r="F555" s="39">
        <v>0.408</v>
      </c>
      <c r="G555" s="39">
        <v>1.45</v>
      </c>
      <c r="H555" s="39">
        <v>21.584001</v>
      </c>
      <c r="I555" s="74">
        <v>693.99</v>
      </c>
      <c r="J555" s="39">
        <v>8.154143</v>
      </c>
      <c r="K555" s="74">
        <v>262.18</v>
      </c>
      <c r="L555" s="67">
        <f>J555/K555</f>
        <v>0.031101315889846666</v>
      </c>
      <c r="M555" s="32">
        <v>254</v>
      </c>
      <c r="N555" s="68">
        <f>L555*M555</f>
        <v>7.899734236021053</v>
      </c>
      <c r="O555" s="68">
        <f>L555*60*1000</f>
        <v>1866.0789533908</v>
      </c>
      <c r="P555" s="69">
        <f>O555*M555/1000</f>
        <v>473.9840541612632</v>
      </c>
      <c r="Q555" s="11"/>
      <c r="R555" s="10"/>
      <c r="S555" s="10"/>
    </row>
    <row r="556" spans="1:19" s="9" customFormat="1" ht="12.75" customHeight="1">
      <c r="A556" s="220"/>
      <c r="B556" s="313" t="s">
        <v>553</v>
      </c>
      <c r="C556" s="314">
        <v>108</v>
      </c>
      <c r="D556" s="315" t="s">
        <v>24</v>
      </c>
      <c r="E556" s="307">
        <v>103.65</v>
      </c>
      <c r="F556" s="307">
        <v>5.98</v>
      </c>
      <c r="G556" s="308">
        <v>17.28</v>
      </c>
      <c r="H556" s="307">
        <v>80.39</v>
      </c>
      <c r="I556" s="312">
        <v>2582.45</v>
      </c>
      <c r="J556" s="307">
        <v>80.39</v>
      </c>
      <c r="K556" s="310">
        <v>2582.45</v>
      </c>
      <c r="L556" s="67">
        <f>J556/K556</f>
        <v>0.03112935390811052</v>
      </c>
      <c r="M556" s="32">
        <v>266.83</v>
      </c>
      <c r="N556" s="68">
        <f>L556*M556</f>
        <v>8.30624550330113</v>
      </c>
      <c r="O556" s="68">
        <f>L556*60*1000</f>
        <v>1867.7612344866313</v>
      </c>
      <c r="P556" s="69">
        <f>O556*M556/1000</f>
        <v>498.37473019806777</v>
      </c>
      <c r="R556" s="10"/>
      <c r="S556" s="10"/>
    </row>
    <row r="557" spans="1:19" s="9" customFormat="1" ht="12.75" customHeight="1">
      <c r="A557" s="220"/>
      <c r="B557" s="66" t="s">
        <v>630</v>
      </c>
      <c r="C557" s="29">
        <v>27</v>
      </c>
      <c r="D557" s="29">
        <v>1964</v>
      </c>
      <c r="E557" s="39">
        <v>39.779001</v>
      </c>
      <c r="F557" s="39">
        <v>1.2495</v>
      </c>
      <c r="G557" s="39">
        <v>3.84</v>
      </c>
      <c r="H557" s="39">
        <v>34.689501</v>
      </c>
      <c r="I557" s="74">
        <v>1114.14</v>
      </c>
      <c r="J557" s="39">
        <v>29.709661</v>
      </c>
      <c r="K557" s="74">
        <v>954.2</v>
      </c>
      <c r="L557" s="67">
        <f>J557/K557</f>
        <v>0.03113567491092014</v>
      </c>
      <c r="M557" s="32">
        <v>254</v>
      </c>
      <c r="N557" s="68">
        <f>L557*M557</f>
        <v>7.908461427373716</v>
      </c>
      <c r="O557" s="68">
        <f>L557*60*1000</f>
        <v>1868.1404946552084</v>
      </c>
      <c r="P557" s="69">
        <f>O557*M557/1000</f>
        <v>474.5076856424229</v>
      </c>
      <c r="R557" s="10"/>
      <c r="S557" s="10"/>
    </row>
    <row r="558" spans="1:19" s="9" customFormat="1" ht="12.75" customHeight="1">
      <c r="A558" s="220"/>
      <c r="B558" s="66" t="s">
        <v>320</v>
      </c>
      <c r="C558" s="29">
        <v>24</v>
      </c>
      <c r="D558" s="29">
        <v>1960</v>
      </c>
      <c r="E558" s="39">
        <v>39.932</v>
      </c>
      <c r="F558" s="39">
        <v>1.479</v>
      </c>
      <c r="G558" s="39">
        <v>3.84</v>
      </c>
      <c r="H558" s="39">
        <v>34.613</v>
      </c>
      <c r="I558" s="74">
        <v>1110.04</v>
      </c>
      <c r="J558" s="39">
        <v>33.15</v>
      </c>
      <c r="K558" s="74">
        <v>1063.22</v>
      </c>
      <c r="L558" s="67">
        <f>J558/K558</f>
        <v>0.031178871729275217</v>
      </c>
      <c r="M558" s="32">
        <v>337.137</v>
      </c>
      <c r="N558" s="68">
        <f>L558*M558</f>
        <v>10.511551278192659</v>
      </c>
      <c r="O558" s="68">
        <f>L558*60*1000</f>
        <v>1870.7323037565131</v>
      </c>
      <c r="P558" s="69">
        <f>O558*M558/1000</f>
        <v>630.6930766915596</v>
      </c>
      <c r="R558" s="10"/>
      <c r="S558" s="10"/>
    </row>
    <row r="559" spans="1:19" s="9" customFormat="1" ht="12.75" customHeight="1">
      <c r="A559" s="220"/>
      <c r="B559" s="303" t="s">
        <v>585</v>
      </c>
      <c r="C559" s="29">
        <v>22</v>
      </c>
      <c r="D559" s="29">
        <v>1961</v>
      </c>
      <c r="E559" s="39">
        <v>30.162</v>
      </c>
      <c r="F559" s="39">
        <v>1.785</v>
      </c>
      <c r="G559" s="39">
        <v>0.2</v>
      </c>
      <c r="H559" s="39">
        <v>28.177</v>
      </c>
      <c r="I559" s="74">
        <v>900.48</v>
      </c>
      <c r="J559" s="39">
        <v>28.177</v>
      </c>
      <c r="K559" s="74">
        <v>900.48</v>
      </c>
      <c r="L559" s="67">
        <f>J559/K559</f>
        <v>0.031291089196872776</v>
      </c>
      <c r="M559" s="32">
        <v>300</v>
      </c>
      <c r="N559" s="68">
        <f>L559*M559</f>
        <v>9.387326759061834</v>
      </c>
      <c r="O559" s="68">
        <f>L559*60*1000</f>
        <v>1877.4653518123664</v>
      </c>
      <c r="P559" s="69">
        <f>O559*M559/1000</f>
        <v>563.2396055437099</v>
      </c>
      <c r="R559" s="10"/>
      <c r="S559" s="10"/>
    </row>
    <row r="560" spans="1:19" s="9" customFormat="1" ht="12.75" customHeight="1">
      <c r="A560" s="220"/>
      <c r="B560" s="52" t="s">
        <v>38</v>
      </c>
      <c r="C560" s="25">
        <v>60</v>
      </c>
      <c r="D560" s="25">
        <v>1981</v>
      </c>
      <c r="E560" s="37">
        <v>120.301</v>
      </c>
      <c r="F560" s="37">
        <v>7.782743</v>
      </c>
      <c r="G560" s="37">
        <v>9.6</v>
      </c>
      <c r="H560" s="37">
        <v>102.918257</v>
      </c>
      <c r="I560" s="36">
        <v>3285.91</v>
      </c>
      <c r="J560" s="37">
        <v>102.918259</v>
      </c>
      <c r="K560" s="36">
        <v>3285.91</v>
      </c>
      <c r="L560" s="295">
        <f>J560/K560</f>
        <v>0.03132108274420176</v>
      </c>
      <c r="M560" s="25">
        <v>296.48</v>
      </c>
      <c r="N560" s="296">
        <f>L560*M560</f>
        <v>9.28607461200094</v>
      </c>
      <c r="O560" s="296">
        <f>L560*60*1000</f>
        <v>1879.2649646521058</v>
      </c>
      <c r="P560" s="332">
        <f>O560*M560/1000</f>
        <v>557.1644767200564</v>
      </c>
      <c r="R560" s="10"/>
      <c r="S560" s="10"/>
    </row>
    <row r="561" spans="1:19" s="9" customFormat="1" ht="12.75" customHeight="1">
      <c r="A561" s="220"/>
      <c r="B561" s="52" t="s">
        <v>34</v>
      </c>
      <c r="C561" s="25">
        <v>44</v>
      </c>
      <c r="D561" s="25" t="s">
        <v>24</v>
      </c>
      <c r="E561" s="37">
        <v>86.651</v>
      </c>
      <c r="F561" s="37">
        <v>6.3189</v>
      </c>
      <c r="G561" s="37">
        <v>7.04</v>
      </c>
      <c r="H561" s="37">
        <v>73.2921</v>
      </c>
      <c r="I561" s="36">
        <v>2337.92</v>
      </c>
      <c r="J561" s="37">
        <v>73.292101</v>
      </c>
      <c r="K561" s="36">
        <v>2337.92</v>
      </c>
      <c r="L561" s="295">
        <f>J561/K561</f>
        <v>0.031349276707500685</v>
      </c>
      <c r="M561" s="25">
        <v>296.48</v>
      </c>
      <c r="N561" s="296">
        <f>L561*M561</f>
        <v>9.294433558239804</v>
      </c>
      <c r="O561" s="296">
        <f>L561*60*1000</f>
        <v>1880.9566024500411</v>
      </c>
      <c r="P561" s="332">
        <f>O561*M561/1000</f>
        <v>557.6660134943882</v>
      </c>
      <c r="R561" s="10"/>
      <c r="S561" s="10"/>
    </row>
    <row r="562" spans="1:19" s="9" customFormat="1" ht="12.75" customHeight="1">
      <c r="A562" s="220"/>
      <c r="B562" s="66" t="s">
        <v>719</v>
      </c>
      <c r="C562" s="29">
        <v>60</v>
      </c>
      <c r="D562" s="29">
        <v>1985</v>
      </c>
      <c r="E562" s="39">
        <v>117.66</v>
      </c>
      <c r="F562" s="39">
        <v>5.9</v>
      </c>
      <c r="G562" s="39">
        <v>9.6</v>
      </c>
      <c r="H562" s="39">
        <v>102</v>
      </c>
      <c r="I562" s="290"/>
      <c r="J562" s="39">
        <f>H562</f>
        <v>102</v>
      </c>
      <c r="K562" s="74">
        <v>3252</v>
      </c>
      <c r="L562" s="67">
        <f>J562/K562</f>
        <v>0.03136531365313653</v>
      </c>
      <c r="M562" s="32">
        <v>187.7</v>
      </c>
      <c r="N562" s="68">
        <f>L562*M562</f>
        <v>5.887269372693726</v>
      </c>
      <c r="O562" s="68">
        <f>L562*60*1000</f>
        <v>1881.9188191881917</v>
      </c>
      <c r="P562" s="69">
        <f>O562*M562/1000</f>
        <v>353.23616236162354</v>
      </c>
      <c r="Q562" s="11"/>
      <c r="R562" s="10"/>
      <c r="S562" s="10"/>
    </row>
    <row r="563" spans="1:19" s="9" customFormat="1" ht="12.75" customHeight="1">
      <c r="A563" s="220"/>
      <c r="B563" s="52" t="s">
        <v>61</v>
      </c>
      <c r="C563" s="25">
        <v>47</v>
      </c>
      <c r="D563" s="25">
        <v>1979</v>
      </c>
      <c r="E563" s="37">
        <v>108.48</v>
      </c>
      <c r="F563" s="37">
        <v>7.89</v>
      </c>
      <c r="G563" s="37">
        <v>7.27</v>
      </c>
      <c r="H563" s="37">
        <f>E563-F563-G563</f>
        <v>93.32000000000001</v>
      </c>
      <c r="I563" s="36">
        <v>2974.6</v>
      </c>
      <c r="J563" s="37">
        <f>H563/I563*K563</f>
        <v>91.54432864923017</v>
      </c>
      <c r="K563" s="25">
        <v>2918</v>
      </c>
      <c r="L563" s="295">
        <f>J563/K563</f>
        <v>0.031372285349290666</v>
      </c>
      <c r="M563" s="296">
        <v>323.29400000000004</v>
      </c>
      <c r="N563" s="296">
        <f>L563*M563</f>
        <v>10.142471619713577</v>
      </c>
      <c r="O563" s="296">
        <f>L563*60*1000</f>
        <v>1882.33712095744</v>
      </c>
      <c r="P563" s="332">
        <f>O563*M563/1000</f>
        <v>608.5482971828147</v>
      </c>
      <c r="R563" s="10"/>
      <c r="S563" s="10"/>
    </row>
    <row r="564" spans="1:19" s="9" customFormat="1" ht="12.75" customHeight="1">
      <c r="A564" s="220"/>
      <c r="B564" s="66" t="s">
        <v>720</v>
      </c>
      <c r="C564" s="29">
        <v>36</v>
      </c>
      <c r="D564" s="29">
        <v>1989</v>
      </c>
      <c r="E564" s="39">
        <v>81.2</v>
      </c>
      <c r="F564" s="39">
        <v>4.7</v>
      </c>
      <c r="G564" s="39">
        <v>5.7</v>
      </c>
      <c r="H564" s="39">
        <v>70</v>
      </c>
      <c r="I564" s="290"/>
      <c r="J564" s="39">
        <f>H564</f>
        <v>70</v>
      </c>
      <c r="K564" s="74">
        <v>2231</v>
      </c>
      <c r="L564" s="67">
        <f>J564/K564</f>
        <v>0.031376064545047065</v>
      </c>
      <c r="M564" s="32">
        <v>187.7</v>
      </c>
      <c r="N564" s="68">
        <f>L564*M564</f>
        <v>5.889287315105334</v>
      </c>
      <c r="O564" s="68">
        <f>L564*60*1000</f>
        <v>1882.563872702824</v>
      </c>
      <c r="P564" s="69">
        <f>O564*M564/1000</f>
        <v>353.35723890632005</v>
      </c>
      <c r="R564" s="10"/>
      <c r="S564" s="10"/>
    </row>
    <row r="565" spans="1:19" s="9" customFormat="1" ht="12.75" customHeight="1">
      <c r="A565" s="220"/>
      <c r="B565" s="52" t="s">
        <v>58</v>
      </c>
      <c r="C565" s="25">
        <v>107</v>
      </c>
      <c r="D565" s="25">
        <v>1974</v>
      </c>
      <c r="E565" s="37">
        <v>107.61</v>
      </c>
      <c r="F565" s="37">
        <v>10.2</v>
      </c>
      <c r="G565" s="37">
        <v>17.04</v>
      </c>
      <c r="H565" s="37">
        <f>E565-F565-G565</f>
        <v>80.37</v>
      </c>
      <c r="I565" s="36">
        <v>2560</v>
      </c>
      <c r="J565" s="37">
        <f>H565/I565*K565</f>
        <v>78.58051171875</v>
      </c>
      <c r="K565" s="25">
        <v>2503</v>
      </c>
      <c r="L565" s="295">
        <f>J565/K565</f>
        <v>0.03139453125</v>
      </c>
      <c r="M565" s="296">
        <v>323.29400000000004</v>
      </c>
      <c r="N565" s="296">
        <f>L565*M565</f>
        <v>10.149663585937502</v>
      </c>
      <c r="O565" s="296">
        <f>L565*60*1000</f>
        <v>1883.671875</v>
      </c>
      <c r="P565" s="332">
        <f>O565*M565/1000</f>
        <v>608.9798151562501</v>
      </c>
      <c r="R565" s="10"/>
      <c r="S565" s="10"/>
    </row>
    <row r="566" spans="1:19" s="9" customFormat="1" ht="12.75" customHeight="1">
      <c r="A566" s="220"/>
      <c r="B566" s="313" t="s">
        <v>554</v>
      </c>
      <c r="C566" s="312">
        <v>31</v>
      </c>
      <c r="D566" s="315" t="s">
        <v>24</v>
      </c>
      <c r="E566" s="307">
        <v>41.64</v>
      </c>
      <c r="F566" s="307">
        <v>3.72</v>
      </c>
      <c r="G566" s="308">
        <v>0.31</v>
      </c>
      <c r="H566" s="307">
        <v>37.61</v>
      </c>
      <c r="I566" s="312">
        <v>1196.73</v>
      </c>
      <c r="J566" s="307">
        <v>37.61</v>
      </c>
      <c r="K566" s="310">
        <v>1196.73</v>
      </c>
      <c r="L566" s="67">
        <f>J566/K566</f>
        <v>0.03142730607572301</v>
      </c>
      <c r="M566" s="32">
        <v>266.83</v>
      </c>
      <c r="N566" s="68">
        <f>L566*M566</f>
        <v>8.385748080185172</v>
      </c>
      <c r="O566" s="68">
        <f>L566*60*1000</f>
        <v>1885.6383645433807</v>
      </c>
      <c r="P566" s="69">
        <f>O566*M566/1000</f>
        <v>503.1448848111103</v>
      </c>
      <c r="R566" s="10"/>
      <c r="S566" s="10"/>
    </row>
    <row r="567" spans="1:19" s="9" customFormat="1" ht="12.75" customHeight="1">
      <c r="A567" s="220"/>
      <c r="B567" s="291" t="s">
        <v>218</v>
      </c>
      <c r="C567" s="292">
        <v>6</v>
      </c>
      <c r="D567" s="29">
        <v>1957</v>
      </c>
      <c r="E567" s="39">
        <f>F567+G567+H567</f>
        <v>11.684196</v>
      </c>
      <c r="F567" s="293">
        <v>0.51</v>
      </c>
      <c r="G567" s="293">
        <v>0.96</v>
      </c>
      <c r="H567" s="293">
        <v>10.214196</v>
      </c>
      <c r="I567" s="294">
        <v>428.79</v>
      </c>
      <c r="J567" s="293">
        <v>10.214196</v>
      </c>
      <c r="K567" s="294">
        <v>324.95</v>
      </c>
      <c r="L567" s="67">
        <f>J567/K567</f>
        <v>0.031433131250961685</v>
      </c>
      <c r="M567" s="32">
        <v>314.465</v>
      </c>
      <c r="N567" s="68">
        <f>L567*M567</f>
        <v>9.884619618833666</v>
      </c>
      <c r="O567" s="68">
        <f>L567*60*1000</f>
        <v>1885.987875057701</v>
      </c>
      <c r="P567" s="69">
        <f>O567*M567/1000</f>
        <v>593.0771771300199</v>
      </c>
      <c r="R567" s="10"/>
      <c r="S567" s="10"/>
    </row>
    <row r="568" spans="1:19" s="9" customFormat="1" ht="12.75" customHeight="1">
      <c r="A568" s="220"/>
      <c r="B568" s="316" t="s">
        <v>255</v>
      </c>
      <c r="C568" s="317">
        <v>5</v>
      </c>
      <c r="D568" s="25">
        <v>1924</v>
      </c>
      <c r="E568" s="37">
        <f>+F568+G568+H568</f>
        <v>8.1264</v>
      </c>
      <c r="F568" s="318">
        <v>0.391864</v>
      </c>
      <c r="G568" s="318">
        <v>0</v>
      </c>
      <c r="H568" s="318">
        <v>7.734536</v>
      </c>
      <c r="I568" s="319">
        <v>245.91</v>
      </c>
      <c r="J568" s="318">
        <v>7.734536</v>
      </c>
      <c r="K568" s="319">
        <v>245.91</v>
      </c>
      <c r="L568" s="295">
        <f>+J568/K568</f>
        <v>0.03145271034118174</v>
      </c>
      <c r="M568" s="296">
        <v>340.189</v>
      </c>
      <c r="N568" s="296">
        <f>+L568*M568</f>
        <v>10.699866078256274</v>
      </c>
      <c r="O568" s="296">
        <f>+L568*60*1000</f>
        <v>1887.1626204709041</v>
      </c>
      <c r="P568" s="332">
        <f>+N568*60</f>
        <v>641.9919646953765</v>
      </c>
      <c r="R568" s="10"/>
      <c r="S568" s="10"/>
    </row>
    <row r="569" spans="1:19" s="9" customFormat="1" ht="12.75" customHeight="1">
      <c r="A569" s="220"/>
      <c r="B569" s="52" t="s">
        <v>781</v>
      </c>
      <c r="C569" s="25">
        <v>20</v>
      </c>
      <c r="D569" s="25" t="s">
        <v>24</v>
      </c>
      <c r="E569" s="37">
        <f>SUM(F569:H569)</f>
        <v>37.099999999999994</v>
      </c>
      <c r="F569" s="208">
        <v>1.2</v>
      </c>
      <c r="G569" s="208">
        <v>3.1</v>
      </c>
      <c r="H569" s="208">
        <v>32.8</v>
      </c>
      <c r="I569" s="36">
        <v>1042.41</v>
      </c>
      <c r="J569" s="37">
        <v>32.8</v>
      </c>
      <c r="K569" s="36">
        <v>1042.41</v>
      </c>
      <c r="L569" s="67">
        <f>J569/K569</f>
        <v>0.03146554618624149</v>
      </c>
      <c r="M569" s="32">
        <v>204.4</v>
      </c>
      <c r="N569" s="68">
        <f>L569*M569</f>
        <v>6.431557640467761</v>
      </c>
      <c r="O569" s="68">
        <f>L569*60*1000</f>
        <v>1887.9327711744895</v>
      </c>
      <c r="P569" s="69">
        <f>O569*M569/1000</f>
        <v>385.8934584280656</v>
      </c>
      <c r="R569" s="10"/>
      <c r="S569" s="10"/>
    </row>
    <row r="570" spans="1:19" s="9" customFormat="1" ht="12.75" customHeight="1">
      <c r="A570" s="220"/>
      <c r="B570" s="66" t="s">
        <v>509</v>
      </c>
      <c r="C570" s="29">
        <v>84</v>
      </c>
      <c r="D570" s="29">
        <v>1966</v>
      </c>
      <c r="E570" s="39">
        <v>140.536</v>
      </c>
      <c r="F570" s="39">
        <v>10.548</v>
      </c>
      <c r="G570" s="39">
        <v>8.4</v>
      </c>
      <c r="H570" s="39">
        <f>E570-F570-G570</f>
        <v>121.588</v>
      </c>
      <c r="I570" s="74">
        <v>3861.62</v>
      </c>
      <c r="J570" s="39">
        <f>H570</f>
        <v>121.588</v>
      </c>
      <c r="K570" s="74">
        <f>I570</f>
        <v>3861.62</v>
      </c>
      <c r="L570" s="67">
        <f>J570/K570</f>
        <v>0.031486267421444884</v>
      </c>
      <c r="M570" s="32">
        <v>279.476</v>
      </c>
      <c r="N570" s="68">
        <f>L570*M570</f>
        <v>8.799656073875731</v>
      </c>
      <c r="O570" s="68">
        <f>L570*60*1000</f>
        <v>1889.1760452866931</v>
      </c>
      <c r="P570" s="69">
        <f>O570*M570/1000</f>
        <v>527.9793644325439</v>
      </c>
      <c r="R570" s="10"/>
      <c r="S570" s="10"/>
    </row>
    <row r="571" spans="1:19" s="9" customFormat="1" ht="12.75" customHeight="1">
      <c r="A571" s="220"/>
      <c r="B571" s="66" t="s">
        <v>858</v>
      </c>
      <c r="C571" s="29">
        <v>5</v>
      </c>
      <c r="D571" s="29">
        <v>1930</v>
      </c>
      <c r="E571" s="39">
        <v>7.31</v>
      </c>
      <c r="F571" s="39">
        <v>0.275</v>
      </c>
      <c r="G571" s="39">
        <v>0.041</v>
      </c>
      <c r="H571" s="39">
        <v>6.994</v>
      </c>
      <c r="I571" s="74">
        <v>222</v>
      </c>
      <c r="J571" s="39">
        <v>6.994</v>
      </c>
      <c r="K571" s="74">
        <v>222</v>
      </c>
      <c r="L571" s="67">
        <f>J571/K571</f>
        <v>0.0315045045045045</v>
      </c>
      <c r="M571" s="32">
        <v>254.2</v>
      </c>
      <c r="N571" s="68">
        <f>L571*M571</f>
        <v>8.008445045045045</v>
      </c>
      <c r="O571" s="68">
        <f>L571*60*1000</f>
        <v>1890.2702702702702</v>
      </c>
      <c r="P571" s="69">
        <f>O571*M571/1000</f>
        <v>480.5067027027027</v>
      </c>
      <c r="R571" s="10"/>
      <c r="S571" s="10"/>
    </row>
    <row r="572" spans="1:19" s="9" customFormat="1" ht="12.75" customHeight="1">
      <c r="A572" s="220"/>
      <c r="B572" s="52" t="s">
        <v>62</v>
      </c>
      <c r="C572" s="25">
        <v>118</v>
      </c>
      <c r="D572" s="25">
        <v>1961</v>
      </c>
      <c r="E572" s="37">
        <v>92.72</v>
      </c>
      <c r="F572" s="37">
        <v>10.08</v>
      </c>
      <c r="G572" s="37"/>
      <c r="H572" s="37">
        <f>E572-F572-G572</f>
        <v>82.64</v>
      </c>
      <c r="I572" s="36">
        <v>2623</v>
      </c>
      <c r="J572" s="37">
        <f>H572/I572*K572</f>
        <v>79.01682043461686</v>
      </c>
      <c r="K572" s="25">
        <v>2508</v>
      </c>
      <c r="L572" s="295">
        <f>J572/K572</f>
        <v>0.0315059092642013</v>
      </c>
      <c r="M572" s="296">
        <v>323.29400000000004</v>
      </c>
      <c r="N572" s="296">
        <f>L572*M572</f>
        <v>10.185671429660696</v>
      </c>
      <c r="O572" s="296">
        <f>L572*60*1000</f>
        <v>1890.354555852078</v>
      </c>
      <c r="P572" s="332">
        <f>O572*M572/1000</f>
        <v>611.1402857796418</v>
      </c>
      <c r="R572" s="10"/>
      <c r="S572" s="10"/>
    </row>
    <row r="573" spans="1:19" s="9" customFormat="1" ht="12.75" customHeight="1">
      <c r="A573" s="220"/>
      <c r="B573" s="316" t="s">
        <v>103</v>
      </c>
      <c r="C573" s="317">
        <v>22</v>
      </c>
      <c r="D573" s="25">
        <v>1964</v>
      </c>
      <c r="E573" s="37">
        <f>+F573+G573+H573</f>
        <v>34.42206899999999</v>
      </c>
      <c r="F573" s="318">
        <v>1.7392320000000001</v>
      </c>
      <c r="G573" s="318">
        <v>0.38</v>
      </c>
      <c r="H573" s="318">
        <v>32.302837</v>
      </c>
      <c r="I573" s="319">
        <v>1065.94</v>
      </c>
      <c r="J573" s="318">
        <v>32.302837</v>
      </c>
      <c r="K573" s="319">
        <v>1024.21</v>
      </c>
      <c r="L573" s="295">
        <f>+J573/K573</f>
        <v>0.03153927124320207</v>
      </c>
      <c r="M573" s="296">
        <v>340.189</v>
      </c>
      <c r="N573" s="296">
        <f>+L573*M573</f>
        <v>10.72931314495367</v>
      </c>
      <c r="O573" s="296">
        <f>+L573*60*1000</f>
        <v>1892.3562745921242</v>
      </c>
      <c r="P573" s="332">
        <f>+N573*60</f>
        <v>643.7587886972202</v>
      </c>
      <c r="R573" s="10"/>
      <c r="S573" s="10"/>
    </row>
    <row r="574" spans="1:19" s="9" customFormat="1" ht="12.75" customHeight="1">
      <c r="A574" s="220"/>
      <c r="B574" s="52" t="s">
        <v>377</v>
      </c>
      <c r="C574" s="25">
        <v>13</v>
      </c>
      <c r="D574" s="25">
        <v>1981</v>
      </c>
      <c r="E574" s="37">
        <f>SUM(F574:H574)</f>
        <v>28.10089</v>
      </c>
      <c r="F574" s="37">
        <v>1.4499</v>
      </c>
      <c r="G574" s="37">
        <v>2.08</v>
      </c>
      <c r="H574" s="37">
        <v>24.57099</v>
      </c>
      <c r="I574" s="36">
        <v>779.03</v>
      </c>
      <c r="J574" s="37">
        <v>24.57099</v>
      </c>
      <c r="K574" s="36">
        <v>779.03</v>
      </c>
      <c r="L574" s="295">
        <f>J574/K574</f>
        <v>0.03154049266395389</v>
      </c>
      <c r="M574" s="296">
        <v>284.9</v>
      </c>
      <c r="N574" s="296">
        <f>L574*M574*1.09</f>
        <v>9.794616132356904</v>
      </c>
      <c r="O574" s="296">
        <f>L574*60*1000</f>
        <v>1892.4295598372335</v>
      </c>
      <c r="P574" s="332">
        <f>N574*60</f>
        <v>587.6769679414142</v>
      </c>
      <c r="Q574" s="11"/>
      <c r="R574" s="10"/>
      <c r="S574" s="10"/>
    </row>
    <row r="575" spans="1:25" s="9" customFormat="1" ht="12.75" customHeight="1">
      <c r="A575" s="220"/>
      <c r="B575" s="324" t="s">
        <v>555</v>
      </c>
      <c r="C575" s="305">
        <v>47</v>
      </c>
      <c r="D575" s="306" t="s">
        <v>24</v>
      </c>
      <c r="E575" s="307">
        <v>72.39</v>
      </c>
      <c r="F575" s="307">
        <v>3.09</v>
      </c>
      <c r="G575" s="308">
        <v>7.6</v>
      </c>
      <c r="H575" s="307">
        <v>61.7</v>
      </c>
      <c r="I575" s="309">
        <v>1955.05</v>
      </c>
      <c r="J575" s="307">
        <v>60.79</v>
      </c>
      <c r="K575" s="310">
        <v>1926.39</v>
      </c>
      <c r="L575" s="67">
        <f>J575/K575</f>
        <v>0.03155643457451502</v>
      </c>
      <c r="M575" s="32">
        <v>266.83</v>
      </c>
      <c r="N575" s="68">
        <f>L575*M575</f>
        <v>8.420203437517843</v>
      </c>
      <c r="O575" s="68">
        <f>L575*60*1000</f>
        <v>1893.3860744709013</v>
      </c>
      <c r="P575" s="69">
        <f>O575*M575/1000</f>
        <v>505.2122062510706</v>
      </c>
      <c r="Q575" s="10"/>
      <c r="R575" s="10"/>
      <c r="S575" s="10"/>
      <c r="T575" s="12"/>
      <c r="U575" s="13"/>
      <c r="V575" s="13"/>
      <c r="W575" s="14"/>
      <c r="X575" s="14"/>
      <c r="Y575" s="14"/>
    </row>
    <row r="576" spans="1:19" s="9" customFormat="1" ht="12.75" customHeight="1">
      <c r="A576" s="220"/>
      <c r="B576" s="66" t="s">
        <v>247</v>
      </c>
      <c r="C576" s="29">
        <v>28</v>
      </c>
      <c r="D576" s="29">
        <v>1974</v>
      </c>
      <c r="E576" s="39">
        <v>56.912</v>
      </c>
      <c r="F576" s="39">
        <v>2.8305</v>
      </c>
      <c r="G576" s="39">
        <v>4.48</v>
      </c>
      <c r="H576" s="39">
        <v>49.6015</v>
      </c>
      <c r="I576" s="74">
        <v>1570.75</v>
      </c>
      <c r="J576" s="39">
        <v>49.6015</v>
      </c>
      <c r="K576" s="74">
        <v>1570.75</v>
      </c>
      <c r="L576" s="67">
        <f>J576/K576</f>
        <v>0.03157822696164253</v>
      </c>
      <c r="M576" s="32">
        <v>223.12</v>
      </c>
      <c r="N576" s="68">
        <f>L576*M576</f>
        <v>7.045733999681682</v>
      </c>
      <c r="O576" s="68">
        <f>L576*60*1000</f>
        <v>1894.6936176985519</v>
      </c>
      <c r="P576" s="69">
        <f>O576*M576/1000</f>
        <v>422.7440399809009</v>
      </c>
      <c r="R576" s="10"/>
      <c r="S576" s="10"/>
    </row>
    <row r="577" spans="1:19" s="9" customFormat="1" ht="12.75" customHeight="1">
      <c r="A577" s="220"/>
      <c r="B577" s="66" t="s">
        <v>859</v>
      </c>
      <c r="C577" s="29">
        <v>10</v>
      </c>
      <c r="D577" s="29">
        <v>1920</v>
      </c>
      <c r="E577" s="39">
        <v>12.738</v>
      </c>
      <c r="F577" s="39"/>
      <c r="G577" s="39"/>
      <c r="H577" s="39">
        <v>12.738</v>
      </c>
      <c r="I577" s="74">
        <v>403</v>
      </c>
      <c r="J577" s="39">
        <v>12.738</v>
      </c>
      <c r="K577" s="74">
        <v>403</v>
      </c>
      <c r="L577" s="67">
        <f>J577/K577</f>
        <v>0.03160794044665012</v>
      </c>
      <c r="M577" s="32">
        <v>254.2</v>
      </c>
      <c r="N577" s="68">
        <f>L577*M577</f>
        <v>8.03473846153846</v>
      </c>
      <c r="O577" s="68">
        <f>L577*60*1000</f>
        <v>1896.4764267990072</v>
      </c>
      <c r="P577" s="69">
        <f>O577*M577/1000</f>
        <v>482.0843076923076</v>
      </c>
      <c r="R577" s="10"/>
      <c r="S577" s="10"/>
    </row>
    <row r="578" spans="1:19" s="9" customFormat="1" ht="12.75" customHeight="1">
      <c r="A578" s="220"/>
      <c r="B578" s="52" t="s">
        <v>150</v>
      </c>
      <c r="C578" s="25">
        <v>24</v>
      </c>
      <c r="D578" s="25">
        <v>1966</v>
      </c>
      <c r="E578" s="37">
        <f>SUM(F578:H578)</f>
        <v>34.461999</v>
      </c>
      <c r="F578" s="37"/>
      <c r="G578" s="37"/>
      <c r="H578" s="37">
        <v>34.461999</v>
      </c>
      <c r="I578" s="36">
        <v>1087.21</v>
      </c>
      <c r="J578" s="37">
        <v>34.461999</v>
      </c>
      <c r="K578" s="36">
        <v>1087.21</v>
      </c>
      <c r="L578" s="295">
        <f>J578/K578</f>
        <v>0.0316976471886756</v>
      </c>
      <c r="M578" s="296">
        <v>284.9</v>
      </c>
      <c r="N578" s="296">
        <f>L578*M578*1.09</f>
        <v>9.84341905561851</v>
      </c>
      <c r="O578" s="296">
        <f>L578*60*1000</f>
        <v>1901.8588313205357</v>
      </c>
      <c r="P578" s="332">
        <f>N578*60</f>
        <v>590.6051433371106</v>
      </c>
      <c r="R578" s="10"/>
      <c r="S578" s="10"/>
    </row>
    <row r="579" spans="1:19" s="9" customFormat="1" ht="12.75" customHeight="1">
      <c r="A579" s="220"/>
      <c r="B579" s="66" t="s">
        <v>317</v>
      </c>
      <c r="C579" s="29">
        <v>3</v>
      </c>
      <c r="D579" s="29">
        <v>1939</v>
      </c>
      <c r="E579" s="39">
        <v>7.25</v>
      </c>
      <c r="F579" s="39">
        <v>0</v>
      </c>
      <c r="G579" s="39">
        <v>0.04</v>
      </c>
      <c r="H579" s="39">
        <v>7.21</v>
      </c>
      <c r="I579" s="74">
        <v>226.57</v>
      </c>
      <c r="J579" s="39">
        <v>3.64</v>
      </c>
      <c r="K579" s="74">
        <v>114.54</v>
      </c>
      <c r="L579" s="67">
        <f>J579/K579</f>
        <v>0.03177929107735289</v>
      </c>
      <c r="M579" s="32">
        <v>337.137</v>
      </c>
      <c r="N579" s="68">
        <f>L579*M579</f>
        <v>10.713974855945521</v>
      </c>
      <c r="O579" s="68">
        <f>L579*60*1000</f>
        <v>1906.7574646411733</v>
      </c>
      <c r="P579" s="69">
        <f>O579*M579/1000</f>
        <v>642.8384913567313</v>
      </c>
      <c r="R579" s="10"/>
      <c r="S579" s="10"/>
    </row>
    <row r="580" spans="1:19" s="9" customFormat="1" ht="12.75" customHeight="1">
      <c r="A580" s="220"/>
      <c r="B580" s="52" t="s">
        <v>384</v>
      </c>
      <c r="C580" s="25">
        <v>5</v>
      </c>
      <c r="D580" s="25">
        <v>1825</v>
      </c>
      <c r="E580" s="37">
        <f>SUM(F580:H580)</f>
        <v>7.329001</v>
      </c>
      <c r="F580" s="37"/>
      <c r="G580" s="37"/>
      <c r="H580" s="37">
        <v>7.329001</v>
      </c>
      <c r="I580" s="36">
        <v>230.53</v>
      </c>
      <c r="J580" s="37">
        <v>7.329001</v>
      </c>
      <c r="K580" s="36">
        <v>230.53</v>
      </c>
      <c r="L580" s="295">
        <f>J580/K580</f>
        <v>0.0317919620006073</v>
      </c>
      <c r="M580" s="296">
        <v>284.9</v>
      </c>
      <c r="N580" s="296">
        <f>L580*M580*1.09</f>
        <v>9.872707671630591</v>
      </c>
      <c r="O580" s="296">
        <f>L580*60*1000</f>
        <v>1907.5177200364378</v>
      </c>
      <c r="P580" s="332">
        <f>N580*60</f>
        <v>592.3624602978355</v>
      </c>
      <c r="R580" s="10"/>
      <c r="S580" s="10"/>
    </row>
    <row r="581" spans="1:19" s="9" customFormat="1" ht="12.75" customHeight="1">
      <c r="A581" s="220"/>
      <c r="B581" s="291" t="s">
        <v>646</v>
      </c>
      <c r="C581" s="292">
        <v>60</v>
      </c>
      <c r="D581" s="29">
        <v>1985</v>
      </c>
      <c r="E581" s="39">
        <f>F581+G581+H581</f>
        <v>136.444195</v>
      </c>
      <c r="F581" s="293">
        <v>5.304</v>
      </c>
      <c r="G581" s="293">
        <v>9.36</v>
      </c>
      <c r="H581" s="293">
        <v>121.780195</v>
      </c>
      <c r="I581" s="294">
        <v>3921.56</v>
      </c>
      <c r="J581" s="293">
        <v>121.780195</v>
      </c>
      <c r="K581" s="294">
        <v>3814.2000000000003</v>
      </c>
      <c r="L581" s="67">
        <f>J581/K581</f>
        <v>0.03192810943317078</v>
      </c>
      <c r="M581" s="32">
        <v>314.465</v>
      </c>
      <c r="N581" s="68">
        <f>L581*M581</f>
        <v>10.040272932902049</v>
      </c>
      <c r="O581" s="68">
        <f>L581*60*1000</f>
        <v>1915.686565990247</v>
      </c>
      <c r="P581" s="69">
        <f>O581*M581/1000</f>
        <v>602.416375974123</v>
      </c>
      <c r="R581" s="10"/>
      <c r="S581" s="10"/>
    </row>
    <row r="582" spans="1:19" s="9" customFormat="1" ht="12.75" customHeight="1">
      <c r="A582" s="220"/>
      <c r="B582" s="52" t="s">
        <v>782</v>
      </c>
      <c r="C582" s="25">
        <v>107</v>
      </c>
      <c r="D582" s="25" t="s">
        <v>24</v>
      </c>
      <c r="E582" s="37">
        <f>SUM(F582:H582)</f>
        <v>105.2</v>
      </c>
      <c r="F582" s="208">
        <v>3.8</v>
      </c>
      <c r="G582" s="208">
        <v>16.2</v>
      </c>
      <c r="H582" s="208">
        <v>85.2</v>
      </c>
      <c r="I582" s="36">
        <v>2639.07</v>
      </c>
      <c r="J582" s="37">
        <v>78.4</v>
      </c>
      <c r="K582" s="36">
        <v>2449.16</v>
      </c>
      <c r="L582" s="67">
        <f>J582/K582</f>
        <v>0.032010975191494234</v>
      </c>
      <c r="M582" s="32">
        <v>204.4</v>
      </c>
      <c r="N582" s="68">
        <f>L582*M582</f>
        <v>6.543043329141422</v>
      </c>
      <c r="O582" s="68">
        <f>L582*60*1000</f>
        <v>1920.658511489654</v>
      </c>
      <c r="P582" s="69">
        <f>O582*M582/1000</f>
        <v>392.58259974848534</v>
      </c>
      <c r="Q582" s="11"/>
      <c r="R582" s="10"/>
      <c r="S582" s="10"/>
    </row>
    <row r="583" spans="1:19" s="9" customFormat="1" ht="12.75" customHeight="1">
      <c r="A583" s="220"/>
      <c r="B583" s="66" t="s">
        <v>944</v>
      </c>
      <c r="C583" s="29">
        <v>15</v>
      </c>
      <c r="D583" s="29">
        <v>1989</v>
      </c>
      <c r="E583" s="39">
        <v>32</v>
      </c>
      <c r="F583" s="39">
        <v>0.969</v>
      </c>
      <c r="G583" s="39">
        <v>2.4</v>
      </c>
      <c r="H583" s="39">
        <v>28.631</v>
      </c>
      <c r="I583" s="74">
        <v>894</v>
      </c>
      <c r="J583" s="39">
        <v>28.631</v>
      </c>
      <c r="K583" s="74">
        <v>894</v>
      </c>
      <c r="L583" s="67">
        <f>J583/K583</f>
        <v>0.03202572706935123</v>
      </c>
      <c r="M583" s="32">
        <v>227.81</v>
      </c>
      <c r="N583" s="68">
        <f>L583*M583</f>
        <v>7.295780883668904</v>
      </c>
      <c r="O583" s="68">
        <f>L583*60*1000</f>
        <v>1921.5436241610737</v>
      </c>
      <c r="P583" s="69">
        <f>O583*M583/1000</f>
        <v>437.7468530201342</v>
      </c>
      <c r="R583" s="10"/>
      <c r="S583" s="10"/>
    </row>
    <row r="584" spans="1:19" s="9" customFormat="1" ht="12.75" customHeight="1">
      <c r="A584" s="220"/>
      <c r="B584" s="66" t="s">
        <v>738</v>
      </c>
      <c r="C584" s="29">
        <v>37</v>
      </c>
      <c r="D584" s="29">
        <v>1986</v>
      </c>
      <c r="E584" s="39">
        <v>73.616</v>
      </c>
      <c r="F584" s="39">
        <v>4.577</v>
      </c>
      <c r="G584" s="39">
        <v>5.92</v>
      </c>
      <c r="H584" s="39">
        <v>73.616</v>
      </c>
      <c r="I584" s="74">
        <v>2297.1</v>
      </c>
      <c r="J584" s="39">
        <f>H584</f>
        <v>73.616</v>
      </c>
      <c r="K584" s="74">
        <f>I584</f>
        <v>2297.1</v>
      </c>
      <c r="L584" s="67">
        <f>J584/K584</f>
        <v>0.03204736406773758</v>
      </c>
      <c r="M584" s="32">
        <v>206.88</v>
      </c>
      <c r="N584" s="68">
        <f>L584*M584</f>
        <v>6.6299586783335505</v>
      </c>
      <c r="O584" s="68">
        <f>L584*60*1000</f>
        <v>1922.841844064255</v>
      </c>
      <c r="P584" s="69">
        <f>O584*M584/1000</f>
        <v>397.797520700013</v>
      </c>
      <c r="R584" s="10"/>
      <c r="S584" s="10"/>
    </row>
    <row r="585" spans="1:19" s="9" customFormat="1" ht="12.75" customHeight="1">
      <c r="A585" s="220"/>
      <c r="B585" s="66" t="s">
        <v>803</v>
      </c>
      <c r="C585" s="29">
        <v>22</v>
      </c>
      <c r="D585" s="29">
        <v>1980</v>
      </c>
      <c r="E585" s="39">
        <v>43.2</v>
      </c>
      <c r="F585" s="39">
        <v>1.6</v>
      </c>
      <c r="G585" s="39">
        <v>3.5</v>
      </c>
      <c r="H585" s="39">
        <v>38.1</v>
      </c>
      <c r="I585" s="74">
        <v>1187.1</v>
      </c>
      <c r="J585" s="39">
        <v>38.1</v>
      </c>
      <c r="K585" s="74">
        <v>1187.1</v>
      </c>
      <c r="L585" s="67">
        <f>J585/K585</f>
        <v>0.032095021480919896</v>
      </c>
      <c r="M585" s="32">
        <v>216.9</v>
      </c>
      <c r="N585" s="68">
        <f>L585*M585</f>
        <v>6.961410159211526</v>
      </c>
      <c r="O585" s="68">
        <f>L585*60*1000</f>
        <v>1925.7012888551938</v>
      </c>
      <c r="P585" s="69">
        <f>O585*M585/1000</f>
        <v>417.68460955269154</v>
      </c>
      <c r="R585" s="10"/>
      <c r="S585" s="10"/>
    </row>
    <row r="586" spans="1:19" s="9" customFormat="1" ht="12.75" customHeight="1">
      <c r="A586" s="220"/>
      <c r="B586" s="291" t="s">
        <v>261</v>
      </c>
      <c r="C586" s="292">
        <v>8</v>
      </c>
      <c r="D586" s="29">
        <v>1976</v>
      </c>
      <c r="E586" s="39">
        <f>F586+G586+H586</f>
        <v>16.939</v>
      </c>
      <c r="F586" s="293">
        <v>1.224</v>
      </c>
      <c r="G586" s="293">
        <v>0.08</v>
      </c>
      <c r="H586" s="293">
        <v>15.635</v>
      </c>
      <c r="I586" s="294">
        <v>486.54</v>
      </c>
      <c r="J586" s="293">
        <v>15.635</v>
      </c>
      <c r="K586" s="294">
        <v>486.54</v>
      </c>
      <c r="L586" s="67">
        <f>J586/K586</f>
        <v>0.03213507625272331</v>
      </c>
      <c r="M586" s="32">
        <v>314.465</v>
      </c>
      <c r="N586" s="68">
        <f>L586*M586</f>
        <v>10.105356753812636</v>
      </c>
      <c r="O586" s="68">
        <f>L586*60*1000</f>
        <v>1928.1045751633987</v>
      </c>
      <c r="P586" s="69">
        <f>O586*M586/1000</f>
        <v>606.3214052287581</v>
      </c>
      <c r="R586" s="10"/>
      <c r="S586" s="10"/>
    </row>
    <row r="587" spans="1:19" s="9" customFormat="1" ht="12.75" customHeight="1">
      <c r="A587" s="220"/>
      <c r="B587" s="291" t="s">
        <v>140</v>
      </c>
      <c r="C587" s="292">
        <v>8</v>
      </c>
      <c r="D587" s="29">
        <v>1972</v>
      </c>
      <c r="E587" s="39">
        <f>F587+G587+H587</f>
        <v>15.336000000000002</v>
      </c>
      <c r="F587" s="293">
        <v>0.49306800000000006</v>
      </c>
      <c r="G587" s="293">
        <v>0.67</v>
      </c>
      <c r="H587" s="293">
        <v>14.172932000000001</v>
      </c>
      <c r="I587" s="294">
        <v>440.39</v>
      </c>
      <c r="J587" s="293">
        <v>14.172932000000001</v>
      </c>
      <c r="K587" s="294">
        <v>440.39</v>
      </c>
      <c r="L587" s="67">
        <f>J587/K587</f>
        <v>0.03218268353050705</v>
      </c>
      <c r="M587" s="32">
        <v>314.465</v>
      </c>
      <c r="N587" s="68">
        <f>L587*M587</f>
        <v>10.1203275764209</v>
      </c>
      <c r="O587" s="68">
        <f>L587*60*1000</f>
        <v>1930.961011830423</v>
      </c>
      <c r="P587" s="69">
        <f>O587*M587/1000</f>
        <v>607.2196545852539</v>
      </c>
      <c r="R587" s="10"/>
      <c r="S587" s="10"/>
    </row>
    <row r="588" spans="1:19" s="9" customFormat="1" ht="12.75" customHeight="1">
      <c r="A588" s="220"/>
      <c r="B588" s="52" t="s">
        <v>427</v>
      </c>
      <c r="C588" s="25">
        <v>15</v>
      </c>
      <c r="D588" s="25">
        <v>1992</v>
      </c>
      <c r="E588" s="37">
        <v>31.3</v>
      </c>
      <c r="F588" s="37">
        <v>1.215</v>
      </c>
      <c r="G588" s="37">
        <v>2.32</v>
      </c>
      <c r="H588" s="37">
        <v>27.76</v>
      </c>
      <c r="I588" s="36">
        <v>861.65</v>
      </c>
      <c r="J588" s="37">
        <v>27.76</v>
      </c>
      <c r="K588" s="36">
        <v>861.65</v>
      </c>
      <c r="L588" s="295">
        <f>J588/K588</f>
        <v>0.032217257587187374</v>
      </c>
      <c r="M588" s="296">
        <v>263.899</v>
      </c>
      <c r="N588" s="296">
        <f>L588*M588</f>
        <v>8.50210206000116</v>
      </c>
      <c r="O588" s="296">
        <f>L588*1000*60</f>
        <v>1933.0354552312426</v>
      </c>
      <c r="P588" s="332">
        <f>N588*60</f>
        <v>510.1261236000696</v>
      </c>
      <c r="Q588" s="11"/>
      <c r="R588" s="10"/>
      <c r="S588" s="10"/>
    </row>
    <row r="589" spans="1:19" s="9" customFormat="1" ht="12.75" customHeight="1">
      <c r="A589" s="220"/>
      <c r="B589" s="66" t="s">
        <v>721</v>
      </c>
      <c r="C589" s="29">
        <v>60</v>
      </c>
      <c r="D589" s="29">
        <v>1981</v>
      </c>
      <c r="E589" s="39">
        <v>120.7</v>
      </c>
      <c r="F589" s="39">
        <v>6.2</v>
      </c>
      <c r="G589" s="39">
        <v>9.6</v>
      </c>
      <c r="H589" s="39">
        <v>104.8</v>
      </c>
      <c r="I589" s="290"/>
      <c r="J589" s="39">
        <f>H589</f>
        <v>104.8</v>
      </c>
      <c r="K589" s="74">
        <v>3252</v>
      </c>
      <c r="L589" s="67">
        <f>J589/K589</f>
        <v>0.03222632226322263</v>
      </c>
      <c r="M589" s="32">
        <v>187.7</v>
      </c>
      <c r="N589" s="68">
        <f>L589*M589</f>
        <v>6.048880688806888</v>
      </c>
      <c r="O589" s="68">
        <f>L589*60*1000</f>
        <v>1933.579335793358</v>
      </c>
      <c r="P589" s="69">
        <f>O589*M589/1000</f>
        <v>362.9328413284133</v>
      </c>
      <c r="R589" s="10"/>
      <c r="S589" s="10"/>
    </row>
    <row r="590" spans="1:19" s="9" customFormat="1" ht="12.75" customHeight="1">
      <c r="A590" s="220"/>
      <c r="B590" s="66" t="s">
        <v>510</v>
      </c>
      <c r="C590" s="29">
        <v>73</v>
      </c>
      <c r="D590" s="29">
        <v>1973</v>
      </c>
      <c r="E590" s="39">
        <v>140.481</v>
      </c>
      <c r="F590" s="39">
        <v>9.478</v>
      </c>
      <c r="G590" s="39">
        <v>7.2</v>
      </c>
      <c r="H590" s="39">
        <f>E590-F590-G590</f>
        <v>123.80299999999998</v>
      </c>
      <c r="I590" s="74">
        <v>3838.95</v>
      </c>
      <c r="J590" s="39">
        <f>H590</f>
        <v>123.80299999999998</v>
      </c>
      <c r="K590" s="74">
        <f>I590</f>
        <v>3838.95</v>
      </c>
      <c r="L590" s="67">
        <f>J590/K590</f>
        <v>0.03224918271923312</v>
      </c>
      <c r="M590" s="32">
        <v>279.476</v>
      </c>
      <c r="N590" s="68">
        <f>L590*M590</f>
        <v>9.012872589640395</v>
      </c>
      <c r="O590" s="68">
        <f>L590*60*1000</f>
        <v>1934.9509631539872</v>
      </c>
      <c r="P590" s="69">
        <f>O590*M590/1000</f>
        <v>540.7723553784238</v>
      </c>
      <c r="R590" s="10"/>
      <c r="S590" s="10"/>
    </row>
    <row r="591" spans="1:19" s="9" customFormat="1" ht="12.75" customHeight="1">
      <c r="A591" s="220"/>
      <c r="B591" s="52" t="s">
        <v>64</v>
      </c>
      <c r="C591" s="25">
        <v>83</v>
      </c>
      <c r="D591" s="25">
        <v>1963</v>
      </c>
      <c r="E591" s="37">
        <v>155.81</v>
      </c>
      <c r="F591" s="37">
        <v>9.36</v>
      </c>
      <c r="G591" s="37">
        <v>1.33</v>
      </c>
      <c r="H591" s="37">
        <f>E591-F591-G591</f>
        <v>145.11999999999998</v>
      </c>
      <c r="I591" s="36">
        <v>4480.8</v>
      </c>
      <c r="J591" s="37">
        <f>H591/I591*K591</f>
        <v>119.70262453133367</v>
      </c>
      <c r="K591" s="25">
        <v>3696</v>
      </c>
      <c r="L591" s="295">
        <f>J591/K591</f>
        <v>0.0323870737368327</v>
      </c>
      <c r="M591" s="296">
        <v>323.29400000000004</v>
      </c>
      <c r="N591" s="296">
        <f>L591*M591</f>
        <v>10.470546616675593</v>
      </c>
      <c r="O591" s="296">
        <f>L591*60*1000</f>
        <v>1943.224424209962</v>
      </c>
      <c r="P591" s="332">
        <f>O591*M591/1000</f>
        <v>628.2327970005356</v>
      </c>
      <c r="R591" s="10"/>
      <c r="S591" s="10"/>
    </row>
    <row r="592" spans="1:19" s="9" customFormat="1" ht="12.75" customHeight="1">
      <c r="A592" s="220"/>
      <c r="B592" s="52" t="s">
        <v>783</v>
      </c>
      <c r="C592" s="25">
        <v>42</v>
      </c>
      <c r="D592" s="25" t="s">
        <v>24</v>
      </c>
      <c r="E592" s="37">
        <f>SUM(F592:H592)</f>
        <v>65.89999999999999</v>
      </c>
      <c r="F592" s="208">
        <v>3.2</v>
      </c>
      <c r="G592" s="208">
        <v>0.4</v>
      </c>
      <c r="H592" s="208">
        <v>62.3</v>
      </c>
      <c r="I592" s="36">
        <v>1954.43</v>
      </c>
      <c r="J592" s="37">
        <v>60.4</v>
      </c>
      <c r="K592" s="36">
        <v>1862.1</v>
      </c>
      <c r="L592" s="67">
        <f>J592/K592</f>
        <v>0.03243649642876323</v>
      </c>
      <c r="M592" s="32">
        <v>204.4</v>
      </c>
      <c r="N592" s="68">
        <f>L592*M592</f>
        <v>6.630019870039204</v>
      </c>
      <c r="O592" s="68">
        <f>L592*60*1000</f>
        <v>1946.1897857257936</v>
      </c>
      <c r="P592" s="69">
        <f>O592*M592/1000</f>
        <v>397.80119220235224</v>
      </c>
      <c r="R592" s="10"/>
      <c r="S592" s="10"/>
    </row>
    <row r="593" spans="1:19" s="9" customFormat="1" ht="12.75" customHeight="1">
      <c r="A593" s="220"/>
      <c r="B593" s="316" t="s">
        <v>204</v>
      </c>
      <c r="C593" s="317">
        <v>7</v>
      </c>
      <c r="D593" s="25">
        <v>1977</v>
      </c>
      <c r="E593" s="37">
        <f>+F593+G593+H593</f>
        <v>11.605214</v>
      </c>
      <c r="F593" s="318">
        <v>0.42407200000000006</v>
      </c>
      <c r="G593" s="318">
        <v>1.12</v>
      </c>
      <c r="H593" s="318">
        <v>10.061142</v>
      </c>
      <c r="I593" s="319">
        <v>360.39</v>
      </c>
      <c r="J593" s="318">
        <v>10.061142</v>
      </c>
      <c r="K593" s="319">
        <v>309.77</v>
      </c>
      <c r="L593" s="295">
        <f>+J593/K593</f>
        <v>0.03247939438938568</v>
      </c>
      <c r="M593" s="296">
        <v>340.189</v>
      </c>
      <c r="N593" s="296">
        <f>+L593*M593</f>
        <v>11.049132697930725</v>
      </c>
      <c r="O593" s="296">
        <f>+L593*60*1000</f>
        <v>1948.7636633631407</v>
      </c>
      <c r="P593" s="332">
        <f>+N593*60</f>
        <v>662.9479618758435</v>
      </c>
      <c r="Q593" s="11"/>
      <c r="R593" s="10"/>
      <c r="S593" s="10"/>
    </row>
    <row r="594" spans="1:19" s="9" customFormat="1" ht="12.75" customHeight="1">
      <c r="A594" s="220"/>
      <c r="B594" s="304" t="s">
        <v>556</v>
      </c>
      <c r="C594" s="305">
        <v>14</v>
      </c>
      <c r="D594" s="306" t="s">
        <v>24</v>
      </c>
      <c r="E594" s="307">
        <v>24.92</v>
      </c>
      <c r="F594" s="307">
        <v>0</v>
      </c>
      <c r="G594" s="308">
        <v>0</v>
      </c>
      <c r="H594" s="307">
        <v>24.92</v>
      </c>
      <c r="I594" s="309">
        <v>766.97</v>
      </c>
      <c r="J594" s="307">
        <v>16.78</v>
      </c>
      <c r="K594" s="310">
        <v>516.55</v>
      </c>
      <c r="L594" s="67">
        <f>J594/K594</f>
        <v>0.032484754622011426</v>
      </c>
      <c r="M594" s="32">
        <v>266.83</v>
      </c>
      <c r="N594" s="68">
        <f>L594*M594</f>
        <v>8.667907075791309</v>
      </c>
      <c r="O594" s="68">
        <f>L594*60*1000</f>
        <v>1949.0852773206855</v>
      </c>
      <c r="P594" s="69">
        <f>O594*M594/1000</f>
        <v>520.0744245474785</v>
      </c>
      <c r="R594" s="10"/>
      <c r="S594" s="10"/>
    </row>
    <row r="595" spans="1:19" s="9" customFormat="1" ht="12.75" customHeight="1">
      <c r="A595" s="220"/>
      <c r="B595" s="316" t="s">
        <v>310</v>
      </c>
      <c r="C595" s="317">
        <v>39</v>
      </c>
      <c r="D595" s="25">
        <v>1999</v>
      </c>
      <c r="E595" s="37">
        <f>+F595+G595+H595</f>
        <v>84.896</v>
      </c>
      <c r="F595" s="318">
        <v>9.996</v>
      </c>
      <c r="G595" s="318">
        <v>6.24</v>
      </c>
      <c r="H595" s="318">
        <v>68.66</v>
      </c>
      <c r="I595" s="319">
        <v>2112.7200000000003</v>
      </c>
      <c r="J595" s="318">
        <v>68.66</v>
      </c>
      <c r="K595" s="319">
        <v>2112.7200000000003</v>
      </c>
      <c r="L595" s="295">
        <f>+J595/K595</f>
        <v>0.0324983907001401</v>
      </c>
      <c r="M595" s="296">
        <v>335.284</v>
      </c>
      <c r="N595" s="296">
        <f>+L595*M595</f>
        <v>10.896190427505774</v>
      </c>
      <c r="O595" s="296">
        <f>+L595*60*1000</f>
        <v>1949.903442008406</v>
      </c>
      <c r="P595" s="332">
        <f>+N595*60</f>
        <v>653.7714256503464</v>
      </c>
      <c r="R595" s="10"/>
      <c r="S595" s="10"/>
    </row>
    <row r="596" spans="1:19" s="9" customFormat="1" ht="12.75" customHeight="1">
      <c r="A596" s="220"/>
      <c r="B596" s="52" t="s">
        <v>385</v>
      </c>
      <c r="C596" s="25">
        <v>43</v>
      </c>
      <c r="D596" s="25">
        <v>1986</v>
      </c>
      <c r="E596" s="37">
        <f>SUM(F596:H596)</f>
        <v>55.039994799999995</v>
      </c>
      <c r="F596" s="37">
        <v>2.506072</v>
      </c>
      <c r="G596" s="37">
        <v>4.67</v>
      </c>
      <c r="H596" s="37">
        <v>47.8639228</v>
      </c>
      <c r="I596" s="36">
        <v>1472.24</v>
      </c>
      <c r="J596" s="37">
        <v>47.8639228</v>
      </c>
      <c r="K596" s="36">
        <v>1472.24</v>
      </c>
      <c r="L596" s="295">
        <f>J596/K596</f>
        <v>0.032510951203608106</v>
      </c>
      <c r="M596" s="296">
        <v>284.9</v>
      </c>
      <c r="N596" s="296">
        <f>L596*M596*1.09</f>
        <v>10.095983297719664</v>
      </c>
      <c r="O596" s="296">
        <f>L596*60*1000</f>
        <v>1950.6570722164865</v>
      </c>
      <c r="P596" s="332">
        <f>N596*60</f>
        <v>605.7589978631798</v>
      </c>
      <c r="R596" s="10"/>
      <c r="S596" s="10"/>
    </row>
    <row r="597" spans="1:19" s="9" customFormat="1" ht="12.75" customHeight="1">
      <c r="A597" s="220"/>
      <c r="B597" s="291" t="s">
        <v>372</v>
      </c>
      <c r="C597" s="292">
        <v>4</v>
      </c>
      <c r="D597" s="29">
        <v>1955</v>
      </c>
      <c r="E597" s="39">
        <f>F597+G597+H597</f>
        <v>8.571361000000001</v>
      </c>
      <c r="F597" s="293">
        <v>0.35700000000000004</v>
      </c>
      <c r="G597" s="293">
        <v>0.64</v>
      </c>
      <c r="H597" s="293">
        <v>7.574361000000001</v>
      </c>
      <c r="I597" s="294">
        <v>294.16</v>
      </c>
      <c r="J597" s="293">
        <v>7.574361000000001</v>
      </c>
      <c r="K597" s="294">
        <v>232.43</v>
      </c>
      <c r="L597" s="67">
        <f>J597/K597</f>
        <v>0.032587708127178074</v>
      </c>
      <c r="M597" s="32">
        <v>314.465</v>
      </c>
      <c r="N597" s="68">
        <f>L597*M597</f>
        <v>10.247693636213052</v>
      </c>
      <c r="O597" s="68">
        <f>L597*60*1000</f>
        <v>1955.2624876306843</v>
      </c>
      <c r="P597" s="69">
        <f>O597*M597/1000</f>
        <v>614.8616181727831</v>
      </c>
      <c r="Q597" s="11"/>
      <c r="R597" s="10"/>
      <c r="S597" s="10"/>
    </row>
    <row r="598" spans="1:19" s="9" customFormat="1" ht="12.75" customHeight="1">
      <c r="A598" s="220"/>
      <c r="B598" s="52" t="s">
        <v>931</v>
      </c>
      <c r="C598" s="29">
        <v>45</v>
      </c>
      <c r="D598" s="29">
        <v>1971</v>
      </c>
      <c r="E598" s="39">
        <f>SUM(F598+G598+H598)</f>
        <v>69.387</v>
      </c>
      <c r="F598" s="37">
        <v>6.451</v>
      </c>
      <c r="G598" s="37">
        <v>6.72</v>
      </c>
      <c r="H598" s="37">
        <v>56.216</v>
      </c>
      <c r="I598" s="36">
        <v>1724.76</v>
      </c>
      <c r="J598" s="37">
        <v>56.216</v>
      </c>
      <c r="K598" s="36">
        <v>1724.76</v>
      </c>
      <c r="L598" s="67">
        <f>J598/K598</f>
        <v>0.03259352025789095</v>
      </c>
      <c r="M598" s="32">
        <v>283.51</v>
      </c>
      <c r="N598" s="68">
        <f>L598*M598</f>
        <v>9.240588928314663</v>
      </c>
      <c r="O598" s="68">
        <f>L598*60*1000</f>
        <v>1955.6112154734572</v>
      </c>
      <c r="P598" s="69">
        <f>O598*M598/1000</f>
        <v>554.4353356988798</v>
      </c>
      <c r="R598" s="10"/>
      <c r="S598" s="10"/>
    </row>
    <row r="599" spans="1:19" s="9" customFormat="1" ht="12.75" customHeight="1">
      <c r="A599" s="220"/>
      <c r="B599" s="52" t="s">
        <v>149</v>
      </c>
      <c r="C599" s="25">
        <v>47</v>
      </c>
      <c r="D599" s="25">
        <v>1969</v>
      </c>
      <c r="E599" s="37">
        <f>SUM(F599:H599)</f>
        <v>72.196997</v>
      </c>
      <c r="F599" s="37">
        <v>3.0072</v>
      </c>
      <c r="G599" s="37">
        <v>7.44</v>
      </c>
      <c r="H599" s="37">
        <v>61.749797</v>
      </c>
      <c r="I599" s="36">
        <v>1893.25</v>
      </c>
      <c r="J599" s="37">
        <v>61.749797</v>
      </c>
      <c r="K599" s="36">
        <v>1893.25</v>
      </c>
      <c r="L599" s="295">
        <f>J599/K599</f>
        <v>0.03261576495444342</v>
      </c>
      <c r="M599" s="296">
        <v>284.9</v>
      </c>
      <c r="N599" s="296">
        <f>L599*M599*1.09</f>
        <v>10.128532264717814</v>
      </c>
      <c r="O599" s="296">
        <f>L599*60*1000</f>
        <v>1956.9458972666052</v>
      </c>
      <c r="P599" s="332">
        <f>N599*60</f>
        <v>607.7119358830688</v>
      </c>
      <c r="R599" s="10"/>
      <c r="S599" s="10"/>
    </row>
    <row r="600" spans="1:19" s="9" customFormat="1" ht="12.75" customHeight="1">
      <c r="A600" s="220"/>
      <c r="B600" s="66" t="s">
        <v>834</v>
      </c>
      <c r="C600" s="29">
        <v>4</v>
      </c>
      <c r="D600" s="29" t="s">
        <v>24</v>
      </c>
      <c r="E600" s="39">
        <v>6</v>
      </c>
      <c r="F600" s="39">
        <f>0*0.051</f>
        <v>0</v>
      </c>
      <c r="G600" s="39">
        <v>0</v>
      </c>
      <c r="H600" s="39">
        <f>+E600-F600-G600</f>
        <v>6</v>
      </c>
      <c r="I600" s="290"/>
      <c r="J600" s="39">
        <f>+H600</f>
        <v>6</v>
      </c>
      <c r="K600" s="74">
        <v>183.78</v>
      </c>
      <c r="L600" s="67">
        <f>J600/K600</f>
        <v>0.0326477309826967</v>
      </c>
      <c r="M600" s="32">
        <v>340.2</v>
      </c>
      <c r="N600" s="68">
        <f>L600*M600</f>
        <v>11.106758080313417</v>
      </c>
      <c r="O600" s="68">
        <f>L600*60*1000</f>
        <v>1958.8638589618022</v>
      </c>
      <c r="P600" s="69">
        <f>O600*M600/1000</f>
        <v>666.4054848188051</v>
      </c>
      <c r="R600" s="10"/>
      <c r="S600" s="10"/>
    </row>
    <row r="601" spans="1:19" s="9" customFormat="1" ht="12.75" customHeight="1">
      <c r="A601" s="220"/>
      <c r="B601" s="52" t="s">
        <v>65</v>
      </c>
      <c r="C601" s="25">
        <v>92</v>
      </c>
      <c r="D601" s="25">
        <v>1991</v>
      </c>
      <c r="E601" s="37">
        <v>144.6</v>
      </c>
      <c r="F601" s="37">
        <v>7.96</v>
      </c>
      <c r="G601" s="37">
        <v>15.12</v>
      </c>
      <c r="H601" s="37">
        <f>E601-F601-G601</f>
        <v>121.51999999999998</v>
      </c>
      <c r="I601" s="36">
        <v>3720.6</v>
      </c>
      <c r="J601" s="37">
        <f>H601/I601*K601</f>
        <v>115.81731978713108</v>
      </c>
      <c r="K601" s="25">
        <v>3546</v>
      </c>
      <c r="L601" s="295">
        <f>J601/K601</f>
        <v>0.03266139869913454</v>
      </c>
      <c r="M601" s="296">
        <v>323.29400000000004</v>
      </c>
      <c r="N601" s="296">
        <f>L601*M601</f>
        <v>10.559234231038005</v>
      </c>
      <c r="O601" s="296">
        <f>L601*60*1000</f>
        <v>1959.6839219480726</v>
      </c>
      <c r="P601" s="332">
        <f>O601*M601/1000</f>
        <v>633.5540538622802</v>
      </c>
      <c r="Q601" s="11"/>
      <c r="R601" s="10"/>
      <c r="S601" s="10"/>
    </row>
    <row r="602" spans="1:19" s="9" customFormat="1" ht="12.75" customHeight="1">
      <c r="A602" s="220"/>
      <c r="B602" s="66" t="s">
        <v>233</v>
      </c>
      <c r="C602" s="29">
        <v>44</v>
      </c>
      <c r="D602" s="29" t="s">
        <v>24</v>
      </c>
      <c r="E602" s="39">
        <v>61.34</v>
      </c>
      <c r="F602" s="39">
        <v>0</v>
      </c>
      <c r="G602" s="39">
        <v>0</v>
      </c>
      <c r="H602" s="39">
        <v>61.34</v>
      </c>
      <c r="I602" s="74">
        <v>1876</v>
      </c>
      <c r="J602" s="39">
        <v>61.34</v>
      </c>
      <c r="K602" s="74">
        <v>1876</v>
      </c>
      <c r="L602" s="67">
        <f>J602/K602</f>
        <v>0.03269722814498934</v>
      </c>
      <c r="M602" s="32">
        <v>235.3</v>
      </c>
      <c r="N602" s="68">
        <f>L602*M602</f>
        <v>7.693657782515992</v>
      </c>
      <c r="O602" s="68">
        <f>L602*60*1000</f>
        <v>1961.8336886993607</v>
      </c>
      <c r="P602" s="69">
        <f>O602*M602/1000</f>
        <v>461.6194669509596</v>
      </c>
      <c r="Q602" s="11"/>
      <c r="R602" s="10"/>
      <c r="S602" s="10"/>
    </row>
    <row r="603" spans="1:19" s="9" customFormat="1" ht="12.75" customHeight="1">
      <c r="A603" s="220"/>
      <c r="B603" s="52" t="s">
        <v>701</v>
      </c>
      <c r="C603" s="25">
        <v>20</v>
      </c>
      <c r="D603" s="25" t="s">
        <v>24</v>
      </c>
      <c r="E603" s="37">
        <f>F603+G603+H603</f>
        <v>40.5792</v>
      </c>
      <c r="F603" s="37">
        <v>2.9146</v>
      </c>
      <c r="G603" s="37">
        <v>3.2</v>
      </c>
      <c r="H603" s="37">
        <v>34.4646</v>
      </c>
      <c r="I603" s="36">
        <v>1052.62</v>
      </c>
      <c r="J603" s="37">
        <v>34.4646</v>
      </c>
      <c r="K603" s="36">
        <v>1052.62</v>
      </c>
      <c r="L603" s="295">
        <f>J603/K603</f>
        <v>0.03274173015903175</v>
      </c>
      <c r="M603" s="296">
        <v>210</v>
      </c>
      <c r="N603" s="296">
        <f>L603*M603</f>
        <v>6.875763333396668</v>
      </c>
      <c r="O603" s="296">
        <f>L603*1000*60</f>
        <v>1964.5038095419047</v>
      </c>
      <c r="P603" s="332">
        <f>N603*60</f>
        <v>412.5458000038001</v>
      </c>
      <c r="Q603" s="11"/>
      <c r="R603" s="10"/>
      <c r="S603" s="10"/>
    </row>
    <row r="604" spans="1:19" s="9" customFormat="1" ht="12.75" customHeight="1">
      <c r="A604" s="220"/>
      <c r="B604" s="52" t="s">
        <v>186</v>
      </c>
      <c r="C604" s="25">
        <v>29</v>
      </c>
      <c r="D604" s="25">
        <v>1961</v>
      </c>
      <c r="E604" s="37">
        <v>49.6</v>
      </c>
      <c r="F604" s="37">
        <v>2.94</v>
      </c>
      <c r="G604" s="37"/>
      <c r="H604" s="37">
        <f>E604-F604-G604</f>
        <v>46.660000000000004</v>
      </c>
      <c r="I604" s="36">
        <v>1423.9</v>
      </c>
      <c r="J604" s="37">
        <f>H604/I604*K604</f>
        <v>42.04282604115457</v>
      </c>
      <c r="K604" s="25">
        <v>1283</v>
      </c>
      <c r="L604" s="295">
        <f>J604/K604</f>
        <v>0.032769155137298965</v>
      </c>
      <c r="M604" s="296">
        <v>323.29400000000004</v>
      </c>
      <c r="N604" s="296">
        <f>L604*M604</f>
        <v>10.594071240957932</v>
      </c>
      <c r="O604" s="296">
        <f>L604*60*1000</f>
        <v>1966.149308237938</v>
      </c>
      <c r="P604" s="332">
        <f>O604*M604/1000</f>
        <v>635.644274457476</v>
      </c>
      <c r="R604" s="10"/>
      <c r="S604" s="10"/>
    </row>
    <row r="605" spans="1:19" s="9" customFormat="1" ht="12.75" customHeight="1">
      <c r="A605" s="220"/>
      <c r="B605" s="66" t="s">
        <v>722</v>
      </c>
      <c r="C605" s="29">
        <v>20</v>
      </c>
      <c r="D605" s="29">
        <v>1991</v>
      </c>
      <c r="E605" s="39">
        <v>39</v>
      </c>
      <c r="F605" s="39">
        <v>1</v>
      </c>
      <c r="G605" s="39">
        <v>3.2</v>
      </c>
      <c r="H605" s="39">
        <v>34.9</v>
      </c>
      <c r="I605" s="290"/>
      <c r="J605" s="39">
        <f>H605</f>
        <v>34.9</v>
      </c>
      <c r="K605" s="74">
        <v>1065</v>
      </c>
      <c r="L605" s="67">
        <f>J605/K605</f>
        <v>0.032769953051643194</v>
      </c>
      <c r="M605" s="32">
        <v>187.7</v>
      </c>
      <c r="N605" s="68">
        <f>L605*M605</f>
        <v>6.150920187793427</v>
      </c>
      <c r="O605" s="68">
        <f>L605*60*1000</f>
        <v>1966.1971830985915</v>
      </c>
      <c r="P605" s="69">
        <f>O605*M605/1000</f>
        <v>369.0552112676056</v>
      </c>
      <c r="R605" s="10"/>
      <c r="S605" s="10"/>
    </row>
    <row r="606" spans="1:19" s="9" customFormat="1" ht="12.75" customHeight="1">
      <c r="A606" s="220"/>
      <c r="B606" s="291" t="s">
        <v>647</v>
      </c>
      <c r="C606" s="292">
        <v>18</v>
      </c>
      <c r="D606" s="29">
        <v>1987</v>
      </c>
      <c r="E606" s="39">
        <f>F606+G606+H606</f>
        <v>42.278286</v>
      </c>
      <c r="F606" s="293">
        <v>2.193</v>
      </c>
      <c r="G606" s="293">
        <v>2.88</v>
      </c>
      <c r="H606" s="293">
        <v>37.205286</v>
      </c>
      <c r="I606" s="294">
        <v>1157.8700000000001</v>
      </c>
      <c r="J606" s="293">
        <v>37.205286</v>
      </c>
      <c r="K606" s="294">
        <v>1134.7</v>
      </c>
      <c r="L606" s="67">
        <f>J606/K606</f>
        <v>0.03278865426985106</v>
      </c>
      <c r="M606" s="32">
        <v>314.465</v>
      </c>
      <c r="N606" s="68">
        <f>L606*M606</f>
        <v>10.310884164968712</v>
      </c>
      <c r="O606" s="68">
        <f>L606*60*1000</f>
        <v>1967.3192561910635</v>
      </c>
      <c r="P606" s="69">
        <f>O606*M606/1000</f>
        <v>618.6530498981226</v>
      </c>
      <c r="R606" s="10"/>
      <c r="S606" s="10"/>
    </row>
    <row r="607" spans="1:19" s="9" customFormat="1" ht="12.75" customHeight="1">
      <c r="A607" s="220"/>
      <c r="B607" s="52" t="s">
        <v>932</v>
      </c>
      <c r="C607" s="29">
        <v>53</v>
      </c>
      <c r="D607" s="29">
        <v>1981</v>
      </c>
      <c r="E607" s="39">
        <f>SUM(F607+G607+H607)</f>
        <v>60.466</v>
      </c>
      <c r="F607" s="37">
        <v>6.144</v>
      </c>
      <c r="G607" s="37">
        <v>0.493</v>
      </c>
      <c r="H607" s="37">
        <v>53.829</v>
      </c>
      <c r="I607" s="36">
        <v>1640.82</v>
      </c>
      <c r="J607" s="37">
        <v>53.829</v>
      </c>
      <c r="K607" s="36">
        <v>1640.82</v>
      </c>
      <c r="L607" s="67">
        <f>J607/K607</f>
        <v>0.03280615789666143</v>
      </c>
      <c r="M607" s="32">
        <v>283.51</v>
      </c>
      <c r="N607" s="68">
        <f>L607*M607</f>
        <v>9.300873825282482</v>
      </c>
      <c r="O607" s="68">
        <f>L607*60*1000</f>
        <v>1968.3694737996857</v>
      </c>
      <c r="P607" s="69">
        <f>O607*M607/1000</f>
        <v>558.0524295169489</v>
      </c>
      <c r="R607" s="10"/>
      <c r="S607" s="10"/>
    </row>
    <row r="608" spans="1:19" s="9" customFormat="1" ht="12.75" customHeight="1">
      <c r="A608" s="220"/>
      <c r="B608" s="66" t="s">
        <v>266</v>
      </c>
      <c r="C608" s="29">
        <v>100</v>
      </c>
      <c r="D608" s="29" t="s">
        <v>24</v>
      </c>
      <c r="E608" s="39">
        <v>110.15</v>
      </c>
      <c r="F608" s="39">
        <v>2.86</v>
      </c>
      <c r="G608" s="39">
        <v>0.84</v>
      </c>
      <c r="H608" s="39">
        <v>106.45</v>
      </c>
      <c r="I608" s="29">
        <v>3237</v>
      </c>
      <c r="J608" s="39">
        <v>106.45</v>
      </c>
      <c r="K608" s="29">
        <v>3237</v>
      </c>
      <c r="L608" s="67">
        <f>J608/K608</f>
        <v>0.032885387704664815</v>
      </c>
      <c r="M608" s="32">
        <v>235.3</v>
      </c>
      <c r="N608" s="68">
        <f>L608*M608</f>
        <v>7.7379317269076315</v>
      </c>
      <c r="O608" s="68">
        <f>L608*60*1000</f>
        <v>1973.1232622798889</v>
      </c>
      <c r="P608" s="69">
        <f>O608*M608/1000</f>
        <v>464.2759036144579</v>
      </c>
      <c r="R608" s="10"/>
      <c r="S608" s="10"/>
    </row>
    <row r="609" spans="1:19" s="9" customFormat="1" ht="12.75" customHeight="1">
      <c r="A609" s="220"/>
      <c r="B609" s="52" t="s">
        <v>933</v>
      </c>
      <c r="C609" s="29">
        <v>72</v>
      </c>
      <c r="D609" s="29">
        <v>1977</v>
      </c>
      <c r="E609" s="39">
        <f>SUM(F609+G609+H609)</f>
        <v>83.729</v>
      </c>
      <c r="F609" s="37">
        <v>4.208</v>
      </c>
      <c r="G609" s="37">
        <v>11.2</v>
      </c>
      <c r="H609" s="37">
        <v>68.321</v>
      </c>
      <c r="I609" s="36">
        <v>2071.27</v>
      </c>
      <c r="J609" s="37">
        <v>68.321</v>
      </c>
      <c r="K609" s="36">
        <v>2071.27</v>
      </c>
      <c r="L609" s="67">
        <f>J609/K609</f>
        <v>0.03298507678863692</v>
      </c>
      <c r="M609" s="32">
        <v>283.51</v>
      </c>
      <c r="N609" s="68">
        <f>L609*M609</f>
        <v>9.351599120346453</v>
      </c>
      <c r="O609" s="68">
        <f>L609*60*1000</f>
        <v>1979.1046073182154</v>
      </c>
      <c r="P609" s="69">
        <f>O609*M609/1000</f>
        <v>561.0959472207871</v>
      </c>
      <c r="R609" s="10"/>
      <c r="S609" s="10"/>
    </row>
    <row r="610" spans="1:19" s="9" customFormat="1" ht="12.75" customHeight="1">
      <c r="A610" s="220"/>
      <c r="B610" s="52" t="s">
        <v>43</v>
      </c>
      <c r="C610" s="25">
        <v>37</v>
      </c>
      <c r="D610" s="25">
        <v>1987</v>
      </c>
      <c r="E610" s="37">
        <v>80.314</v>
      </c>
      <c r="F610" s="37">
        <v>4.623507</v>
      </c>
      <c r="G610" s="37">
        <v>5.76</v>
      </c>
      <c r="H610" s="37">
        <v>69.930493</v>
      </c>
      <c r="I610" s="36">
        <v>2115.27</v>
      </c>
      <c r="J610" s="37">
        <v>69.930486</v>
      </c>
      <c r="K610" s="36">
        <v>2115.27</v>
      </c>
      <c r="L610" s="295">
        <f>J610/K610</f>
        <v>0.03305983916946773</v>
      </c>
      <c r="M610" s="25">
        <v>296.48</v>
      </c>
      <c r="N610" s="296">
        <f>L610*M610</f>
        <v>9.801581116963794</v>
      </c>
      <c r="O610" s="296">
        <f>L610*60*1000</f>
        <v>1983.5903501680639</v>
      </c>
      <c r="P610" s="332">
        <f>O610*M610/1000</f>
        <v>588.0948670178276</v>
      </c>
      <c r="R610" s="10"/>
      <c r="S610" s="10"/>
    </row>
    <row r="611" spans="1:19" s="9" customFormat="1" ht="12.75" customHeight="1">
      <c r="A611" s="220"/>
      <c r="B611" s="52" t="s">
        <v>63</v>
      </c>
      <c r="C611" s="25">
        <v>38</v>
      </c>
      <c r="D611" s="25">
        <v>1990</v>
      </c>
      <c r="E611" s="37">
        <v>80.53</v>
      </c>
      <c r="F611" s="37">
        <v>4.61</v>
      </c>
      <c r="G611" s="37">
        <v>5.84</v>
      </c>
      <c r="H611" s="37">
        <f>E611-F611-G611</f>
        <v>70.08</v>
      </c>
      <c r="I611" s="36">
        <v>2119.3</v>
      </c>
      <c r="J611" s="37">
        <f>H611/I611*K611</f>
        <v>70.07007974331147</v>
      </c>
      <c r="K611" s="25">
        <v>2119</v>
      </c>
      <c r="L611" s="295">
        <f>J611/K611</f>
        <v>0.033067522295097435</v>
      </c>
      <c r="M611" s="296">
        <v>323.29400000000004</v>
      </c>
      <c r="N611" s="296">
        <f>L611*M611</f>
        <v>10.690531552871231</v>
      </c>
      <c r="O611" s="296">
        <f>L611*60*1000</f>
        <v>1984.051337705846</v>
      </c>
      <c r="P611" s="332">
        <f>O611*M611/1000</f>
        <v>641.4318931722739</v>
      </c>
      <c r="R611" s="10"/>
      <c r="S611" s="10"/>
    </row>
    <row r="612" spans="1:19" s="9" customFormat="1" ht="12.75" customHeight="1">
      <c r="A612" s="220"/>
      <c r="B612" s="66" t="s">
        <v>112</v>
      </c>
      <c r="C612" s="29">
        <v>3</v>
      </c>
      <c r="D612" s="29">
        <v>1900</v>
      </c>
      <c r="E612" s="39">
        <v>19.019</v>
      </c>
      <c r="F612" s="39">
        <v>0.663</v>
      </c>
      <c r="G612" s="39">
        <v>1.92</v>
      </c>
      <c r="H612" s="39">
        <v>16.436</v>
      </c>
      <c r="I612" s="74">
        <v>558.26</v>
      </c>
      <c r="J612" s="39">
        <v>16.05</v>
      </c>
      <c r="K612" s="74">
        <v>485.29</v>
      </c>
      <c r="L612" s="67">
        <f>J612/K612</f>
        <v>0.03307300789218818</v>
      </c>
      <c r="M612" s="32">
        <v>337.137</v>
      </c>
      <c r="N612" s="68">
        <f>L612*M612</f>
        <v>11.150134661748647</v>
      </c>
      <c r="O612" s="68">
        <f>L612*60*1000</f>
        <v>1984.3804735312906</v>
      </c>
      <c r="P612" s="69">
        <f>O612*M612/1000</f>
        <v>669.0080797049187</v>
      </c>
      <c r="Q612" s="11"/>
      <c r="R612" s="10"/>
      <c r="S612" s="10"/>
    </row>
    <row r="613" spans="1:19" s="9" customFormat="1" ht="12.75" customHeight="1">
      <c r="A613" s="220"/>
      <c r="B613" s="66" t="s">
        <v>359</v>
      </c>
      <c r="C613" s="29">
        <v>19</v>
      </c>
      <c r="D613" s="29">
        <v>1981</v>
      </c>
      <c r="E613" s="39">
        <f>F613+G613+H613</f>
        <v>38.86</v>
      </c>
      <c r="F613" s="39">
        <v>2.52</v>
      </c>
      <c r="G613" s="39">
        <v>3.04</v>
      </c>
      <c r="H613" s="39">
        <v>33.3</v>
      </c>
      <c r="I613" s="74">
        <v>1053.79</v>
      </c>
      <c r="J613" s="39">
        <v>33.3</v>
      </c>
      <c r="K613" s="74">
        <v>1006.41</v>
      </c>
      <c r="L613" s="67">
        <f>J613/K613</f>
        <v>0.03308790651921185</v>
      </c>
      <c r="M613" s="32">
        <v>314.9</v>
      </c>
      <c r="N613" s="68">
        <f>L613*M613</f>
        <v>10.41938176289981</v>
      </c>
      <c r="O613" s="68">
        <f>L613*60*1000</f>
        <v>1985.274391152711</v>
      </c>
      <c r="P613" s="69">
        <f>O613*M613/1000</f>
        <v>625.1629057739885</v>
      </c>
      <c r="R613" s="10"/>
      <c r="S613" s="10"/>
    </row>
    <row r="614" spans="1:19" s="9" customFormat="1" ht="12.75" customHeight="1">
      <c r="A614" s="220"/>
      <c r="B614" s="52" t="s">
        <v>934</v>
      </c>
      <c r="C614" s="29">
        <v>12</v>
      </c>
      <c r="D614" s="29" t="s">
        <v>24</v>
      </c>
      <c r="E614" s="39">
        <f>SUM(F614+G614+H614)</f>
        <v>19.123</v>
      </c>
      <c r="F614" s="37">
        <v>0.785</v>
      </c>
      <c r="G614" s="37">
        <v>1.306</v>
      </c>
      <c r="H614" s="37">
        <v>17.032</v>
      </c>
      <c r="I614" s="36">
        <v>513.61</v>
      </c>
      <c r="J614" s="37">
        <v>17.032</v>
      </c>
      <c r="K614" s="36">
        <v>513.61</v>
      </c>
      <c r="L614" s="67">
        <f>J614/K614</f>
        <v>0.03316134810459298</v>
      </c>
      <c r="M614" s="32">
        <v>283.51</v>
      </c>
      <c r="N614" s="68">
        <f>L614*M614</f>
        <v>9.401573801133155</v>
      </c>
      <c r="O614" s="68">
        <f>L614*60*1000</f>
        <v>1989.6808862755788</v>
      </c>
      <c r="P614" s="69">
        <f>O614*M614/1000</f>
        <v>564.0944280679893</v>
      </c>
      <c r="R614" s="10"/>
      <c r="S614" s="10"/>
    </row>
    <row r="615" spans="1:19" s="9" customFormat="1" ht="12.75" customHeight="1">
      <c r="A615" s="220"/>
      <c r="B615" s="66" t="s">
        <v>124</v>
      </c>
      <c r="C615" s="29">
        <v>45</v>
      </c>
      <c r="D615" s="29">
        <v>1982</v>
      </c>
      <c r="E615" s="39">
        <f>F615+G615+H615</f>
        <v>56.35</v>
      </c>
      <c r="F615" s="39">
        <v>3.35</v>
      </c>
      <c r="G615" s="39">
        <v>1.1</v>
      </c>
      <c r="H615" s="39">
        <v>51.9</v>
      </c>
      <c r="I615" s="74">
        <v>1563.22</v>
      </c>
      <c r="J615" s="39">
        <v>51.9</v>
      </c>
      <c r="K615" s="74">
        <v>1563.22</v>
      </c>
      <c r="L615" s="67">
        <f>J615/K615</f>
        <v>0.03320070111692532</v>
      </c>
      <c r="M615" s="32">
        <v>314.9</v>
      </c>
      <c r="N615" s="68">
        <f>L615*M615</f>
        <v>10.454900781719783</v>
      </c>
      <c r="O615" s="68">
        <f>L615*60*1000</f>
        <v>1992.0420670155195</v>
      </c>
      <c r="P615" s="69">
        <f>O615*M615/1000</f>
        <v>627.2940469031871</v>
      </c>
      <c r="Q615" s="11"/>
      <c r="R615" s="10"/>
      <c r="S615" s="10"/>
    </row>
    <row r="616" spans="1:19" s="9" customFormat="1" ht="12.75" customHeight="1">
      <c r="A616" s="220"/>
      <c r="B616" s="66" t="s">
        <v>234</v>
      </c>
      <c r="C616" s="29">
        <v>24</v>
      </c>
      <c r="D616" s="29" t="s">
        <v>24</v>
      </c>
      <c r="E616" s="39">
        <v>42</v>
      </c>
      <c r="F616" s="39">
        <v>1.43</v>
      </c>
      <c r="G616" s="39">
        <v>3.76</v>
      </c>
      <c r="H616" s="39">
        <v>36.81</v>
      </c>
      <c r="I616" s="29">
        <v>1107</v>
      </c>
      <c r="J616" s="39">
        <v>36.81</v>
      </c>
      <c r="K616" s="29">
        <v>1107</v>
      </c>
      <c r="L616" s="67">
        <f>J616/K616</f>
        <v>0.03325203252032521</v>
      </c>
      <c r="M616" s="32">
        <v>235.3</v>
      </c>
      <c r="N616" s="68">
        <f>L616*M616</f>
        <v>7.824203252032522</v>
      </c>
      <c r="O616" s="68">
        <f>L616*60*1000</f>
        <v>1995.1219512195123</v>
      </c>
      <c r="P616" s="69">
        <f>O616*M616/1000</f>
        <v>469.45219512195126</v>
      </c>
      <c r="R616" s="10"/>
      <c r="S616" s="10"/>
    </row>
    <row r="617" spans="1:19" s="9" customFormat="1" ht="12.75" customHeight="1">
      <c r="A617" s="220"/>
      <c r="B617" s="52" t="s">
        <v>702</v>
      </c>
      <c r="C617" s="25">
        <v>20</v>
      </c>
      <c r="D617" s="25" t="s">
        <v>24</v>
      </c>
      <c r="E617" s="37">
        <f>F617+G617+H617</f>
        <v>41.6359</v>
      </c>
      <c r="F617" s="37">
        <v>2.2476</v>
      </c>
      <c r="G617" s="37">
        <v>3.2</v>
      </c>
      <c r="H617" s="37">
        <v>36.1883</v>
      </c>
      <c r="I617" s="36">
        <v>1087.66</v>
      </c>
      <c r="J617" s="37">
        <v>36.1883</v>
      </c>
      <c r="K617" s="36">
        <v>1087.66</v>
      </c>
      <c r="L617" s="295">
        <f>J617/K617</f>
        <v>0.033271702554106976</v>
      </c>
      <c r="M617" s="296">
        <v>210</v>
      </c>
      <c r="N617" s="296">
        <f>L617*M617</f>
        <v>6.987057536362465</v>
      </c>
      <c r="O617" s="296">
        <f>L617*1000*60</f>
        <v>1996.3021532464184</v>
      </c>
      <c r="P617" s="332">
        <f>N617*60</f>
        <v>419.22345218174786</v>
      </c>
      <c r="Q617" s="11"/>
      <c r="R617" s="10"/>
      <c r="S617" s="10"/>
    </row>
    <row r="618" spans="1:19" s="9" customFormat="1" ht="12.75" customHeight="1">
      <c r="A618" s="220"/>
      <c r="B618" s="52" t="s">
        <v>784</v>
      </c>
      <c r="C618" s="25">
        <v>24</v>
      </c>
      <c r="D618" s="25" t="s">
        <v>24</v>
      </c>
      <c r="E618" s="37">
        <f>SUM(F618:H618)</f>
        <v>31.65</v>
      </c>
      <c r="F618" s="208">
        <v>0.7</v>
      </c>
      <c r="G618" s="208">
        <v>0.2</v>
      </c>
      <c r="H618" s="208">
        <v>30.75</v>
      </c>
      <c r="I618" s="36">
        <v>924.4</v>
      </c>
      <c r="J618" s="37">
        <v>30.75</v>
      </c>
      <c r="K618" s="36">
        <v>923.76</v>
      </c>
      <c r="L618" s="67">
        <f>J618/K618</f>
        <v>0.03328786697843596</v>
      </c>
      <c r="M618" s="32">
        <v>204.4</v>
      </c>
      <c r="N618" s="68">
        <f>L618*M618</f>
        <v>6.80404001039231</v>
      </c>
      <c r="O618" s="68">
        <f>L618*60*1000</f>
        <v>1997.2720187061575</v>
      </c>
      <c r="P618" s="69">
        <f>O618*M618/1000</f>
        <v>408.2424006235386</v>
      </c>
      <c r="R618" s="10"/>
      <c r="S618" s="10"/>
    </row>
    <row r="619" spans="1:19" s="9" customFormat="1" ht="12.75" customHeight="1">
      <c r="A619" s="220"/>
      <c r="B619" s="52" t="s">
        <v>935</v>
      </c>
      <c r="C619" s="29">
        <v>20</v>
      </c>
      <c r="D619" s="29">
        <v>1984</v>
      </c>
      <c r="E619" s="39">
        <f>SUM(F619+G619+H619)</f>
        <v>40.49</v>
      </c>
      <c r="F619" s="37">
        <v>2.02</v>
      </c>
      <c r="G619" s="37">
        <v>3.2</v>
      </c>
      <c r="H619" s="37">
        <v>35.27</v>
      </c>
      <c r="I619" s="36">
        <v>1059.24</v>
      </c>
      <c r="J619" s="37">
        <v>35.27</v>
      </c>
      <c r="K619" s="36">
        <v>1059.24</v>
      </c>
      <c r="L619" s="67">
        <f>J619/K619</f>
        <v>0.033297458555190514</v>
      </c>
      <c r="M619" s="32">
        <v>283.51</v>
      </c>
      <c r="N619" s="68">
        <f>L619*M619</f>
        <v>9.440162474982062</v>
      </c>
      <c r="O619" s="68">
        <f>L619*60*1000</f>
        <v>1997.847513311431</v>
      </c>
      <c r="P619" s="69">
        <f>O619*M619/1000</f>
        <v>566.4097484989237</v>
      </c>
      <c r="Q619" s="11"/>
      <c r="R619" s="10"/>
      <c r="S619" s="10"/>
    </row>
    <row r="620" spans="1:19" s="9" customFormat="1" ht="12.75" customHeight="1">
      <c r="A620" s="220"/>
      <c r="B620" s="66" t="s">
        <v>360</v>
      </c>
      <c r="C620" s="29">
        <v>25</v>
      </c>
      <c r="D620" s="29">
        <v>1966</v>
      </c>
      <c r="E620" s="39">
        <f>F620+G620+H620</f>
        <v>43.44</v>
      </c>
      <c r="F620" s="39">
        <v>0</v>
      </c>
      <c r="G620" s="39">
        <v>0</v>
      </c>
      <c r="H620" s="39">
        <v>43.44</v>
      </c>
      <c r="I620" s="74">
        <v>1638.98</v>
      </c>
      <c r="J620" s="39">
        <v>43.44</v>
      </c>
      <c r="K620" s="74">
        <v>1303.24</v>
      </c>
      <c r="L620" s="67">
        <f>J620/K620</f>
        <v>0.03333231024216568</v>
      </c>
      <c r="M620" s="32">
        <v>314.9</v>
      </c>
      <c r="N620" s="68">
        <f>L620*M620</f>
        <v>10.496344495257972</v>
      </c>
      <c r="O620" s="68">
        <f>L620*60*1000</f>
        <v>1999.9386145299409</v>
      </c>
      <c r="P620" s="69">
        <f>O620*M620/1000</f>
        <v>629.7806697154783</v>
      </c>
      <c r="R620" s="10"/>
      <c r="S620" s="10"/>
    </row>
    <row r="621" spans="1:19" s="9" customFormat="1" ht="12.75" customHeight="1">
      <c r="A621" s="220"/>
      <c r="B621" s="52" t="s">
        <v>703</v>
      </c>
      <c r="C621" s="25">
        <v>20</v>
      </c>
      <c r="D621" s="25" t="s">
        <v>24</v>
      </c>
      <c r="E621" s="37">
        <f>F621+G621+H621</f>
        <v>40.5938</v>
      </c>
      <c r="F621" s="37">
        <v>1.6367</v>
      </c>
      <c r="G621" s="37">
        <v>3.2</v>
      </c>
      <c r="H621" s="37">
        <v>35.7571</v>
      </c>
      <c r="I621" s="36">
        <v>1070.75</v>
      </c>
      <c r="J621" s="37">
        <v>35.7571</v>
      </c>
      <c r="K621" s="36">
        <v>1070.75</v>
      </c>
      <c r="L621" s="295">
        <f>J621/K621</f>
        <v>0.03339444314732664</v>
      </c>
      <c r="M621" s="296">
        <v>210</v>
      </c>
      <c r="N621" s="296">
        <f>L621*M621</f>
        <v>7.012833060938594</v>
      </c>
      <c r="O621" s="296">
        <f>L621*1000*60</f>
        <v>2003.6665888395985</v>
      </c>
      <c r="P621" s="332">
        <f>N621*60</f>
        <v>420.7699836563157</v>
      </c>
      <c r="R621" s="10"/>
      <c r="S621" s="10"/>
    </row>
    <row r="622" spans="1:19" s="9" customFormat="1" ht="12.75" customHeight="1">
      <c r="A622" s="220"/>
      <c r="B622" s="304" t="s">
        <v>557</v>
      </c>
      <c r="C622" s="305">
        <v>32</v>
      </c>
      <c r="D622" s="306" t="s">
        <v>24</v>
      </c>
      <c r="E622" s="307">
        <v>41.59</v>
      </c>
      <c r="F622" s="307">
        <v>2.43</v>
      </c>
      <c r="G622" s="308">
        <v>0.31</v>
      </c>
      <c r="H622" s="307">
        <v>38.86</v>
      </c>
      <c r="I622" s="309">
        <v>1162.87</v>
      </c>
      <c r="J622" s="307">
        <v>36.64</v>
      </c>
      <c r="K622" s="310">
        <v>1096.68</v>
      </c>
      <c r="L622" s="67">
        <f>J622/K622</f>
        <v>0.03340992814677025</v>
      </c>
      <c r="M622" s="32">
        <v>266.83</v>
      </c>
      <c r="N622" s="68">
        <f>L622*M622</f>
        <v>8.914771127402705</v>
      </c>
      <c r="O622" s="68">
        <f>L622*60*1000</f>
        <v>2004.5956888062149</v>
      </c>
      <c r="P622" s="69">
        <f>O622*M622/1000</f>
        <v>534.8862676441623</v>
      </c>
      <c r="R622" s="10"/>
      <c r="S622" s="10"/>
    </row>
    <row r="623" spans="1:19" s="9" customFormat="1" ht="12.75" customHeight="1">
      <c r="A623" s="220"/>
      <c r="B623" s="66" t="s">
        <v>638</v>
      </c>
      <c r="C623" s="29">
        <v>34</v>
      </c>
      <c r="D623" s="29">
        <v>1960</v>
      </c>
      <c r="E623" s="39">
        <f>F623+G623+H623</f>
        <v>49.66</v>
      </c>
      <c r="F623" s="39">
        <v>0</v>
      </c>
      <c r="G623" s="39">
        <v>0</v>
      </c>
      <c r="H623" s="39">
        <v>49.66</v>
      </c>
      <c r="I623" s="74">
        <v>1562.13</v>
      </c>
      <c r="J623" s="39">
        <v>49.66</v>
      </c>
      <c r="K623" s="74">
        <v>1483.17</v>
      </c>
      <c r="L623" s="67">
        <f>J623/K623</f>
        <v>0.03348233850468928</v>
      </c>
      <c r="M623" s="32">
        <v>314.9</v>
      </c>
      <c r="N623" s="68">
        <f>L623*M623</f>
        <v>10.543588395126653</v>
      </c>
      <c r="O623" s="68">
        <f>L623*60*1000</f>
        <v>2008.9403102813565</v>
      </c>
      <c r="P623" s="69">
        <f>O623*M623/1000</f>
        <v>632.6153037075991</v>
      </c>
      <c r="Q623" s="11"/>
      <c r="R623" s="10"/>
      <c r="S623" s="10"/>
    </row>
    <row r="624" spans="1:19" s="9" customFormat="1" ht="12.75" customHeight="1">
      <c r="A624" s="220"/>
      <c r="B624" s="66" t="s">
        <v>511</v>
      </c>
      <c r="C624" s="29">
        <v>50</v>
      </c>
      <c r="D624" s="29">
        <v>1977</v>
      </c>
      <c r="E624" s="39">
        <v>121.19799</v>
      </c>
      <c r="F624" s="39">
        <v>9.804</v>
      </c>
      <c r="G624" s="39">
        <v>4.97</v>
      </c>
      <c r="H624" s="39">
        <f>E624-F624-G624</f>
        <v>106.42399</v>
      </c>
      <c r="I624" s="74">
        <v>3173.11</v>
      </c>
      <c r="J624" s="39">
        <f>H624</f>
        <v>106.42399</v>
      </c>
      <c r="K624" s="74">
        <f>I624</f>
        <v>3173.11</v>
      </c>
      <c r="L624" s="67">
        <f>J624/K624</f>
        <v>0.0335393320748414</v>
      </c>
      <c r="M624" s="32">
        <v>279.476</v>
      </c>
      <c r="N624" s="68">
        <f>L624*M624</f>
        <v>9.373438370948376</v>
      </c>
      <c r="O624" s="68">
        <f>L624*60*1000</f>
        <v>2012.3599244904842</v>
      </c>
      <c r="P624" s="69">
        <f>O624*M624/1000</f>
        <v>562.4063022569026</v>
      </c>
      <c r="R624" s="10"/>
      <c r="S624" s="10"/>
    </row>
    <row r="625" spans="1:19" s="9" customFormat="1" ht="12.75" customHeight="1">
      <c r="A625" s="220"/>
      <c r="B625" s="66" t="s">
        <v>835</v>
      </c>
      <c r="C625" s="29">
        <v>2</v>
      </c>
      <c r="D625" s="29" t="s">
        <v>24</v>
      </c>
      <c r="E625" s="39">
        <v>4.1</v>
      </c>
      <c r="F625" s="39">
        <f>3*0.051</f>
        <v>0.153</v>
      </c>
      <c r="G625" s="39">
        <f>2*0.16</f>
        <v>0.32</v>
      </c>
      <c r="H625" s="39">
        <f>+E625-F625-G625</f>
        <v>3.627</v>
      </c>
      <c r="I625" s="290"/>
      <c r="J625" s="39">
        <f>+H625</f>
        <v>3.627</v>
      </c>
      <c r="K625" s="74">
        <v>107.98</v>
      </c>
      <c r="L625" s="67">
        <f>J625/K625</f>
        <v>0.03358955362104093</v>
      </c>
      <c r="M625" s="32">
        <v>340.2</v>
      </c>
      <c r="N625" s="68">
        <f>L625*M625</f>
        <v>11.427166141878123</v>
      </c>
      <c r="O625" s="68">
        <f>L625*60*1000</f>
        <v>2015.373217262456</v>
      </c>
      <c r="P625" s="69">
        <f>O625*M625/1000</f>
        <v>685.6299685126875</v>
      </c>
      <c r="R625" s="10"/>
      <c r="S625" s="10"/>
    </row>
    <row r="626" spans="1:19" s="9" customFormat="1" ht="12.75" customHeight="1">
      <c r="A626" s="220"/>
      <c r="B626" s="66" t="s">
        <v>213</v>
      </c>
      <c r="C626" s="29">
        <v>67</v>
      </c>
      <c r="D626" s="29">
        <v>1970</v>
      </c>
      <c r="E626" s="39">
        <f>F626+G626+H626</f>
        <v>101.6</v>
      </c>
      <c r="F626" s="39">
        <v>0</v>
      </c>
      <c r="G626" s="39">
        <v>0</v>
      </c>
      <c r="H626" s="39">
        <v>101.6</v>
      </c>
      <c r="I626" s="74">
        <v>3022.05</v>
      </c>
      <c r="J626" s="39">
        <v>101.6</v>
      </c>
      <c r="K626" s="74">
        <v>3022.05</v>
      </c>
      <c r="L626" s="67">
        <f>J626/K626</f>
        <v>0.033619562879502324</v>
      </c>
      <c r="M626" s="32">
        <v>314.9</v>
      </c>
      <c r="N626" s="68">
        <f>L626*M626</f>
        <v>10.586800350755281</v>
      </c>
      <c r="O626" s="68">
        <f>L626*60*1000</f>
        <v>2017.1737727701395</v>
      </c>
      <c r="P626" s="69">
        <f>O626*M626/1000</f>
        <v>635.208021045317</v>
      </c>
      <c r="R626" s="10"/>
      <c r="S626" s="10"/>
    </row>
    <row r="627" spans="1:19" s="9" customFormat="1" ht="12.75" customHeight="1">
      <c r="A627" s="220"/>
      <c r="B627" s="291" t="s">
        <v>648</v>
      </c>
      <c r="C627" s="292">
        <v>12</v>
      </c>
      <c r="D627" s="29">
        <v>1976</v>
      </c>
      <c r="E627" s="39">
        <f>F627+G627+H627</f>
        <v>18.639</v>
      </c>
      <c r="F627" s="293">
        <v>0.459</v>
      </c>
      <c r="G627" s="293">
        <v>0.12</v>
      </c>
      <c r="H627" s="293">
        <v>18.06</v>
      </c>
      <c r="I627" s="294">
        <v>536.97</v>
      </c>
      <c r="J627" s="293">
        <v>18.06</v>
      </c>
      <c r="K627" s="294">
        <v>536.97</v>
      </c>
      <c r="L627" s="67">
        <f>J627/K627</f>
        <v>0.033633163863903005</v>
      </c>
      <c r="M627" s="32">
        <v>314.465</v>
      </c>
      <c r="N627" s="68">
        <f>L627*M627</f>
        <v>10.576452874462257</v>
      </c>
      <c r="O627" s="68">
        <f>L627*60*1000</f>
        <v>2017.9898318341802</v>
      </c>
      <c r="P627" s="69">
        <f>O627*M627/1000</f>
        <v>634.5871724677355</v>
      </c>
      <c r="Q627" s="11"/>
      <c r="R627" s="10"/>
      <c r="S627" s="10"/>
    </row>
    <row r="628" spans="1:19" s="9" customFormat="1" ht="12.75" customHeight="1">
      <c r="A628" s="220"/>
      <c r="B628" s="52" t="s">
        <v>785</v>
      </c>
      <c r="C628" s="25">
        <v>42</v>
      </c>
      <c r="D628" s="25" t="s">
        <v>24</v>
      </c>
      <c r="E628" s="37">
        <f>SUM(F628:H628)</f>
        <v>44.3</v>
      </c>
      <c r="F628" s="208">
        <v>2.2</v>
      </c>
      <c r="G628" s="208">
        <v>0.3</v>
      </c>
      <c r="H628" s="208">
        <v>41.8</v>
      </c>
      <c r="I628" s="36">
        <v>1469.95</v>
      </c>
      <c r="J628" s="37">
        <v>36.3</v>
      </c>
      <c r="K628" s="36">
        <v>1078.77</v>
      </c>
      <c r="L628" s="67">
        <f>J628/K628</f>
        <v>0.0336494340776996</v>
      </c>
      <c r="M628" s="32">
        <v>204.4</v>
      </c>
      <c r="N628" s="68">
        <f>L628*M628</f>
        <v>6.877944325481799</v>
      </c>
      <c r="O628" s="68">
        <f>L628*60*1000</f>
        <v>2018.9660446619762</v>
      </c>
      <c r="P628" s="69">
        <f>O628*M628/1000</f>
        <v>412.676659528908</v>
      </c>
      <c r="R628" s="10"/>
      <c r="S628" s="10"/>
    </row>
    <row r="629" spans="1:19" s="9" customFormat="1" ht="12.75" customHeight="1">
      <c r="A629" s="220"/>
      <c r="B629" s="52" t="s">
        <v>148</v>
      </c>
      <c r="C629" s="25">
        <v>24</v>
      </c>
      <c r="D629" s="25">
        <v>1968</v>
      </c>
      <c r="E629" s="37">
        <f>SUM(F629:H629)</f>
        <v>38.938999</v>
      </c>
      <c r="F629" s="37">
        <v>1.0203</v>
      </c>
      <c r="G629" s="37">
        <v>3.84</v>
      </c>
      <c r="H629" s="37">
        <v>34.078699</v>
      </c>
      <c r="I629" s="36">
        <v>1012.02</v>
      </c>
      <c r="J629" s="37">
        <v>34.078699</v>
      </c>
      <c r="K629" s="36">
        <v>1012.02</v>
      </c>
      <c r="L629" s="295">
        <f>J629/K629</f>
        <v>0.033673938262089684</v>
      </c>
      <c r="M629" s="296">
        <v>284.9</v>
      </c>
      <c r="N629" s="296">
        <f>L629*M629*1.09</f>
        <v>10.457138461847592</v>
      </c>
      <c r="O629" s="296">
        <f>L629*60*1000</f>
        <v>2020.4362957253811</v>
      </c>
      <c r="P629" s="332">
        <f>N629*60</f>
        <v>627.4283077108555</v>
      </c>
      <c r="R629" s="10"/>
      <c r="S629" s="10"/>
    </row>
    <row r="630" spans="1:19" s="9" customFormat="1" ht="12.75" customHeight="1">
      <c r="A630" s="220"/>
      <c r="B630" s="52" t="s">
        <v>295</v>
      </c>
      <c r="C630" s="25">
        <v>145</v>
      </c>
      <c r="D630" s="25">
        <v>1980</v>
      </c>
      <c r="E630" s="37">
        <v>316.088</v>
      </c>
      <c r="F630" s="37">
        <v>12.572469</v>
      </c>
      <c r="G630" s="37">
        <v>22.88</v>
      </c>
      <c r="H630" s="37">
        <v>280.635531</v>
      </c>
      <c r="I630" s="36">
        <v>8328.31</v>
      </c>
      <c r="J630" s="37">
        <v>280.63555</v>
      </c>
      <c r="K630" s="36">
        <v>8328.31</v>
      </c>
      <c r="L630" s="295">
        <f>J630/K630</f>
        <v>0.033696578297397674</v>
      </c>
      <c r="M630" s="25">
        <v>296.48</v>
      </c>
      <c r="N630" s="296">
        <f>L630*M630</f>
        <v>9.990361533612463</v>
      </c>
      <c r="O630" s="296">
        <f>L630*60*1000</f>
        <v>2021.7946978438604</v>
      </c>
      <c r="P630" s="332">
        <f>O630*M630/1000</f>
        <v>599.4216920167478</v>
      </c>
      <c r="R630" s="10"/>
      <c r="S630" s="10"/>
    </row>
    <row r="631" spans="1:19" s="9" customFormat="1" ht="12.75" customHeight="1">
      <c r="A631" s="220"/>
      <c r="B631" s="66" t="s">
        <v>639</v>
      </c>
      <c r="C631" s="29">
        <v>4</v>
      </c>
      <c r="D631" s="29">
        <v>1938</v>
      </c>
      <c r="E631" s="39">
        <f>F631+G631+H631</f>
        <v>8.53</v>
      </c>
      <c r="F631" s="39">
        <v>0.16</v>
      </c>
      <c r="G631" s="39">
        <v>1.02</v>
      </c>
      <c r="H631" s="39">
        <v>7.35</v>
      </c>
      <c r="I631" s="74">
        <v>217.96</v>
      </c>
      <c r="J631" s="39">
        <v>7.35</v>
      </c>
      <c r="K631" s="74">
        <v>217.96</v>
      </c>
      <c r="L631" s="67">
        <f>J631/K631</f>
        <v>0.033721783813543765</v>
      </c>
      <c r="M631" s="32">
        <v>314.9</v>
      </c>
      <c r="N631" s="68">
        <f>L631*M631</f>
        <v>10.618989722884931</v>
      </c>
      <c r="O631" s="68">
        <f>L631*60*1000</f>
        <v>2023.307028812626</v>
      </c>
      <c r="P631" s="69">
        <f>O631*M631/1000</f>
        <v>637.1393833730959</v>
      </c>
      <c r="R631" s="10"/>
      <c r="S631" s="10"/>
    </row>
    <row r="632" spans="1:19" s="9" customFormat="1" ht="12.75" customHeight="1">
      <c r="A632" s="220"/>
      <c r="B632" s="66" t="s">
        <v>687</v>
      </c>
      <c r="C632" s="29">
        <v>12</v>
      </c>
      <c r="D632" s="29" t="s">
        <v>24</v>
      </c>
      <c r="E632" s="39">
        <v>20.64</v>
      </c>
      <c r="F632" s="39">
        <v>0.46</v>
      </c>
      <c r="G632" s="39">
        <v>1.92</v>
      </c>
      <c r="H632" s="39">
        <v>18.26</v>
      </c>
      <c r="I632" s="74">
        <v>540</v>
      </c>
      <c r="J632" s="39">
        <v>18.26</v>
      </c>
      <c r="K632" s="74">
        <v>540</v>
      </c>
      <c r="L632" s="67">
        <f>J632/K632</f>
        <v>0.03381481481481482</v>
      </c>
      <c r="M632" s="32">
        <v>235.3</v>
      </c>
      <c r="N632" s="68">
        <f>L632*M632</f>
        <v>7.956625925925927</v>
      </c>
      <c r="O632" s="68">
        <f>L632*60*1000</f>
        <v>2028.888888888889</v>
      </c>
      <c r="P632" s="69">
        <f>O632*M632/1000</f>
        <v>477.3975555555556</v>
      </c>
      <c r="R632" s="10"/>
      <c r="S632" s="10"/>
    </row>
    <row r="633" spans="1:19" s="9" customFormat="1" ht="12.75" customHeight="1">
      <c r="A633" s="220"/>
      <c r="B633" s="66" t="s">
        <v>287</v>
      </c>
      <c r="C633" s="29">
        <v>4</v>
      </c>
      <c r="D633" s="29" t="s">
        <v>24</v>
      </c>
      <c r="E633" s="39">
        <v>6.9</v>
      </c>
      <c r="F633" s="39">
        <f>3.8*0.051</f>
        <v>0.19379999999999997</v>
      </c>
      <c r="G633" s="39">
        <f>0.334-F633</f>
        <v>0.14020000000000005</v>
      </c>
      <c r="H633" s="39">
        <f>+E633-F633-G633</f>
        <v>6.566000000000001</v>
      </c>
      <c r="I633" s="290"/>
      <c r="J633" s="39">
        <f>+H633</f>
        <v>6.566000000000001</v>
      </c>
      <c r="K633" s="74">
        <v>193.93</v>
      </c>
      <c r="L633" s="67">
        <f>J633/K633</f>
        <v>0.033857577476409016</v>
      </c>
      <c r="M633" s="32">
        <f>+M626</f>
        <v>314.9</v>
      </c>
      <c r="N633" s="68">
        <f>L633*M633</f>
        <v>10.661751147321198</v>
      </c>
      <c r="O633" s="68">
        <f>L633*60*1000</f>
        <v>2031.4546485845408</v>
      </c>
      <c r="P633" s="69">
        <f>O633*M633/1000</f>
        <v>639.7050688392719</v>
      </c>
      <c r="R633" s="10"/>
      <c r="S633" s="10"/>
    </row>
    <row r="634" spans="1:16" s="9" customFormat="1" ht="12.75" customHeight="1">
      <c r="A634" s="220"/>
      <c r="B634" s="52" t="s">
        <v>786</v>
      </c>
      <c r="C634" s="25">
        <v>22</v>
      </c>
      <c r="D634" s="25" t="s">
        <v>24</v>
      </c>
      <c r="E634" s="37">
        <f>SUM(F634:H634)</f>
        <v>25.7</v>
      </c>
      <c r="F634" s="208">
        <v>1.1</v>
      </c>
      <c r="G634" s="208">
        <v>0.1</v>
      </c>
      <c r="H634" s="208">
        <v>24.5</v>
      </c>
      <c r="I634" s="36">
        <v>892</v>
      </c>
      <c r="J634" s="37">
        <v>20.4</v>
      </c>
      <c r="K634" s="36">
        <v>602.03</v>
      </c>
      <c r="L634" s="67">
        <f>J634/K634</f>
        <v>0.03388535455043769</v>
      </c>
      <c r="M634" s="32">
        <v>204.4</v>
      </c>
      <c r="N634" s="68">
        <f>L634*M634</f>
        <v>6.926166470109464</v>
      </c>
      <c r="O634" s="68">
        <f>L634*60*1000</f>
        <v>2033.1212730262612</v>
      </c>
      <c r="P634" s="69">
        <f>O634*M634/1000</f>
        <v>415.5699882065678</v>
      </c>
    </row>
    <row r="635" spans="1:19" s="9" customFormat="1" ht="12.75" customHeight="1">
      <c r="A635" s="220"/>
      <c r="B635" s="66" t="s">
        <v>876</v>
      </c>
      <c r="C635" s="29">
        <v>20</v>
      </c>
      <c r="D635" s="29">
        <v>1980</v>
      </c>
      <c r="E635" s="39">
        <v>41.393</v>
      </c>
      <c r="F635" s="39">
        <v>2.601</v>
      </c>
      <c r="G635" s="39">
        <v>3.2</v>
      </c>
      <c r="H635" s="39">
        <v>35.592</v>
      </c>
      <c r="I635" s="74">
        <v>1049.88</v>
      </c>
      <c r="J635" s="39">
        <v>35.592</v>
      </c>
      <c r="K635" s="74">
        <v>1049.9</v>
      </c>
      <c r="L635" s="67">
        <f>J635/K635</f>
        <v>0.03390037146394894</v>
      </c>
      <c r="M635" s="32">
        <v>223.12</v>
      </c>
      <c r="N635" s="68">
        <f>L635*M635</f>
        <v>7.563850881036288</v>
      </c>
      <c r="O635" s="68">
        <f>L635*60*1000</f>
        <v>2034.0222878369364</v>
      </c>
      <c r="P635" s="69">
        <f>O635*M635/1000</f>
        <v>453.8310528621773</v>
      </c>
      <c r="R635" s="10"/>
      <c r="S635" s="10"/>
    </row>
    <row r="636" spans="1:19" s="9" customFormat="1" ht="12.75" customHeight="1">
      <c r="A636" s="220"/>
      <c r="B636" s="66" t="s">
        <v>319</v>
      </c>
      <c r="C636" s="29">
        <v>9</v>
      </c>
      <c r="D636" s="29">
        <v>1925</v>
      </c>
      <c r="E636" s="39">
        <v>13.408</v>
      </c>
      <c r="F636" s="39">
        <v>0.306</v>
      </c>
      <c r="G636" s="39">
        <v>1.6</v>
      </c>
      <c r="H636" s="39">
        <v>11.502</v>
      </c>
      <c r="I636" s="74">
        <v>429.49</v>
      </c>
      <c r="J636" s="39">
        <v>11.08</v>
      </c>
      <c r="K636" s="74">
        <v>326.76</v>
      </c>
      <c r="L636" s="67">
        <f>J636/K636</f>
        <v>0.03390867915289509</v>
      </c>
      <c r="M636" s="32">
        <v>337.137</v>
      </c>
      <c r="N636" s="68">
        <f>L636*M636</f>
        <v>11.431870363569592</v>
      </c>
      <c r="O636" s="68">
        <f>L636*60*1000</f>
        <v>2034.5207491737053</v>
      </c>
      <c r="P636" s="69">
        <f>O636*M636/1000</f>
        <v>685.9122218141755</v>
      </c>
      <c r="R636" s="10"/>
      <c r="S636" s="10"/>
    </row>
    <row r="637" spans="1:19" s="9" customFormat="1" ht="12.75" customHeight="1">
      <c r="A637" s="220"/>
      <c r="B637" s="52" t="s">
        <v>704</v>
      </c>
      <c r="C637" s="25">
        <v>17</v>
      </c>
      <c r="D637" s="25" t="s">
        <v>24</v>
      </c>
      <c r="E637" s="37">
        <f>F637+G637+H637</f>
        <v>29.884</v>
      </c>
      <c r="F637" s="37">
        <v>2.242</v>
      </c>
      <c r="G637" s="37">
        <v>1.18</v>
      </c>
      <c r="H637" s="37">
        <v>26.462</v>
      </c>
      <c r="I637" s="36">
        <v>780.3</v>
      </c>
      <c r="J637" s="37">
        <v>26.462</v>
      </c>
      <c r="K637" s="36">
        <v>780.3</v>
      </c>
      <c r="L637" s="295">
        <f>J637/K637</f>
        <v>0.03391259771882609</v>
      </c>
      <c r="M637" s="296">
        <v>210</v>
      </c>
      <c r="N637" s="296">
        <f>L637*M637</f>
        <v>7.1216455209534795</v>
      </c>
      <c r="O637" s="296">
        <f>L637*1000*60</f>
        <v>2034.7558631295656</v>
      </c>
      <c r="P637" s="332">
        <f>N637*60</f>
        <v>427.2987312572088</v>
      </c>
      <c r="R637" s="10"/>
      <c r="S637" s="10"/>
    </row>
    <row r="638" spans="1:19" s="9" customFormat="1" ht="12.75" customHeight="1">
      <c r="A638" s="220"/>
      <c r="B638" s="313" t="s">
        <v>558</v>
      </c>
      <c r="C638" s="314">
        <v>25</v>
      </c>
      <c r="D638" s="315" t="s">
        <v>24</v>
      </c>
      <c r="E638" s="307">
        <v>47.99</v>
      </c>
      <c r="F638" s="307">
        <v>2.27</v>
      </c>
      <c r="G638" s="308">
        <v>4.48</v>
      </c>
      <c r="H638" s="307">
        <v>41.24</v>
      </c>
      <c r="I638" s="309">
        <v>1214.16</v>
      </c>
      <c r="J638" s="307">
        <v>41.24</v>
      </c>
      <c r="K638" s="310">
        <v>1214.25</v>
      </c>
      <c r="L638" s="67">
        <f>J638/K638</f>
        <v>0.0339633518632901</v>
      </c>
      <c r="M638" s="32">
        <v>266.83</v>
      </c>
      <c r="N638" s="68">
        <f>L638*M638</f>
        <v>9.062441177681697</v>
      </c>
      <c r="O638" s="68">
        <f>L638*60*1000</f>
        <v>2037.801111797406</v>
      </c>
      <c r="P638" s="69">
        <f>O638*M638/1000</f>
        <v>543.7464706609019</v>
      </c>
      <c r="R638" s="10"/>
      <c r="S638" s="10"/>
    </row>
    <row r="639" spans="1:19" s="9" customFormat="1" ht="12.75" customHeight="1">
      <c r="A639" s="220"/>
      <c r="B639" s="52" t="s">
        <v>787</v>
      </c>
      <c r="C639" s="25">
        <v>41</v>
      </c>
      <c r="D639" s="25" t="s">
        <v>24</v>
      </c>
      <c r="E639" s="37">
        <f>SUM(F639:H639)</f>
        <v>33.7</v>
      </c>
      <c r="F639" s="208">
        <v>2.2</v>
      </c>
      <c r="G639" s="208">
        <v>0.2</v>
      </c>
      <c r="H639" s="208">
        <v>31.3</v>
      </c>
      <c r="I639" s="36">
        <v>910.85</v>
      </c>
      <c r="J639" s="37">
        <v>29.5</v>
      </c>
      <c r="K639" s="36">
        <v>867.57</v>
      </c>
      <c r="L639" s="67">
        <f>J639/K639</f>
        <v>0.034003019929227614</v>
      </c>
      <c r="M639" s="32">
        <v>204.4</v>
      </c>
      <c r="N639" s="68">
        <f>L639*M639</f>
        <v>6.9502172735341246</v>
      </c>
      <c r="O639" s="68">
        <f>L639*60*1000</f>
        <v>2040.1811957536568</v>
      </c>
      <c r="P639" s="69">
        <f>O639*M639/1000</f>
        <v>417.0130364120474</v>
      </c>
      <c r="R639" s="10"/>
      <c r="S639" s="10"/>
    </row>
    <row r="640" spans="1:22" s="9" customFormat="1" ht="12.75" customHeight="1">
      <c r="A640" s="220"/>
      <c r="B640" s="291" t="s">
        <v>262</v>
      </c>
      <c r="C640" s="292">
        <v>14</v>
      </c>
      <c r="D640" s="29">
        <v>1960</v>
      </c>
      <c r="E640" s="39">
        <f>F640+G640+H640</f>
        <v>20.816903</v>
      </c>
      <c r="F640" s="293">
        <v>0.952068</v>
      </c>
      <c r="G640" s="293">
        <v>2.24</v>
      </c>
      <c r="H640" s="293">
        <v>17.624835</v>
      </c>
      <c r="I640" s="294">
        <v>913.0600000000001</v>
      </c>
      <c r="J640" s="293">
        <v>17.624835</v>
      </c>
      <c r="K640" s="294">
        <v>518.33</v>
      </c>
      <c r="L640" s="67">
        <f>J640/K640</f>
        <v>0.03400311577566415</v>
      </c>
      <c r="M640" s="32">
        <v>314.465</v>
      </c>
      <c r="N640" s="68">
        <f>L640*M640</f>
        <v>10.692789802394227</v>
      </c>
      <c r="O640" s="68">
        <f>L640*60*1000</f>
        <v>2040.186946539849</v>
      </c>
      <c r="P640" s="69">
        <f>O640*M640/1000</f>
        <v>641.5673881436536</v>
      </c>
      <c r="Q640" s="10"/>
      <c r="R640" s="10"/>
      <c r="S640" s="10"/>
      <c r="T640" s="12"/>
      <c r="U640" s="13"/>
      <c r="V640" s="13"/>
    </row>
    <row r="641" spans="1:19" s="9" customFormat="1" ht="12.75" customHeight="1">
      <c r="A641" s="220"/>
      <c r="B641" s="52" t="s">
        <v>417</v>
      </c>
      <c r="C641" s="25">
        <v>20</v>
      </c>
      <c r="D641" s="25" t="s">
        <v>24</v>
      </c>
      <c r="E641" s="37">
        <f>F641+G641+H641</f>
        <v>40.1751</v>
      </c>
      <c r="F641" s="37">
        <v>2.1635</v>
      </c>
      <c r="G641" s="37">
        <v>3.2</v>
      </c>
      <c r="H641" s="37">
        <v>34.8116</v>
      </c>
      <c r="I641" s="36">
        <v>1022.18</v>
      </c>
      <c r="J641" s="37">
        <v>34.8116</v>
      </c>
      <c r="K641" s="36">
        <v>1022.18</v>
      </c>
      <c r="L641" s="295">
        <f>J641/K641</f>
        <v>0.034056232757439985</v>
      </c>
      <c r="M641" s="296">
        <v>210</v>
      </c>
      <c r="N641" s="296">
        <f>L641*M641</f>
        <v>7.151808879062397</v>
      </c>
      <c r="O641" s="296">
        <f>L641*1000*60</f>
        <v>2043.373965446399</v>
      </c>
      <c r="P641" s="332">
        <f>N641*60</f>
        <v>429.1085327437438</v>
      </c>
      <c r="R641" s="10"/>
      <c r="S641" s="10"/>
    </row>
    <row r="642" spans="1:19" s="9" customFormat="1" ht="12.75" customHeight="1">
      <c r="A642" s="220"/>
      <c r="B642" s="66" t="s">
        <v>282</v>
      </c>
      <c r="C642" s="29">
        <v>15</v>
      </c>
      <c r="D642" s="29" t="s">
        <v>24</v>
      </c>
      <c r="E642" s="39">
        <v>31.9</v>
      </c>
      <c r="F642" s="39">
        <f>26.1*0.051</f>
        <v>1.3311</v>
      </c>
      <c r="G642" s="39">
        <v>2.4</v>
      </c>
      <c r="H642" s="39">
        <f>+E642-F642-G642</f>
        <v>28.1689</v>
      </c>
      <c r="I642" s="290"/>
      <c r="J642" s="39">
        <f>+H642</f>
        <v>28.1689</v>
      </c>
      <c r="K642" s="74">
        <v>826.86</v>
      </c>
      <c r="L642" s="67">
        <f>J642/K642</f>
        <v>0.03406731490215998</v>
      </c>
      <c r="M642" s="32">
        <f>+M639</f>
        <v>204.4</v>
      </c>
      <c r="N642" s="68">
        <f>L642*M642</f>
        <v>6.9633591660015</v>
      </c>
      <c r="O642" s="68">
        <f>L642*60*1000</f>
        <v>2044.038894129599</v>
      </c>
      <c r="P642" s="69">
        <f>O642*M642/1000</f>
        <v>417.80154996009003</v>
      </c>
      <c r="R642" s="10"/>
      <c r="S642" s="10"/>
    </row>
    <row r="643" spans="1:19" s="9" customFormat="1" ht="12.75" customHeight="1">
      <c r="A643" s="220"/>
      <c r="B643" s="52" t="s">
        <v>936</v>
      </c>
      <c r="C643" s="29">
        <v>72</v>
      </c>
      <c r="D643" s="29">
        <v>1977</v>
      </c>
      <c r="E643" s="39">
        <f>SUM(F643+G643+H643)</f>
        <v>89.434</v>
      </c>
      <c r="F643" s="37">
        <v>5.667</v>
      </c>
      <c r="G643" s="37">
        <v>11.52</v>
      </c>
      <c r="H643" s="37">
        <v>72.247</v>
      </c>
      <c r="I643" s="36">
        <v>2118.23</v>
      </c>
      <c r="J643" s="37">
        <v>72.247</v>
      </c>
      <c r="K643" s="36">
        <v>2118.23</v>
      </c>
      <c r="L643" s="67">
        <f>J643/K643</f>
        <v>0.034107249920924544</v>
      </c>
      <c r="M643" s="32">
        <v>283.51</v>
      </c>
      <c r="N643" s="68">
        <f>L643*M643</f>
        <v>9.669746425081318</v>
      </c>
      <c r="O643" s="68">
        <f>L643*60*1000</f>
        <v>2046.4349952554728</v>
      </c>
      <c r="P643" s="69">
        <f>O643*M643/1000</f>
        <v>580.1847855048791</v>
      </c>
      <c r="R643" s="10"/>
      <c r="S643" s="10"/>
    </row>
    <row r="644" spans="1:19" s="9" customFormat="1" ht="12.75" customHeight="1">
      <c r="A644" s="220"/>
      <c r="B644" s="66" t="s">
        <v>860</v>
      </c>
      <c r="C644" s="29">
        <v>8</v>
      </c>
      <c r="D644" s="29">
        <v>1961</v>
      </c>
      <c r="E644" s="39">
        <v>12.659</v>
      </c>
      <c r="F644" s="39">
        <v>0.22</v>
      </c>
      <c r="G644" s="39">
        <v>0.33</v>
      </c>
      <c r="H644" s="39">
        <v>12.109</v>
      </c>
      <c r="I644" s="74">
        <v>355</v>
      </c>
      <c r="J644" s="39">
        <v>12.109</v>
      </c>
      <c r="K644" s="74">
        <v>355</v>
      </c>
      <c r="L644" s="67">
        <f>J644/K644</f>
        <v>0.034109859154929575</v>
      </c>
      <c r="M644" s="32">
        <v>254.2</v>
      </c>
      <c r="N644" s="68">
        <f>L644*M644</f>
        <v>8.670726197183098</v>
      </c>
      <c r="O644" s="68">
        <f>L644*60*1000</f>
        <v>2046.5915492957745</v>
      </c>
      <c r="P644" s="69">
        <f>O644*M644/1000</f>
        <v>520.2435718309858</v>
      </c>
      <c r="R644" s="10"/>
      <c r="S644" s="10"/>
    </row>
    <row r="645" spans="1:19" s="9" customFormat="1" ht="12.75" customHeight="1">
      <c r="A645" s="220"/>
      <c r="B645" s="66" t="s">
        <v>640</v>
      </c>
      <c r="C645" s="29">
        <v>7</v>
      </c>
      <c r="D645" s="29">
        <v>1942</v>
      </c>
      <c r="E645" s="39">
        <f>F645+G645+H645</f>
        <v>9.58</v>
      </c>
      <c r="F645" s="39">
        <v>0</v>
      </c>
      <c r="G645" s="39">
        <v>0</v>
      </c>
      <c r="H645" s="39">
        <v>9.58</v>
      </c>
      <c r="I645" s="74">
        <v>280.84</v>
      </c>
      <c r="J645" s="39">
        <v>9.58</v>
      </c>
      <c r="K645" s="74">
        <v>280.84</v>
      </c>
      <c r="L645" s="67">
        <f>J645/K645</f>
        <v>0.03411194986469164</v>
      </c>
      <c r="M645" s="32">
        <v>314.9</v>
      </c>
      <c r="N645" s="68">
        <f>L645*M645</f>
        <v>10.741853012391397</v>
      </c>
      <c r="O645" s="68">
        <f>L645*60*1000</f>
        <v>2046.7169918814982</v>
      </c>
      <c r="P645" s="69">
        <f>O645*M645/1000</f>
        <v>644.5111807434837</v>
      </c>
      <c r="R645" s="10"/>
      <c r="S645" s="10"/>
    </row>
    <row r="646" spans="1:19" s="9" customFormat="1" ht="12.75" customHeight="1">
      <c r="A646" s="220"/>
      <c r="B646" s="66" t="s">
        <v>285</v>
      </c>
      <c r="C646" s="29">
        <v>14</v>
      </c>
      <c r="D646" s="29" t="s">
        <v>24</v>
      </c>
      <c r="E646" s="39">
        <v>22.8</v>
      </c>
      <c r="F646" s="39">
        <f>18*0.051</f>
        <v>0.9179999999999999</v>
      </c>
      <c r="G646" s="39">
        <f>14*0.01</f>
        <v>0.14</v>
      </c>
      <c r="H646" s="39">
        <f>+E646-F646-G646</f>
        <v>21.742</v>
      </c>
      <c r="I646" s="290"/>
      <c r="J646" s="39">
        <f>+H646</f>
        <v>21.742</v>
      </c>
      <c r="K646" s="74">
        <v>635.91</v>
      </c>
      <c r="L646" s="67">
        <f>J646/K646</f>
        <v>0.03419037285150415</v>
      </c>
      <c r="M646" s="32">
        <f>+M638</f>
        <v>266.83</v>
      </c>
      <c r="N646" s="68">
        <f>L646*M646</f>
        <v>9.123017187966852</v>
      </c>
      <c r="O646" s="68">
        <f>L646*60*1000</f>
        <v>2051.422371090249</v>
      </c>
      <c r="P646" s="69">
        <f>O646*M646/1000</f>
        <v>547.381031278011</v>
      </c>
      <c r="R646" s="10"/>
      <c r="S646" s="10"/>
    </row>
    <row r="647" spans="1:19" s="9" customFormat="1" ht="12.75" customHeight="1">
      <c r="A647" s="220"/>
      <c r="B647" s="291" t="s">
        <v>370</v>
      </c>
      <c r="C647" s="292">
        <v>52</v>
      </c>
      <c r="D647" s="29">
        <v>1978</v>
      </c>
      <c r="E647" s="39">
        <f>F647+G647+H647</f>
        <v>64.134748</v>
      </c>
      <c r="F647" s="293">
        <v>2.936325</v>
      </c>
      <c r="G647" s="293">
        <v>0</v>
      </c>
      <c r="H647" s="293">
        <v>61.198423000000005</v>
      </c>
      <c r="I647" s="294">
        <v>1875.49</v>
      </c>
      <c r="J647" s="293">
        <v>61.198423000000005</v>
      </c>
      <c r="K647" s="294">
        <v>1789.42</v>
      </c>
      <c r="L647" s="67">
        <f>J647/K647</f>
        <v>0.034200144739636305</v>
      </c>
      <c r="M647" s="32">
        <v>314.465</v>
      </c>
      <c r="N647" s="68">
        <f>L647*M647</f>
        <v>10.75474851554973</v>
      </c>
      <c r="O647" s="68">
        <f>L647*60*1000</f>
        <v>2052.0086843781783</v>
      </c>
      <c r="P647" s="69">
        <f>O647*M647/1000</f>
        <v>645.2849109329837</v>
      </c>
      <c r="R647" s="10"/>
      <c r="S647" s="10"/>
    </row>
    <row r="648" spans="1:19" s="9" customFormat="1" ht="12.75" customHeight="1">
      <c r="A648" s="220"/>
      <c r="B648" s="66" t="s">
        <v>512</v>
      </c>
      <c r="C648" s="29">
        <v>70</v>
      </c>
      <c r="D648" s="29">
        <v>1964</v>
      </c>
      <c r="E648" s="39">
        <v>112.288</v>
      </c>
      <c r="F648" s="39">
        <v>8.022</v>
      </c>
      <c r="G648" s="39">
        <v>0.7</v>
      </c>
      <c r="H648" s="39">
        <f>E648-F648-G648</f>
        <v>103.56599999999999</v>
      </c>
      <c r="I648" s="74">
        <v>3027.11</v>
      </c>
      <c r="J648" s="39">
        <f>H648</f>
        <v>103.56599999999999</v>
      </c>
      <c r="K648" s="74">
        <f>I648</f>
        <v>3027.11</v>
      </c>
      <c r="L648" s="67">
        <f>J648/K648</f>
        <v>0.034212830059033195</v>
      </c>
      <c r="M648" s="32">
        <v>279.476</v>
      </c>
      <c r="N648" s="68">
        <f>L648*M648</f>
        <v>9.561664893578362</v>
      </c>
      <c r="O648" s="68">
        <f>L648*60*1000</f>
        <v>2052.7698035419917</v>
      </c>
      <c r="P648" s="69">
        <f>O648*M648/1000</f>
        <v>573.6998936147018</v>
      </c>
      <c r="R648" s="10"/>
      <c r="S648" s="10"/>
    </row>
    <row r="649" spans="1:16" s="9" customFormat="1" ht="12.75" customHeight="1">
      <c r="A649" s="220"/>
      <c r="B649" s="66" t="s">
        <v>877</v>
      </c>
      <c r="C649" s="29">
        <v>20</v>
      </c>
      <c r="D649" s="29">
        <v>1974</v>
      </c>
      <c r="E649" s="39">
        <v>36.151</v>
      </c>
      <c r="F649" s="39">
        <v>0.765</v>
      </c>
      <c r="G649" s="39">
        <v>3.2</v>
      </c>
      <c r="H649" s="39">
        <v>32.186</v>
      </c>
      <c r="I649" s="74">
        <v>939.98</v>
      </c>
      <c r="J649" s="39">
        <v>32.2</v>
      </c>
      <c r="K649" s="74">
        <v>939.98</v>
      </c>
      <c r="L649" s="67">
        <f>J649/K649</f>
        <v>0.0342560480010213</v>
      </c>
      <c r="M649" s="32">
        <v>223.12</v>
      </c>
      <c r="N649" s="68">
        <f>L649*M649</f>
        <v>7.643209429987873</v>
      </c>
      <c r="O649" s="68">
        <f>L649*60*1000</f>
        <v>2055.362880061278</v>
      </c>
      <c r="P649" s="69">
        <f>O649*M649/1000</f>
        <v>458.59256579927234</v>
      </c>
    </row>
    <row r="650" spans="1:19" s="9" customFormat="1" ht="12.75" customHeight="1">
      <c r="A650" s="220"/>
      <c r="B650" s="291" t="s">
        <v>220</v>
      </c>
      <c r="C650" s="292">
        <v>18</v>
      </c>
      <c r="D650" s="29">
        <v>1989</v>
      </c>
      <c r="E650" s="39">
        <f>F650+G650+H650</f>
        <v>33.331998999999996</v>
      </c>
      <c r="F650" s="293">
        <v>1.122</v>
      </c>
      <c r="G650" s="293">
        <v>0</v>
      </c>
      <c r="H650" s="293">
        <v>32.209998999999996</v>
      </c>
      <c r="I650" s="294">
        <v>937.87</v>
      </c>
      <c r="J650" s="293">
        <v>32.209998999999996</v>
      </c>
      <c r="K650" s="294">
        <v>937.87</v>
      </c>
      <c r="L650" s="67">
        <f>J650/K650</f>
        <v>0.03434377792231332</v>
      </c>
      <c r="M650" s="32">
        <v>314.465</v>
      </c>
      <c r="N650" s="68">
        <f>L650*M650</f>
        <v>10.799916124340259</v>
      </c>
      <c r="O650" s="68">
        <f>L650*60*1000</f>
        <v>2060.626675338799</v>
      </c>
      <c r="P650" s="69">
        <f>O650*M650/1000</f>
        <v>647.9949674604154</v>
      </c>
      <c r="R650" s="10"/>
      <c r="S650" s="10"/>
    </row>
    <row r="651" spans="1:19" s="9" customFormat="1" ht="12.75" customHeight="1">
      <c r="A651" s="220"/>
      <c r="B651" s="66" t="s">
        <v>368</v>
      </c>
      <c r="C651" s="29">
        <v>14</v>
      </c>
      <c r="D651" s="29">
        <v>1969</v>
      </c>
      <c r="E651" s="39">
        <f>F651+G651+H651</f>
        <v>21.21</v>
      </c>
      <c r="F651" s="39">
        <v>3.65</v>
      </c>
      <c r="G651" s="39">
        <v>0.35</v>
      </c>
      <c r="H651" s="39">
        <v>17.21</v>
      </c>
      <c r="I651" s="74">
        <v>500.78</v>
      </c>
      <c r="J651" s="39">
        <v>17.21</v>
      </c>
      <c r="K651" s="74">
        <v>500.78</v>
      </c>
      <c r="L651" s="67">
        <f>J651/K651</f>
        <v>0.0343663884340429</v>
      </c>
      <c r="M651" s="32">
        <v>314.9</v>
      </c>
      <c r="N651" s="68">
        <f>L651*M651</f>
        <v>10.821975717880107</v>
      </c>
      <c r="O651" s="68">
        <f>L651*60*1000</f>
        <v>2061.9833060425735</v>
      </c>
      <c r="P651" s="69">
        <f>O651*M651/1000</f>
        <v>649.3185430728063</v>
      </c>
      <c r="R651" s="10"/>
      <c r="S651" s="10"/>
    </row>
    <row r="652" spans="1:19" s="9" customFormat="1" ht="12.75" customHeight="1">
      <c r="A652" s="220"/>
      <c r="B652" s="66" t="s">
        <v>836</v>
      </c>
      <c r="C652" s="29">
        <v>6</v>
      </c>
      <c r="D652" s="29" t="s">
        <v>24</v>
      </c>
      <c r="E652" s="39">
        <v>6.3</v>
      </c>
      <c r="F652" s="39">
        <v>0</v>
      </c>
      <c r="G652" s="39">
        <v>0</v>
      </c>
      <c r="H652" s="39">
        <f>+E652</f>
        <v>6.3</v>
      </c>
      <c r="I652" s="290"/>
      <c r="J652" s="39">
        <f>+H652</f>
        <v>6.3</v>
      </c>
      <c r="K652" s="74">
        <v>183.02</v>
      </c>
      <c r="L652" s="67">
        <f>J652/K652</f>
        <v>0.03442246748989181</v>
      </c>
      <c r="M652" s="32">
        <f>+M650</f>
        <v>314.465</v>
      </c>
      <c r="N652" s="68">
        <f>L652*M652</f>
        <v>10.824661239208828</v>
      </c>
      <c r="O652" s="68">
        <f>L652*60*1000</f>
        <v>2065.3480493935085</v>
      </c>
      <c r="P652" s="69">
        <f>O652*M652/1000</f>
        <v>649.4796743525296</v>
      </c>
      <c r="R652" s="10"/>
      <c r="S652" s="10"/>
    </row>
    <row r="653" spans="1:19" s="9" customFormat="1" ht="12.75" customHeight="1">
      <c r="A653" s="220"/>
      <c r="B653" s="66" t="s">
        <v>861</v>
      </c>
      <c r="C653" s="29">
        <v>12</v>
      </c>
      <c r="D653" s="29">
        <v>1963</v>
      </c>
      <c r="E653" s="39">
        <v>18.297</v>
      </c>
      <c r="F653" s="39"/>
      <c r="G653" s="39"/>
      <c r="H653" s="39">
        <v>18.297</v>
      </c>
      <c r="I653" s="74">
        <v>531</v>
      </c>
      <c r="J653" s="39">
        <v>18.297</v>
      </c>
      <c r="K653" s="74">
        <v>531</v>
      </c>
      <c r="L653" s="67">
        <f>J653/K653</f>
        <v>0.03445762711864407</v>
      </c>
      <c r="M653" s="32">
        <v>254.2</v>
      </c>
      <c r="N653" s="68">
        <f>L653*M653</f>
        <v>8.759128813559322</v>
      </c>
      <c r="O653" s="68">
        <f>L653*60*1000</f>
        <v>2067.4576271186443</v>
      </c>
      <c r="P653" s="69">
        <f>O653*M653/1000</f>
        <v>525.5477288135594</v>
      </c>
      <c r="R653" s="10"/>
      <c r="S653" s="10"/>
    </row>
    <row r="654" spans="1:19" s="9" customFormat="1" ht="12.75" customHeight="1">
      <c r="A654" s="220"/>
      <c r="B654" s="66" t="s">
        <v>361</v>
      </c>
      <c r="C654" s="29">
        <v>32</v>
      </c>
      <c r="D654" s="29">
        <v>1965</v>
      </c>
      <c r="E654" s="39">
        <f>F654+G654+H654</f>
        <v>49</v>
      </c>
      <c r="F654" s="39">
        <v>0</v>
      </c>
      <c r="G654" s="39">
        <v>0</v>
      </c>
      <c r="H654" s="39">
        <v>49</v>
      </c>
      <c r="I654" s="74">
        <v>1419.59</v>
      </c>
      <c r="J654" s="39">
        <v>49</v>
      </c>
      <c r="K654" s="74">
        <v>1419.59</v>
      </c>
      <c r="L654" s="67">
        <f>J654/K654</f>
        <v>0.03451700843201206</v>
      </c>
      <c r="M654" s="32">
        <v>314.9</v>
      </c>
      <c r="N654" s="68">
        <f>L654*M654</f>
        <v>10.869405955240596</v>
      </c>
      <c r="O654" s="68">
        <f>L654*60*1000</f>
        <v>2071.0205059207233</v>
      </c>
      <c r="P654" s="69">
        <f>O654*M654/1000</f>
        <v>652.1643573144357</v>
      </c>
      <c r="R654" s="10"/>
      <c r="S654" s="10"/>
    </row>
    <row r="655" spans="1:19" s="9" customFormat="1" ht="12.75" customHeight="1">
      <c r="A655" s="220"/>
      <c r="B655" s="66" t="s">
        <v>821</v>
      </c>
      <c r="C655" s="29">
        <v>18</v>
      </c>
      <c r="D655" s="29" t="s">
        <v>24</v>
      </c>
      <c r="E655" s="39">
        <f>F655+G655+H655</f>
        <v>40.017</v>
      </c>
      <c r="F655" s="39">
        <v>2.543</v>
      </c>
      <c r="G655" s="39">
        <v>2.88</v>
      </c>
      <c r="H655" s="39">
        <v>34.594</v>
      </c>
      <c r="I655" s="74">
        <v>1002</v>
      </c>
      <c r="J655" s="39">
        <v>34.594</v>
      </c>
      <c r="K655" s="74">
        <v>1002</v>
      </c>
      <c r="L655" s="67">
        <f>J655/K655</f>
        <v>0.0345249500998004</v>
      </c>
      <c r="M655" s="29">
        <v>350.76</v>
      </c>
      <c r="N655" s="68">
        <f>L655*M655</f>
        <v>12.109971497005988</v>
      </c>
      <c r="O655" s="68">
        <f>L655*60*1000</f>
        <v>2071.4970059880243</v>
      </c>
      <c r="P655" s="69">
        <f>O655*M655/1000</f>
        <v>726.5982898203594</v>
      </c>
      <c r="R655" s="10"/>
      <c r="S655" s="10"/>
    </row>
    <row r="656" spans="1:19" s="9" customFormat="1" ht="12.75" customHeight="1">
      <c r="A656" s="220"/>
      <c r="B656" s="66" t="s">
        <v>362</v>
      </c>
      <c r="C656" s="29">
        <v>12</v>
      </c>
      <c r="D656" s="29">
        <v>1985</v>
      </c>
      <c r="E656" s="39">
        <f>F656+G656+H656</f>
        <v>7.53</v>
      </c>
      <c r="F656" s="39">
        <v>0</v>
      </c>
      <c r="G656" s="39">
        <v>0</v>
      </c>
      <c r="H656" s="39">
        <v>7.53</v>
      </c>
      <c r="I656" s="74">
        <v>677.24</v>
      </c>
      <c r="J656" s="39">
        <v>7.53</v>
      </c>
      <c r="K656" s="74">
        <v>218.02</v>
      </c>
      <c r="L656" s="67">
        <f>J656/K656</f>
        <v>0.034538115769195486</v>
      </c>
      <c r="M656" s="32">
        <v>314.9</v>
      </c>
      <c r="N656" s="68">
        <f>L656*M656</f>
        <v>10.876052655719658</v>
      </c>
      <c r="O656" s="68">
        <f>L656*60*1000</f>
        <v>2072.286946151729</v>
      </c>
      <c r="P656" s="69">
        <f>O656*M656/1000</f>
        <v>652.5631593431794</v>
      </c>
      <c r="R656" s="10"/>
      <c r="S656" s="10"/>
    </row>
    <row r="657" spans="1:19" s="9" customFormat="1" ht="12.75" customHeight="1">
      <c r="A657" s="220"/>
      <c r="B657" s="52" t="s">
        <v>937</v>
      </c>
      <c r="C657" s="29">
        <v>8</v>
      </c>
      <c r="D657" s="29" t="s">
        <v>24</v>
      </c>
      <c r="E657" s="39">
        <f>SUM(F657+G657+H657)</f>
        <v>14.471</v>
      </c>
      <c r="F657" s="37">
        <v>1.178</v>
      </c>
      <c r="G657" s="37">
        <v>0.579</v>
      </c>
      <c r="H657" s="37">
        <v>12.714</v>
      </c>
      <c r="I657" s="36">
        <v>368.07</v>
      </c>
      <c r="J657" s="37">
        <v>12.714</v>
      </c>
      <c r="K657" s="36">
        <v>368.07</v>
      </c>
      <c r="L657" s="67">
        <f>J657/K657</f>
        <v>0.03454234248920043</v>
      </c>
      <c r="M657" s="32">
        <v>283.51</v>
      </c>
      <c r="N657" s="68">
        <f>L657*M657</f>
        <v>9.793099519113213</v>
      </c>
      <c r="O657" s="68">
        <f>L657*60*1000</f>
        <v>2072.5405493520257</v>
      </c>
      <c r="P657" s="69">
        <f>O657*M657/1000</f>
        <v>587.5859711467928</v>
      </c>
      <c r="R657" s="10"/>
      <c r="S657" s="10"/>
    </row>
    <row r="658" spans="1:19" s="9" customFormat="1" ht="12.75" customHeight="1">
      <c r="A658" s="220"/>
      <c r="B658" s="66" t="s">
        <v>878</v>
      </c>
      <c r="C658" s="29">
        <v>36</v>
      </c>
      <c r="D658" s="29">
        <v>1972</v>
      </c>
      <c r="E658" s="39">
        <v>58.8016</v>
      </c>
      <c r="F658" s="39">
        <v>3.06</v>
      </c>
      <c r="G658" s="39">
        <v>5.6</v>
      </c>
      <c r="H658" s="39">
        <v>50.1416</v>
      </c>
      <c r="I658" s="74">
        <v>1450.19</v>
      </c>
      <c r="J658" s="39">
        <v>50.1</v>
      </c>
      <c r="K658" s="74">
        <v>1450.19</v>
      </c>
      <c r="L658" s="67">
        <f>J658/K658</f>
        <v>0.03454719726380681</v>
      </c>
      <c r="M658" s="32">
        <v>223.12</v>
      </c>
      <c r="N658" s="68">
        <f>L658*M658</f>
        <v>7.708170653500576</v>
      </c>
      <c r="O658" s="68">
        <f>L658*60*1000</f>
        <v>2072.8318358284087</v>
      </c>
      <c r="P658" s="69">
        <f>O658*M658/1000</f>
        <v>462.49023921003453</v>
      </c>
      <c r="R658" s="10"/>
      <c r="S658" s="10"/>
    </row>
    <row r="659" spans="1:19" s="9" customFormat="1" ht="12.75" customHeight="1">
      <c r="A659" s="220"/>
      <c r="B659" s="291" t="s">
        <v>138</v>
      </c>
      <c r="C659" s="292">
        <v>19</v>
      </c>
      <c r="D659" s="29">
        <v>1980</v>
      </c>
      <c r="E659" s="39">
        <f>F659+G659+H659</f>
        <v>38.268251</v>
      </c>
      <c r="F659" s="293">
        <v>1.632</v>
      </c>
      <c r="G659" s="293">
        <v>3.04</v>
      </c>
      <c r="H659" s="293">
        <v>33.596251</v>
      </c>
      <c r="I659" s="294">
        <v>1049.46</v>
      </c>
      <c r="J659" s="293">
        <v>33.596251</v>
      </c>
      <c r="K659" s="294">
        <v>972.23</v>
      </c>
      <c r="L659" s="67">
        <f>J659/K659</f>
        <v>0.03455586743877478</v>
      </c>
      <c r="M659" s="32">
        <v>314.465</v>
      </c>
      <c r="N659" s="68">
        <f>L659*M659</f>
        <v>10.86661085413431</v>
      </c>
      <c r="O659" s="68">
        <f>L659*60*1000</f>
        <v>2073.3520463264863</v>
      </c>
      <c r="P659" s="69">
        <f>O659*M659/1000</f>
        <v>651.9966512480585</v>
      </c>
      <c r="R659" s="10"/>
      <c r="S659" s="10"/>
    </row>
    <row r="660" spans="1:19" s="9" customFormat="1" ht="12.75" customHeight="1">
      <c r="A660" s="220"/>
      <c r="B660" s="52" t="s">
        <v>938</v>
      </c>
      <c r="C660" s="29">
        <v>72</v>
      </c>
      <c r="D660" s="29">
        <v>1982</v>
      </c>
      <c r="E660" s="39">
        <f>SUM(F660+G660+H660)</f>
        <v>48.269</v>
      </c>
      <c r="F660" s="37">
        <v>2.917</v>
      </c>
      <c r="G660" s="37">
        <v>3.52</v>
      </c>
      <c r="H660" s="37">
        <v>41.832</v>
      </c>
      <c r="I660" s="36">
        <v>1210.5</v>
      </c>
      <c r="J660" s="37">
        <v>41.832</v>
      </c>
      <c r="K660" s="36">
        <v>1210.5</v>
      </c>
      <c r="L660" s="67">
        <f>J660/K660</f>
        <v>0.034557620817843866</v>
      </c>
      <c r="M660" s="32">
        <v>283.51</v>
      </c>
      <c r="N660" s="68">
        <f>L660*M660</f>
        <v>9.797431078066914</v>
      </c>
      <c r="O660" s="68">
        <f>L660*60*1000</f>
        <v>2073.457249070632</v>
      </c>
      <c r="P660" s="69">
        <f>O660*M660/1000</f>
        <v>587.8458646840148</v>
      </c>
      <c r="R660" s="10"/>
      <c r="S660" s="10"/>
    </row>
    <row r="661" spans="1:19" s="9" customFormat="1" ht="12.75" customHeight="1">
      <c r="A661" s="220"/>
      <c r="B661" s="66" t="s">
        <v>366</v>
      </c>
      <c r="C661" s="29">
        <v>21</v>
      </c>
      <c r="D661" s="29">
        <v>1974</v>
      </c>
      <c r="E661" s="39">
        <f>F661+G661+H661</f>
        <v>37.41</v>
      </c>
      <c r="F661" s="39">
        <v>0</v>
      </c>
      <c r="G661" s="39">
        <v>0</v>
      </c>
      <c r="H661" s="39">
        <v>37.41</v>
      </c>
      <c r="I661" s="74">
        <v>1145.06</v>
      </c>
      <c r="J661" s="39">
        <v>37.41</v>
      </c>
      <c r="K661" s="74">
        <v>1081.36</v>
      </c>
      <c r="L661" s="67">
        <f>J661/K661</f>
        <v>0.034595324406303175</v>
      </c>
      <c r="M661" s="32">
        <v>314.9</v>
      </c>
      <c r="N661" s="68">
        <f>L661*M661</f>
        <v>10.89406765554487</v>
      </c>
      <c r="O661" s="68">
        <f>L661*60*1000</f>
        <v>2075.7194643781904</v>
      </c>
      <c r="P661" s="69">
        <f>O661*M661/1000</f>
        <v>653.6440593326921</v>
      </c>
      <c r="R661" s="10"/>
      <c r="S661" s="10"/>
    </row>
    <row r="662" spans="1:19" s="9" customFormat="1" ht="12.75" customHeight="1">
      <c r="A662" s="220"/>
      <c r="B662" s="313" t="s">
        <v>559</v>
      </c>
      <c r="C662" s="314">
        <v>10</v>
      </c>
      <c r="D662" s="315" t="s">
        <v>24</v>
      </c>
      <c r="E662" s="307">
        <v>22.43</v>
      </c>
      <c r="F662" s="307">
        <v>1.37</v>
      </c>
      <c r="G662" s="308">
        <v>1.76</v>
      </c>
      <c r="H662" s="307">
        <v>19.3</v>
      </c>
      <c r="I662" s="309">
        <v>552.99</v>
      </c>
      <c r="J662" s="307">
        <v>17.99</v>
      </c>
      <c r="K662" s="310">
        <v>519.54</v>
      </c>
      <c r="L662" s="67">
        <f>J662/K662</f>
        <v>0.03462678523309081</v>
      </c>
      <c r="M662" s="32">
        <v>266.83</v>
      </c>
      <c r="N662" s="68">
        <f>L662*M662</f>
        <v>9.239465103745621</v>
      </c>
      <c r="O662" s="68">
        <f>L662*60*1000</f>
        <v>2077.6071139854484</v>
      </c>
      <c r="P662" s="69">
        <f>O662*M662/1000</f>
        <v>554.3679062247372</v>
      </c>
      <c r="R662" s="10"/>
      <c r="S662" s="10"/>
    </row>
    <row r="663" spans="1:19" s="9" customFormat="1" ht="12.75" customHeight="1">
      <c r="A663" s="220"/>
      <c r="B663" s="66" t="s">
        <v>879</v>
      </c>
      <c r="C663" s="29">
        <v>20</v>
      </c>
      <c r="D663" s="29">
        <v>1982</v>
      </c>
      <c r="E663" s="39">
        <v>40.674</v>
      </c>
      <c r="F663" s="39">
        <v>1.326</v>
      </c>
      <c r="G663" s="39">
        <v>3.491</v>
      </c>
      <c r="H663" s="39">
        <v>35.857</v>
      </c>
      <c r="I663" s="74">
        <v>1036.5</v>
      </c>
      <c r="J663" s="39">
        <v>35.9</v>
      </c>
      <c r="K663" s="74">
        <v>1036.5</v>
      </c>
      <c r="L663" s="67">
        <f>J663/K663</f>
        <v>0.03463579353593825</v>
      </c>
      <c r="M663" s="32">
        <v>223.12</v>
      </c>
      <c r="N663" s="68">
        <f>L663*M663</f>
        <v>7.727938253738542</v>
      </c>
      <c r="O663" s="68">
        <f>L663*60*1000</f>
        <v>2078.147612156295</v>
      </c>
      <c r="P663" s="69">
        <f>O663*M663/1000</f>
        <v>463.6762952243126</v>
      </c>
      <c r="R663" s="10"/>
      <c r="S663" s="10"/>
    </row>
    <row r="664" spans="1:19" s="9" customFormat="1" ht="12.75" customHeight="1">
      <c r="A664" s="220"/>
      <c r="B664" s="66" t="s">
        <v>321</v>
      </c>
      <c r="C664" s="29">
        <v>4</v>
      </c>
      <c r="D664" s="29">
        <v>1930</v>
      </c>
      <c r="E664" s="39">
        <v>11.433</v>
      </c>
      <c r="F664" s="39">
        <v>0.306</v>
      </c>
      <c r="G664" s="39">
        <v>0.07</v>
      </c>
      <c r="H664" s="39">
        <v>11.057</v>
      </c>
      <c r="I664" s="74">
        <v>319.18</v>
      </c>
      <c r="J664" s="39">
        <v>5.54</v>
      </c>
      <c r="K664" s="74">
        <v>159.84</v>
      </c>
      <c r="L664" s="67">
        <f>J664/K664</f>
        <v>0.034659659659659656</v>
      </c>
      <c r="M664" s="32">
        <v>337.137</v>
      </c>
      <c r="N664" s="68">
        <f>L664*M664</f>
        <v>11.685053678678678</v>
      </c>
      <c r="O664" s="68">
        <f>L664*60*1000</f>
        <v>2079.5795795795793</v>
      </c>
      <c r="P664" s="69">
        <f>O664*M664/1000</f>
        <v>701.1032207207206</v>
      </c>
      <c r="R664" s="10"/>
      <c r="S664" s="10"/>
    </row>
    <row r="665" spans="1:19" s="9" customFormat="1" ht="12.75" customHeight="1">
      <c r="A665" s="220"/>
      <c r="B665" s="66" t="s">
        <v>688</v>
      </c>
      <c r="C665" s="29">
        <v>8</v>
      </c>
      <c r="D665" s="29" t="s">
        <v>24</v>
      </c>
      <c r="E665" s="39">
        <v>14.4</v>
      </c>
      <c r="F665" s="39">
        <v>0.56</v>
      </c>
      <c r="G665" s="39">
        <v>0.08</v>
      </c>
      <c r="H665" s="39">
        <v>13.76</v>
      </c>
      <c r="I665" s="74">
        <v>397</v>
      </c>
      <c r="J665" s="39">
        <v>13.76</v>
      </c>
      <c r="K665" s="74">
        <v>397</v>
      </c>
      <c r="L665" s="67">
        <f>J665/K665</f>
        <v>0.034659949622166245</v>
      </c>
      <c r="M665" s="32">
        <v>235.3</v>
      </c>
      <c r="N665" s="68">
        <f>L665*M665</f>
        <v>8.155486146095718</v>
      </c>
      <c r="O665" s="68">
        <f>L665*60*1000</f>
        <v>2079.596977329975</v>
      </c>
      <c r="P665" s="69">
        <f>O665*M665/1000</f>
        <v>489.3291687657431</v>
      </c>
      <c r="R665" s="10"/>
      <c r="S665" s="10"/>
    </row>
    <row r="666" spans="1:19" s="9" customFormat="1" ht="12.75" customHeight="1">
      <c r="A666" s="220"/>
      <c r="B666" s="52" t="s">
        <v>161</v>
      </c>
      <c r="C666" s="25">
        <v>9</v>
      </c>
      <c r="D666" s="25" t="s">
        <v>24</v>
      </c>
      <c r="E666" s="37">
        <f>F666+G666+H666</f>
        <v>24.9659</v>
      </c>
      <c r="F666" s="37">
        <v>1.4573</v>
      </c>
      <c r="G666" s="37">
        <v>1.44</v>
      </c>
      <c r="H666" s="37">
        <v>22.0686</v>
      </c>
      <c r="I666" s="36">
        <v>635.51</v>
      </c>
      <c r="J666" s="37">
        <v>22.0686</v>
      </c>
      <c r="K666" s="36">
        <v>635.51</v>
      </c>
      <c r="L666" s="295">
        <f>J666/K666</f>
        <v>0.034725810766156315</v>
      </c>
      <c r="M666" s="296">
        <v>210</v>
      </c>
      <c r="N666" s="296">
        <f>L666*M666</f>
        <v>7.292420260892826</v>
      </c>
      <c r="O666" s="296">
        <f>L666*1000*60</f>
        <v>2083.548645969379</v>
      </c>
      <c r="P666" s="332">
        <f>N666*60</f>
        <v>437.5452156535696</v>
      </c>
      <c r="R666" s="10"/>
      <c r="S666" s="10"/>
    </row>
    <row r="667" spans="1:19" s="9" customFormat="1" ht="12.75" customHeight="1">
      <c r="A667" s="220"/>
      <c r="B667" s="52" t="s">
        <v>790</v>
      </c>
      <c r="C667" s="25">
        <v>19</v>
      </c>
      <c r="D667" s="25" t="s">
        <v>24</v>
      </c>
      <c r="E667" s="37">
        <f>SUM(F667:H667)</f>
        <v>23.3</v>
      </c>
      <c r="F667" s="208">
        <v>1.1</v>
      </c>
      <c r="G667" s="208">
        <v>0.2</v>
      </c>
      <c r="H667" s="208">
        <v>22</v>
      </c>
      <c r="I667" s="36">
        <v>617.38</v>
      </c>
      <c r="J667" s="37">
        <v>16.47</v>
      </c>
      <c r="K667" s="36">
        <v>474.16</v>
      </c>
      <c r="L667" s="67">
        <f>J667/K667</f>
        <v>0.03473511051121984</v>
      </c>
      <c r="M667" s="32">
        <v>204.4</v>
      </c>
      <c r="N667" s="68">
        <f>L667*M667</f>
        <v>7.099856588493335</v>
      </c>
      <c r="O667" s="68">
        <f>L667*60*1000</f>
        <v>2084.1066306731905</v>
      </c>
      <c r="P667" s="69">
        <f>O667*M667/1000</f>
        <v>425.99139530960014</v>
      </c>
      <c r="R667" s="10"/>
      <c r="S667" s="10"/>
    </row>
    <row r="668" spans="1:19" s="9" customFormat="1" ht="12.75" customHeight="1">
      <c r="A668" s="220"/>
      <c r="B668" s="66" t="s">
        <v>822</v>
      </c>
      <c r="C668" s="29">
        <v>22</v>
      </c>
      <c r="D668" s="29" t="s">
        <v>24</v>
      </c>
      <c r="E668" s="39">
        <f>F668+G668+H668</f>
        <v>47.04</v>
      </c>
      <c r="F668" s="39">
        <v>1.675</v>
      </c>
      <c r="G668" s="39">
        <v>3.52</v>
      </c>
      <c r="H668" s="39">
        <v>41.845</v>
      </c>
      <c r="I668" s="74">
        <v>1204.65</v>
      </c>
      <c r="J668" s="39">
        <v>41.845</v>
      </c>
      <c r="K668" s="74">
        <v>1204.65</v>
      </c>
      <c r="L668" s="67">
        <f>J668/K668</f>
        <v>0.03473623044037687</v>
      </c>
      <c r="M668" s="29">
        <v>350.76</v>
      </c>
      <c r="N668" s="68">
        <f>L668*M668</f>
        <v>12.18408018926659</v>
      </c>
      <c r="O668" s="68">
        <f>L668*60*1000</f>
        <v>2084.173826422612</v>
      </c>
      <c r="P668" s="69">
        <f>O668*M668/1000</f>
        <v>731.0448113559953</v>
      </c>
      <c r="R668" s="45"/>
      <c r="S668" s="10"/>
    </row>
    <row r="669" spans="1:19" s="9" customFormat="1" ht="12.75" customHeight="1">
      <c r="A669" s="220"/>
      <c r="B669" s="52" t="s">
        <v>175</v>
      </c>
      <c r="C669" s="25">
        <v>8</v>
      </c>
      <c r="D669" s="25">
        <v>1976</v>
      </c>
      <c r="E669" s="37">
        <v>14.1</v>
      </c>
      <c r="F669" s="37"/>
      <c r="G669" s="37"/>
      <c r="H669" s="37">
        <v>14.1</v>
      </c>
      <c r="I669" s="36">
        <v>404.24</v>
      </c>
      <c r="J669" s="37">
        <v>14.1</v>
      </c>
      <c r="K669" s="36">
        <v>404.24</v>
      </c>
      <c r="L669" s="295">
        <f>J669/K669</f>
        <v>0.03488026914704136</v>
      </c>
      <c r="M669" s="296">
        <v>263.899</v>
      </c>
      <c r="N669" s="296">
        <f>L669*M669</f>
        <v>9.204868147635066</v>
      </c>
      <c r="O669" s="296">
        <f>L669*1000*60</f>
        <v>2092.8161488224814</v>
      </c>
      <c r="P669" s="332">
        <f>N669*60</f>
        <v>552.292088858104</v>
      </c>
      <c r="R669" s="10"/>
      <c r="S669" s="10"/>
    </row>
    <row r="670" spans="1:19" s="9" customFormat="1" ht="12.75" customHeight="1">
      <c r="A670" s="220"/>
      <c r="B670" s="291" t="s">
        <v>219</v>
      </c>
      <c r="C670" s="292">
        <v>24</v>
      </c>
      <c r="D670" s="29">
        <v>1962</v>
      </c>
      <c r="E670" s="39">
        <f>F670+G670+H670</f>
        <v>40.130002</v>
      </c>
      <c r="F670" s="293">
        <v>1.4280000000000002</v>
      </c>
      <c r="G670" s="293">
        <v>0</v>
      </c>
      <c r="H670" s="293">
        <v>38.702002</v>
      </c>
      <c r="I670" s="294">
        <v>1108.08</v>
      </c>
      <c r="J670" s="293">
        <v>38.702002</v>
      </c>
      <c r="K670" s="294">
        <v>1108.08</v>
      </c>
      <c r="L670" s="67">
        <f>J670/K670</f>
        <v>0.034927082882102375</v>
      </c>
      <c r="M670" s="32">
        <v>314.465</v>
      </c>
      <c r="N670" s="68">
        <f>L670*M670</f>
        <v>10.983345118520322</v>
      </c>
      <c r="O670" s="68">
        <f>L670*60*1000</f>
        <v>2095.6249729261426</v>
      </c>
      <c r="P670" s="69">
        <f>O670*M670/1000</f>
        <v>659.0007071112194</v>
      </c>
      <c r="R670" s="10"/>
      <c r="S670" s="10"/>
    </row>
    <row r="671" spans="1:19" s="9" customFormat="1" ht="12.75" customHeight="1">
      <c r="A671" s="220"/>
      <c r="B671" s="66" t="s">
        <v>641</v>
      </c>
      <c r="C671" s="29">
        <v>6</v>
      </c>
      <c r="D671" s="29">
        <v>1956</v>
      </c>
      <c r="E671" s="39">
        <f>F671+G671+H671</f>
        <v>12.8</v>
      </c>
      <c r="F671" s="39">
        <v>0.38</v>
      </c>
      <c r="G671" s="39">
        <v>0.96</v>
      </c>
      <c r="H671" s="39">
        <v>11.46</v>
      </c>
      <c r="I671" s="74">
        <v>327.26</v>
      </c>
      <c r="J671" s="39">
        <v>11.46</v>
      </c>
      <c r="K671" s="74">
        <v>327.26</v>
      </c>
      <c r="L671" s="67">
        <f>J671/K671</f>
        <v>0.03501802847888529</v>
      </c>
      <c r="M671" s="32">
        <v>314.9</v>
      </c>
      <c r="N671" s="68">
        <f>L671*M671</f>
        <v>11.027177168000978</v>
      </c>
      <c r="O671" s="68">
        <f>L671*60*1000</f>
        <v>2101.081708733118</v>
      </c>
      <c r="P671" s="69">
        <f>O671*M671/1000</f>
        <v>661.6306300800588</v>
      </c>
      <c r="R671" s="10"/>
      <c r="S671" s="10"/>
    </row>
    <row r="672" spans="1:25" s="9" customFormat="1" ht="12.75" customHeight="1">
      <c r="A672" s="220"/>
      <c r="B672" s="52" t="s">
        <v>69</v>
      </c>
      <c r="C672" s="25">
        <v>82</v>
      </c>
      <c r="D672" s="25">
        <v>1962</v>
      </c>
      <c r="E672" s="37">
        <v>52.66</v>
      </c>
      <c r="F672" s="37">
        <v>5.29</v>
      </c>
      <c r="G672" s="37"/>
      <c r="H672" s="37">
        <f>E672-F672-G672</f>
        <v>47.37</v>
      </c>
      <c r="I672" s="36">
        <v>1348.7</v>
      </c>
      <c r="J672" s="37">
        <f>H672/I672*K672</f>
        <v>44.25461555572032</v>
      </c>
      <c r="K672" s="25">
        <v>1260</v>
      </c>
      <c r="L672" s="295">
        <f>J672/K672</f>
        <v>0.03512271075850819</v>
      </c>
      <c r="M672" s="296">
        <v>323.29400000000004</v>
      </c>
      <c r="N672" s="296">
        <f>L672*M672</f>
        <v>11.354961651961148</v>
      </c>
      <c r="O672" s="296">
        <f>L672*60*1000</f>
        <v>2107.3626455104913</v>
      </c>
      <c r="P672" s="332">
        <f>O672*M672/1000</f>
        <v>681.2976991176689</v>
      </c>
      <c r="Q672" s="10"/>
      <c r="R672" s="10"/>
      <c r="S672" s="10"/>
      <c r="T672" s="12"/>
      <c r="U672" s="13"/>
      <c r="V672" s="13"/>
      <c r="X672" s="14"/>
      <c r="Y672" s="14"/>
    </row>
    <row r="673" spans="1:19" s="9" customFormat="1" ht="12.75" customHeight="1">
      <c r="A673" s="220"/>
      <c r="B673" s="52" t="s">
        <v>788</v>
      </c>
      <c r="C673" s="25">
        <v>41</v>
      </c>
      <c r="D673" s="25" t="s">
        <v>24</v>
      </c>
      <c r="E673" s="37">
        <f>SUM(F673:H673)</f>
        <v>71.7</v>
      </c>
      <c r="F673" s="208">
        <v>3.5</v>
      </c>
      <c r="G673" s="208">
        <v>0.4</v>
      </c>
      <c r="H673" s="208">
        <v>67.8</v>
      </c>
      <c r="I673" s="36">
        <v>1881.35</v>
      </c>
      <c r="J673" s="37">
        <v>62.9</v>
      </c>
      <c r="K673" s="36">
        <v>1790.34</v>
      </c>
      <c r="L673" s="67">
        <f>J673/K673</f>
        <v>0.03513299149882145</v>
      </c>
      <c r="M673" s="32">
        <v>204.4</v>
      </c>
      <c r="N673" s="68">
        <f>L673*M673</f>
        <v>7.181183462359105</v>
      </c>
      <c r="O673" s="68">
        <f>L673*60*1000</f>
        <v>2107.9794899292874</v>
      </c>
      <c r="P673" s="69">
        <f>O673*M673/1000</f>
        <v>430.87100774154635</v>
      </c>
      <c r="R673" s="10"/>
      <c r="S673" s="10"/>
    </row>
    <row r="674" spans="1:19" s="9" customFormat="1" ht="12.75" customHeight="1">
      <c r="A674" s="220"/>
      <c r="B674" s="66" t="s">
        <v>363</v>
      </c>
      <c r="C674" s="29">
        <v>29</v>
      </c>
      <c r="D674" s="29">
        <v>1960</v>
      </c>
      <c r="E674" s="39">
        <f>F674+G674+H674</f>
        <v>41.8</v>
      </c>
      <c r="F674" s="39">
        <v>0</v>
      </c>
      <c r="G674" s="39">
        <v>0</v>
      </c>
      <c r="H674" s="39">
        <v>41.8</v>
      </c>
      <c r="I674" s="74">
        <v>1187.67</v>
      </c>
      <c r="J674" s="39">
        <v>41.8</v>
      </c>
      <c r="K674" s="74">
        <v>1187.67</v>
      </c>
      <c r="L674" s="67">
        <f>J674/K674</f>
        <v>0.035194961563397235</v>
      </c>
      <c r="M674" s="32">
        <v>314.9</v>
      </c>
      <c r="N674" s="68">
        <f>L674*M674</f>
        <v>11.08289339631379</v>
      </c>
      <c r="O674" s="68">
        <f>L674*60*1000</f>
        <v>2111.697693803834</v>
      </c>
      <c r="P674" s="69">
        <f>O674*M674/1000</f>
        <v>664.9736037788274</v>
      </c>
      <c r="R674" s="10"/>
      <c r="S674" s="10"/>
    </row>
    <row r="675" spans="1:19" s="9" customFormat="1" ht="12.75" customHeight="1">
      <c r="A675" s="220"/>
      <c r="B675" s="52" t="s">
        <v>789</v>
      </c>
      <c r="C675" s="25">
        <v>44</v>
      </c>
      <c r="D675" s="25" t="s">
        <v>24</v>
      </c>
      <c r="E675" s="37">
        <f>SUM(F675:H675)</f>
        <v>71.39999999999999</v>
      </c>
      <c r="F675" s="208">
        <v>2.7</v>
      </c>
      <c r="G675" s="208">
        <v>0.4</v>
      </c>
      <c r="H675" s="208">
        <v>68.3</v>
      </c>
      <c r="I675" s="36">
        <v>1849.35</v>
      </c>
      <c r="J675" s="37">
        <v>60.6</v>
      </c>
      <c r="K675" s="36">
        <v>1721.5</v>
      </c>
      <c r="L675" s="67">
        <f>J675/K675</f>
        <v>0.03520185884403137</v>
      </c>
      <c r="M675" s="32">
        <v>204.4</v>
      </c>
      <c r="N675" s="68">
        <f>L675*M675</f>
        <v>7.195259947720012</v>
      </c>
      <c r="O675" s="68">
        <f>L675*60*1000</f>
        <v>2112.111530641882</v>
      </c>
      <c r="P675" s="69">
        <f>O675*M675/1000</f>
        <v>431.71559686320063</v>
      </c>
      <c r="R675" s="10"/>
      <c r="S675" s="10"/>
    </row>
    <row r="676" spans="1:19" s="9" customFormat="1" ht="12.75" customHeight="1">
      <c r="A676" s="220"/>
      <c r="B676" s="66" t="s">
        <v>837</v>
      </c>
      <c r="C676" s="29">
        <v>7</v>
      </c>
      <c r="D676" s="29" t="s">
        <v>24</v>
      </c>
      <c r="E676" s="39">
        <v>12.9</v>
      </c>
      <c r="F676" s="39">
        <v>0</v>
      </c>
      <c r="G676" s="39">
        <v>0</v>
      </c>
      <c r="H676" s="39">
        <f>+E676-F676-G676</f>
        <v>12.9</v>
      </c>
      <c r="I676" s="290"/>
      <c r="J676" s="39">
        <f>+H676</f>
        <v>12.9</v>
      </c>
      <c r="K676" s="74">
        <v>366.13</v>
      </c>
      <c r="L676" s="67">
        <f>J676/K676</f>
        <v>0.035233387048316175</v>
      </c>
      <c r="M676" s="32">
        <f>+M670</f>
        <v>314.465</v>
      </c>
      <c r="N676" s="68">
        <f>L676*M676</f>
        <v>11.079667058148745</v>
      </c>
      <c r="O676" s="68">
        <f>L676*60*1000</f>
        <v>2114.0032228989708</v>
      </c>
      <c r="P676" s="69">
        <f>O676*M676/1000</f>
        <v>664.7800234889248</v>
      </c>
      <c r="R676" s="10"/>
      <c r="S676" s="10"/>
    </row>
    <row r="677" spans="1:19" s="9" customFormat="1" ht="12.75" customHeight="1">
      <c r="A677" s="220"/>
      <c r="B677" s="52" t="s">
        <v>269</v>
      </c>
      <c r="C677" s="25">
        <v>4</v>
      </c>
      <c r="D677" s="25" t="s">
        <v>24</v>
      </c>
      <c r="E677" s="37">
        <f>F677+G677+H677</f>
        <v>4.2161</v>
      </c>
      <c r="F677" s="37">
        <v>0.1682</v>
      </c>
      <c r="G677" s="37">
        <v>0.32</v>
      </c>
      <c r="H677" s="37">
        <v>3.7279</v>
      </c>
      <c r="I677" s="36">
        <v>105.63</v>
      </c>
      <c r="J677" s="37">
        <v>3.7279</v>
      </c>
      <c r="K677" s="36">
        <v>105.63</v>
      </c>
      <c r="L677" s="295">
        <f>J677/K677</f>
        <v>0.03529205718072517</v>
      </c>
      <c r="M677" s="296">
        <v>210</v>
      </c>
      <c r="N677" s="296">
        <f>L677*M677</f>
        <v>7.411332007952287</v>
      </c>
      <c r="O677" s="296">
        <f>L677*1000*60</f>
        <v>2117.5234308435106</v>
      </c>
      <c r="P677" s="332">
        <f>N677*60</f>
        <v>444.6799204771372</v>
      </c>
      <c r="R677" s="10"/>
      <c r="S677" s="10"/>
    </row>
    <row r="678" spans="1:19" s="9" customFormat="1" ht="12.75" customHeight="1">
      <c r="A678" s="220"/>
      <c r="B678" s="52" t="s">
        <v>791</v>
      </c>
      <c r="C678" s="25">
        <v>22</v>
      </c>
      <c r="D678" s="25" t="s">
        <v>24</v>
      </c>
      <c r="E678" s="37">
        <f>SUM(F678:H678)</f>
        <v>33.800000000000004</v>
      </c>
      <c r="F678" s="208">
        <v>1</v>
      </c>
      <c r="G678" s="208">
        <v>0.2</v>
      </c>
      <c r="H678" s="208">
        <v>32.6</v>
      </c>
      <c r="I678" s="36">
        <v>896.35</v>
      </c>
      <c r="J678" s="37">
        <v>22.6</v>
      </c>
      <c r="K678" s="36">
        <v>640.15</v>
      </c>
      <c r="L678" s="67">
        <f>J678/K678</f>
        <v>0.03530422557213154</v>
      </c>
      <c r="M678" s="32">
        <v>204.4</v>
      </c>
      <c r="N678" s="68">
        <f>L678*M678</f>
        <v>7.216183706943687</v>
      </c>
      <c r="O678" s="68">
        <f>L678*60*1000</f>
        <v>2118.2535343278923</v>
      </c>
      <c r="P678" s="69">
        <f>O678*M678/1000</f>
        <v>432.9710224166212</v>
      </c>
      <c r="R678" s="10"/>
      <c r="S678" s="10"/>
    </row>
    <row r="679" spans="1:19" s="9" customFormat="1" ht="12.75" customHeight="1">
      <c r="A679" s="220"/>
      <c r="B679" s="66" t="s">
        <v>513</v>
      </c>
      <c r="C679" s="29">
        <v>6</v>
      </c>
      <c r="D679" s="29">
        <v>1930</v>
      </c>
      <c r="E679" s="39">
        <v>17.2</v>
      </c>
      <c r="F679" s="39">
        <v>0.697</v>
      </c>
      <c r="G679" s="39">
        <v>0.237</v>
      </c>
      <c r="H679" s="39">
        <f>E679-F679-G679</f>
        <v>16.266000000000002</v>
      </c>
      <c r="I679" s="74">
        <v>459.14</v>
      </c>
      <c r="J679" s="39">
        <f>H679</f>
        <v>16.266000000000002</v>
      </c>
      <c r="K679" s="74">
        <f>I679</f>
        <v>459.14</v>
      </c>
      <c r="L679" s="67">
        <f>J679/K679</f>
        <v>0.03542710284444832</v>
      </c>
      <c r="M679" s="32">
        <v>279.476</v>
      </c>
      <c r="N679" s="68">
        <f>L679*M679</f>
        <v>9.901024994555039</v>
      </c>
      <c r="O679" s="68">
        <f>L679*60*1000</f>
        <v>2125.6261706668993</v>
      </c>
      <c r="P679" s="69">
        <f>O679*M679/1000</f>
        <v>594.0614996733023</v>
      </c>
      <c r="R679" s="10"/>
      <c r="S679" s="10"/>
    </row>
    <row r="680" spans="1:19" s="9" customFormat="1" ht="12.75" customHeight="1">
      <c r="A680" s="220"/>
      <c r="B680" s="52" t="s">
        <v>298</v>
      </c>
      <c r="C680" s="25">
        <v>55</v>
      </c>
      <c r="D680" s="25">
        <v>1977</v>
      </c>
      <c r="E680" s="37">
        <v>92.24</v>
      </c>
      <c r="F680" s="37">
        <v>4.91</v>
      </c>
      <c r="G680" s="37">
        <v>8.56</v>
      </c>
      <c r="H680" s="37">
        <f>E680-F680-G680</f>
        <v>78.77</v>
      </c>
      <c r="I680" s="36">
        <v>2217.3</v>
      </c>
      <c r="J680" s="37">
        <f>H680/I680*K680</f>
        <v>78.75934244351237</v>
      </c>
      <c r="K680" s="25">
        <v>2217</v>
      </c>
      <c r="L680" s="295">
        <f>J680/K680</f>
        <v>0.035525188292066925</v>
      </c>
      <c r="M680" s="296">
        <v>323.29400000000004</v>
      </c>
      <c r="N680" s="296">
        <f>L680*M680</f>
        <v>11.485080223695485</v>
      </c>
      <c r="O680" s="296">
        <f>L680*60*1000</f>
        <v>2131.5112975240154</v>
      </c>
      <c r="P680" s="332">
        <f>O680*M680/1000</f>
        <v>689.1048134217291</v>
      </c>
      <c r="R680" s="10"/>
      <c r="S680" s="10"/>
    </row>
    <row r="681" spans="1:19" s="9" customFormat="1" ht="12.75" customHeight="1">
      <c r="A681" s="220"/>
      <c r="B681" s="66" t="s">
        <v>631</v>
      </c>
      <c r="C681" s="29">
        <v>48</v>
      </c>
      <c r="D681" s="29">
        <v>1981</v>
      </c>
      <c r="E681" s="39">
        <v>56.327002</v>
      </c>
      <c r="F681" s="39">
        <v>1.615425</v>
      </c>
      <c r="G681" s="39">
        <v>0.42</v>
      </c>
      <c r="H681" s="39">
        <v>54.291577</v>
      </c>
      <c r="I681" s="74">
        <v>1526.37</v>
      </c>
      <c r="J681" s="39">
        <v>53.067645</v>
      </c>
      <c r="K681" s="74">
        <v>1491.96</v>
      </c>
      <c r="L681" s="67">
        <f>J681/K681</f>
        <v>0.03556908027024853</v>
      </c>
      <c r="M681" s="32">
        <v>254</v>
      </c>
      <c r="N681" s="68">
        <f>L681*M681</f>
        <v>9.034546388643125</v>
      </c>
      <c r="O681" s="68">
        <f>L681*60*1000</f>
        <v>2134.1448162149118</v>
      </c>
      <c r="P681" s="69">
        <f>O681*M681/1000</f>
        <v>542.0727833185875</v>
      </c>
      <c r="Q681" s="11"/>
      <c r="R681" s="10"/>
      <c r="S681" s="10"/>
    </row>
    <row r="682" spans="1:19" s="9" customFormat="1" ht="12.75" customHeight="1">
      <c r="A682" s="220"/>
      <c r="B682" s="291" t="s">
        <v>139</v>
      </c>
      <c r="C682" s="292">
        <v>48</v>
      </c>
      <c r="D682" s="29">
        <v>1964</v>
      </c>
      <c r="E682" s="39">
        <f>F682+G682+H682</f>
        <v>34.649444</v>
      </c>
      <c r="F682" s="293">
        <v>3.882375</v>
      </c>
      <c r="G682" s="293">
        <v>0</v>
      </c>
      <c r="H682" s="293">
        <v>30.767069000000003</v>
      </c>
      <c r="I682" s="294">
        <v>1215.63</v>
      </c>
      <c r="J682" s="293">
        <v>30.767069000000003</v>
      </c>
      <c r="K682" s="294">
        <v>863.98</v>
      </c>
      <c r="L682" s="67">
        <f>J682/K682</f>
        <v>0.03561085789022894</v>
      </c>
      <c r="M682" s="32">
        <v>314.465</v>
      </c>
      <c r="N682" s="68">
        <f>L682*M682</f>
        <v>11.198368426450843</v>
      </c>
      <c r="O682" s="68">
        <f>L682*60*1000</f>
        <v>2136.6514734137363</v>
      </c>
      <c r="P682" s="69">
        <f>O682*M682/1000</f>
        <v>671.9021055870505</v>
      </c>
      <c r="R682" s="10"/>
      <c r="S682" s="10"/>
    </row>
    <row r="683" spans="1:19" s="9" customFormat="1" ht="12.75" customHeight="1">
      <c r="A683" s="220"/>
      <c r="B683" s="52" t="s">
        <v>264</v>
      </c>
      <c r="C683" s="25">
        <v>11</v>
      </c>
      <c r="D683" s="25">
        <v>1966</v>
      </c>
      <c r="E683" s="37">
        <f>SUM(F683:H683)</f>
        <v>15.888999</v>
      </c>
      <c r="F683" s="37"/>
      <c r="G683" s="37"/>
      <c r="H683" s="37">
        <v>15.888999</v>
      </c>
      <c r="I683" s="36">
        <v>445.12</v>
      </c>
      <c r="J683" s="37">
        <v>15.888999</v>
      </c>
      <c r="K683" s="36">
        <v>445.12</v>
      </c>
      <c r="L683" s="295">
        <f>J683/K683</f>
        <v>0.03569598984543494</v>
      </c>
      <c r="M683" s="296">
        <v>284.9</v>
      </c>
      <c r="N683" s="296">
        <f>L683*M683*1.09</f>
        <v>11.085068382591214</v>
      </c>
      <c r="O683" s="296">
        <f>L683*60*1000</f>
        <v>2141.759390726096</v>
      </c>
      <c r="P683" s="332">
        <f>N683*60</f>
        <v>665.1041029554729</v>
      </c>
      <c r="R683" s="10"/>
      <c r="S683" s="10"/>
    </row>
    <row r="684" spans="1:22" s="9" customFormat="1" ht="12.75" customHeight="1">
      <c r="A684" s="220"/>
      <c r="B684" s="66" t="s">
        <v>257</v>
      </c>
      <c r="C684" s="29">
        <v>16</v>
      </c>
      <c r="D684" s="29">
        <v>1960</v>
      </c>
      <c r="E684" s="39">
        <v>24.066401</v>
      </c>
      <c r="F684" s="39">
        <v>0.816</v>
      </c>
      <c r="G684" s="39">
        <v>1.51</v>
      </c>
      <c r="H684" s="39">
        <v>21.740401</v>
      </c>
      <c r="I684" s="74">
        <v>608.3</v>
      </c>
      <c r="J684" s="39">
        <v>20.36121</v>
      </c>
      <c r="K684" s="74">
        <v>569.71</v>
      </c>
      <c r="L684" s="67">
        <v>0.035739</v>
      </c>
      <c r="M684" s="32">
        <v>302.373</v>
      </c>
      <c r="N684" s="68">
        <f>L684*M684</f>
        <v>10.806508647</v>
      </c>
      <c r="O684" s="68">
        <f>L684*60*1000</f>
        <v>2144.34</v>
      </c>
      <c r="P684" s="69">
        <f>N684*60</f>
        <v>648.39051882</v>
      </c>
      <c r="Q684" s="10"/>
      <c r="R684" s="10"/>
      <c r="S684" s="10"/>
      <c r="T684" s="12"/>
      <c r="U684" s="13"/>
      <c r="V684" s="13"/>
    </row>
    <row r="685" spans="1:19" s="9" customFormat="1" ht="12.75" customHeight="1">
      <c r="A685" s="220"/>
      <c r="B685" s="66" t="s">
        <v>286</v>
      </c>
      <c r="C685" s="29">
        <v>8</v>
      </c>
      <c r="D685" s="29" t="s">
        <v>24</v>
      </c>
      <c r="E685" s="39">
        <v>14.3</v>
      </c>
      <c r="F685" s="39">
        <v>0</v>
      </c>
      <c r="G685" s="39">
        <v>0</v>
      </c>
      <c r="H685" s="39">
        <f>+E685-F685-G685</f>
        <v>14.3</v>
      </c>
      <c r="I685" s="290"/>
      <c r="J685" s="39">
        <f>+H685</f>
        <v>14.3</v>
      </c>
      <c r="K685" s="74">
        <v>397.76</v>
      </c>
      <c r="L685" s="67">
        <f>J685/K685</f>
        <v>0.03595132743362832</v>
      </c>
      <c r="M685" s="32">
        <f>+M680</f>
        <v>323.29400000000004</v>
      </c>
      <c r="N685" s="68">
        <f>L685*M685</f>
        <v>11.622848451327435</v>
      </c>
      <c r="O685" s="68">
        <f>L685*60*1000</f>
        <v>2157.0796460176994</v>
      </c>
      <c r="P685" s="69">
        <f>O685*M685/1000</f>
        <v>697.3709070796461</v>
      </c>
      <c r="R685" s="10"/>
      <c r="S685" s="10"/>
    </row>
    <row r="686" spans="1:19" s="9" customFormat="1" ht="12.75" customHeight="1" thickBot="1">
      <c r="A686" s="344"/>
      <c r="B686" s="336" t="s">
        <v>632</v>
      </c>
      <c r="C686" s="337">
        <v>18</v>
      </c>
      <c r="D686" s="337">
        <v>1967</v>
      </c>
      <c r="E686" s="338">
        <v>22.796001</v>
      </c>
      <c r="F686" s="338">
        <v>1.326</v>
      </c>
      <c r="G686" s="338">
        <v>0</v>
      </c>
      <c r="H686" s="338">
        <v>21.470001</v>
      </c>
      <c r="I686" s="339">
        <v>597.08</v>
      </c>
      <c r="J686" s="338">
        <v>21.470001</v>
      </c>
      <c r="K686" s="339">
        <v>597.08</v>
      </c>
      <c r="L686" s="340">
        <f>J686/K686</f>
        <v>0.03595833221678837</v>
      </c>
      <c r="M686" s="341">
        <v>254</v>
      </c>
      <c r="N686" s="342">
        <f>L686*M686</f>
        <v>9.133416383064246</v>
      </c>
      <c r="O686" s="342">
        <f>L686*60*1000</f>
        <v>2157.499933007302</v>
      </c>
      <c r="P686" s="343">
        <f>O686*M686/1000</f>
        <v>548.0049829838547</v>
      </c>
      <c r="Q686" s="11"/>
      <c r="R686" s="45"/>
      <c r="S686" s="10"/>
    </row>
    <row r="687" spans="1:19" s="9" customFormat="1" ht="12.75" customHeight="1">
      <c r="A687" s="212" t="s">
        <v>950</v>
      </c>
      <c r="B687" s="334" t="s">
        <v>371</v>
      </c>
      <c r="C687" s="202">
        <v>14</v>
      </c>
      <c r="D687" s="335">
        <v>1968</v>
      </c>
      <c r="E687" s="120">
        <f>F687+G687+H687</f>
        <v>18.591835</v>
      </c>
      <c r="F687" s="198">
        <v>0</v>
      </c>
      <c r="G687" s="198">
        <v>0</v>
      </c>
      <c r="H687" s="198">
        <v>18.591835</v>
      </c>
      <c r="I687" s="199">
        <v>1020.08</v>
      </c>
      <c r="J687" s="198">
        <v>18.591835</v>
      </c>
      <c r="K687" s="199">
        <v>514.91</v>
      </c>
      <c r="L687" s="117">
        <f>J687/K687</f>
        <v>0.03610696043968849</v>
      </c>
      <c r="M687" s="123">
        <v>314.465</v>
      </c>
      <c r="N687" s="118">
        <f>L687*M687</f>
        <v>11.354375314666639</v>
      </c>
      <c r="O687" s="118">
        <f>L687*60*1000</f>
        <v>2166.417626381309</v>
      </c>
      <c r="P687" s="119">
        <f>O687*M687/1000</f>
        <v>681.2625188799983</v>
      </c>
      <c r="R687" s="10"/>
      <c r="S687" s="10"/>
    </row>
    <row r="688" spans="1:19" s="9" customFormat="1" ht="12.75" customHeight="1">
      <c r="A688" s="212"/>
      <c r="B688" s="80" t="s">
        <v>514</v>
      </c>
      <c r="C688" s="41">
        <v>30</v>
      </c>
      <c r="D688" s="41">
        <v>1984</v>
      </c>
      <c r="E688" s="89">
        <v>81.121</v>
      </c>
      <c r="F688" s="89">
        <v>6.147</v>
      </c>
      <c r="G688" s="89">
        <v>3</v>
      </c>
      <c r="H688" s="89">
        <f>E688-F688-G688</f>
        <v>71.97399999999999</v>
      </c>
      <c r="I688" s="83">
        <v>1991.2</v>
      </c>
      <c r="J688" s="89">
        <f>H688</f>
        <v>71.97399999999999</v>
      </c>
      <c r="K688" s="83">
        <f>I688</f>
        <v>1991.2</v>
      </c>
      <c r="L688" s="77">
        <f>J688/K688</f>
        <v>0.036146042587384485</v>
      </c>
      <c r="M688" s="42">
        <v>279.476</v>
      </c>
      <c r="N688" s="78">
        <f>L688*M688</f>
        <v>10.101951398151867</v>
      </c>
      <c r="O688" s="78">
        <f>L688*60*1000</f>
        <v>2168.762555243069</v>
      </c>
      <c r="P688" s="79">
        <f>O688*M688/1000</f>
        <v>606.117083889112</v>
      </c>
      <c r="R688" s="10"/>
      <c r="S688" s="10"/>
    </row>
    <row r="689" spans="1:19" s="9" customFormat="1" ht="12.75" customHeight="1">
      <c r="A689" s="212"/>
      <c r="B689" s="95" t="s">
        <v>689</v>
      </c>
      <c r="C689" s="41">
        <v>11</v>
      </c>
      <c r="D689" s="41" t="s">
        <v>24</v>
      </c>
      <c r="E689" s="89">
        <v>16.64</v>
      </c>
      <c r="F689" s="89">
        <v>0.36</v>
      </c>
      <c r="G689" s="89">
        <v>1.46</v>
      </c>
      <c r="H689" s="89">
        <v>14.82</v>
      </c>
      <c r="I689" s="41">
        <v>410</v>
      </c>
      <c r="J689" s="89">
        <v>14.82</v>
      </c>
      <c r="K689" s="41">
        <v>410</v>
      </c>
      <c r="L689" s="77">
        <f>J689/K689</f>
        <v>0.03614634146341463</v>
      </c>
      <c r="M689" s="42">
        <v>235.3</v>
      </c>
      <c r="N689" s="78">
        <f>L689*M689</f>
        <v>8.505234146341463</v>
      </c>
      <c r="O689" s="78">
        <f>L689*60*1000</f>
        <v>2168.780487804878</v>
      </c>
      <c r="P689" s="79">
        <f>O689*M689/1000</f>
        <v>510.3140487804878</v>
      </c>
      <c r="R689" s="10"/>
      <c r="S689" s="10"/>
    </row>
    <row r="690" spans="1:19" s="9" customFormat="1" ht="12.75" customHeight="1">
      <c r="A690" s="212"/>
      <c r="B690" s="95" t="s">
        <v>823</v>
      </c>
      <c r="C690" s="41">
        <v>47</v>
      </c>
      <c r="D690" s="41" t="s">
        <v>24</v>
      </c>
      <c r="E690" s="89">
        <f>F690+G690+H690</f>
        <v>47.65</v>
      </c>
      <c r="F690" s="89">
        <v>2.296</v>
      </c>
      <c r="G690" s="89">
        <v>1.44</v>
      </c>
      <c r="H690" s="89">
        <v>43.914</v>
      </c>
      <c r="I690" s="83">
        <v>1214.4</v>
      </c>
      <c r="J690" s="89">
        <v>43.914</v>
      </c>
      <c r="K690" s="83">
        <v>1214.4</v>
      </c>
      <c r="L690" s="77">
        <f>J690/K690</f>
        <v>0.036161067193675886</v>
      </c>
      <c r="M690" s="41">
        <v>350.76</v>
      </c>
      <c r="N690" s="78">
        <f>L690*M690</f>
        <v>12.683855928853754</v>
      </c>
      <c r="O690" s="78">
        <f>L690*60*1000</f>
        <v>2169.6640316205535</v>
      </c>
      <c r="P690" s="79">
        <f>O690*M690/1000</f>
        <v>761.0313557312253</v>
      </c>
      <c r="R690" s="10"/>
      <c r="S690" s="10"/>
    </row>
    <row r="691" spans="1:19" s="9" customFormat="1" ht="12.75" customHeight="1">
      <c r="A691" s="212"/>
      <c r="B691" s="80" t="s">
        <v>607</v>
      </c>
      <c r="C691" s="41">
        <v>22</v>
      </c>
      <c r="D691" s="41">
        <v>1960</v>
      </c>
      <c r="E691" s="89">
        <v>37.023</v>
      </c>
      <c r="F691" s="89">
        <v>1.071</v>
      </c>
      <c r="G691" s="89">
        <v>3.04</v>
      </c>
      <c r="H691" s="89">
        <v>32.912</v>
      </c>
      <c r="I691" s="83">
        <v>942.17</v>
      </c>
      <c r="J691" s="89">
        <v>22.82516</v>
      </c>
      <c r="K691" s="83">
        <v>630.57</v>
      </c>
      <c r="L691" s="77">
        <v>0.036197</v>
      </c>
      <c r="M691" s="42">
        <v>302.373</v>
      </c>
      <c r="N691" s="78">
        <f>L691*M691</f>
        <v>10.944995481</v>
      </c>
      <c r="O691" s="78">
        <f>L691*60*1000</f>
        <v>2171.8199999999997</v>
      </c>
      <c r="P691" s="79">
        <f>N691*60</f>
        <v>656.6997288599999</v>
      </c>
      <c r="R691" s="10"/>
      <c r="S691" s="10"/>
    </row>
    <row r="692" spans="1:19" s="9" customFormat="1" ht="12.75" customHeight="1">
      <c r="A692" s="212"/>
      <c r="B692" s="53" t="s">
        <v>939</v>
      </c>
      <c r="C692" s="41">
        <f>G692/0.16</f>
        <v>72</v>
      </c>
      <c r="D692" s="41">
        <v>1982</v>
      </c>
      <c r="E692" s="89">
        <f>SUM(F692+G692+H692)</f>
        <v>92.499</v>
      </c>
      <c r="F692" s="90">
        <v>4.282</v>
      </c>
      <c r="G692" s="90">
        <v>11.52</v>
      </c>
      <c r="H692" s="90">
        <v>76.697</v>
      </c>
      <c r="I692" s="44">
        <v>2117.32</v>
      </c>
      <c r="J692" s="90">
        <v>76.697</v>
      </c>
      <c r="K692" s="44">
        <v>2117.32</v>
      </c>
      <c r="L692" s="77">
        <f>J692/K692</f>
        <v>0.03622362231500198</v>
      </c>
      <c r="M692" s="42">
        <v>283.51</v>
      </c>
      <c r="N692" s="78">
        <f>L692*M692</f>
        <v>10.269759162526212</v>
      </c>
      <c r="O692" s="78">
        <f>L692*60*1000</f>
        <v>2173.417338900119</v>
      </c>
      <c r="P692" s="79">
        <f>O692*M692/1000</f>
        <v>616.1855497515727</v>
      </c>
      <c r="R692" s="10"/>
      <c r="S692" s="10"/>
    </row>
    <row r="693" spans="1:19" s="9" customFormat="1" ht="12.75" customHeight="1">
      <c r="A693" s="212"/>
      <c r="B693" s="80" t="s">
        <v>608</v>
      </c>
      <c r="C693" s="41">
        <v>12</v>
      </c>
      <c r="D693" s="41">
        <v>1971</v>
      </c>
      <c r="E693" s="89">
        <v>19.536</v>
      </c>
      <c r="F693" s="89">
        <v>0</v>
      </c>
      <c r="G693" s="89">
        <v>0</v>
      </c>
      <c r="H693" s="89">
        <v>19.536</v>
      </c>
      <c r="I693" s="83">
        <v>538.8</v>
      </c>
      <c r="J693" s="89">
        <v>19.536</v>
      </c>
      <c r="K693" s="83">
        <v>538.8</v>
      </c>
      <c r="L693" s="77">
        <v>0.036258</v>
      </c>
      <c r="M693" s="42">
        <v>302.373</v>
      </c>
      <c r="N693" s="78">
        <f>L693*M693</f>
        <v>10.963440233999998</v>
      </c>
      <c r="O693" s="78">
        <f>L693*60*1000</f>
        <v>2175.48</v>
      </c>
      <c r="P693" s="79">
        <f>N693*60</f>
        <v>657.8064140399999</v>
      </c>
      <c r="R693" s="10"/>
      <c r="S693" s="10"/>
    </row>
    <row r="694" spans="1:19" s="9" customFormat="1" ht="12.75" customHeight="1">
      <c r="A694" s="212"/>
      <c r="B694" s="80" t="s">
        <v>365</v>
      </c>
      <c r="C694" s="41">
        <v>5</v>
      </c>
      <c r="D694" s="41">
        <v>1923</v>
      </c>
      <c r="E694" s="89">
        <f>F694+G694+H694</f>
        <v>7.56</v>
      </c>
      <c r="F694" s="89">
        <v>0</v>
      </c>
      <c r="G694" s="89">
        <v>0</v>
      </c>
      <c r="H694" s="89">
        <v>7.56</v>
      </c>
      <c r="I694" s="83">
        <v>208.38</v>
      </c>
      <c r="J694" s="89">
        <v>7.56</v>
      </c>
      <c r="K694" s="83">
        <v>208.38</v>
      </c>
      <c r="L694" s="77">
        <f>J694/K694</f>
        <v>0.036279873308378924</v>
      </c>
      <c r="M694" s="42">
        <v>314.9</v>
      </c>
      <c r="N694" s="78">
        <f>L694*M694</f>
        <v>11.424532104808522</v>
      </c>
      <c r="O694" s="78">
        <f>L694*60*1000</f>
        <v>2176.7923985027355</v>
      </c>
      <c r="P694" s="79">
        <f>O694*M694/1000</f>
        <v>685.4719262885113</v>
      </c>
      <c r="R694" s="10"/>
      <c r="S694" s="10"/>
    </row>
    <row r="695" spans="1:19" s="9" customFormat="1" ht="12.75" customHeight="1">
      <c r="A695" s="212"/>
      <c r="B695" s="255" t="s">
        <v>142</v>
      </c>
      <c r="C695" s="203">
        <v>17</v>
      </c>
      <c r="D695" s="41">
        <v>1983</v>
      </c>
      <c r="E695" s="89">
        <f>F695+G695+H695</f>
        <v>46.474356</v>
      </c>
      <c r="F695" s="200">
        <v>1.683</v>
      </c>
      <c r="G695" s="200">
        <v>2.88</v>
      </c>
      <c r="H695" s="200">
        <v>41.911356</v>
      </c>
      <c r="I695" s="201">
        <v>1153.81</v>
      </c>
      <c r="J695" s="200">
        <v>41.911356</v>
      </c>
      <c r="K695" s="201">
        <v>1153.81</v>
      </c>
      <c r="L695" s="77">
        <f>J695/K695</f>
        <v>0.03632431336181867</v>
      </c>
      <c r="M695" s="42">
        <v>314.465</v>
      </c>
      <c r="N695" s="78">
        <f>L695*M695</f>
        <v>11.422725201324306</v>
      </c>
      <c r="O695" s="78">
        <f>L695*60*1000</f>
        <v>2179.4588017091205</v>
      </c>
      <c r="P695" s="79">
        <f>O695*M695/1000</f>
        <v>685.3635120794586</v>
      </c>
      <c r="R695" s="10"/>
      <c r="S695" s="10"/>
    </row>
    <row r="696" spans="1:19" s="9" customFormat="1" ht="12.75" customHeight="1">
      <c r="A696" s="212"/>
      <c r="B696" s="80" t="s">
        <v>412</v>
      </c>
      <c r="C696" s="41">
        <v>10</v>
      </c>
      <c r="D696" s="41" t="s">
        <v>24</v>
      </c>
      <c r="E696" s="89">
        <v>21.49</v>
      </c>
      <c r="F696" s="89">
        <v>0.77</v>
      </c>
      <c r="G696" s="89">
        <v>1.52</v>
      </c>
      <c r="H696" s="89">
        <v>19.2</v>
      </c>
      <c r="I696" s="83">
        <v>528</v>
      </c>
      <c r="J696" s="89">
        <v>19.2</v>
      </c>
      <c r="K696" s="83">
        <v>528</v>
      </c>
      <c r="L696" s="77">
        <f>J696/K696</f>
        <v>0.03636363636363636</v>
      </c>
      <c r="M696" s="42">
        <v>235.3</v>
      </c>
      <c r="N696" s="78">
        <f>L696*M696</f>
        <v>8.556363636363637</v>
      </c>
      <c r="O696" s="78">
        <f>L696*60*1000</f>
        <v>2181.8181818181815</v>
      </c>
      <c r="P696" s="79">
        <f>O696*M696/1000</f>
        <v>513.3818181818181</v>
      </c>
      <c r="R696" s="10"/>
      <c r="S696" s="10"/>
    </row>
    <row r="697" spans="1:19" s="9" customFormat="1" ht="12.75" customHeight="1">
      <c r="A697" s="212"/>
      <c r="B697" s="53" t="s">
        <v>270</v>
      </c>
      <c r="C697" s="26">
        <v>5</v>
      </c>
      <c r="D697" s="26" t="s">
        <v>24</v>
      </c>
      <c r="E697" s="90">
        <f>F697+G697+H697</f>
        <v>11.582999999999998</v>
      </c>
      <c r="F697" s="90">
        <v>0.3139</v>
      </c>
      <c r="G697" s="90">
        <v>0.8</v>
      </c>
      <c r="H697" s="90">
        <v>10.4691</v>
      </c>
      <c r="I697" s="44">
        <v>287.6</v>
      </c>
      <c r="J697" s="90">
        <v>10.4691</v>
      </c>
      <c r="K697" s="44">
        <v>287.6</v>
      </c>
      <c r="L697" s="54">
        <f>J697/K697</f>
        <v>0.03640159944367176</v>
      </c>
      <c r="M697" s="33">
        <v>210</v>
      </c>
      <c r="N697" s="33">
        <f>L697*M697</f>
        <v>7.6443358831710695</v>
      </c>
      <c r="O697" s="33">
        <f>L697*1000*60</f>
        <v>2184.0959666203053</v>
      </c>
      <c r="P697" s="55">
        <f>N697*60</f>
        <v>458.6601529902642</v>
      </c>
      <c r="Q697" s="11"/>
      <c r="R697" s="10"/>
      <c r="S697" s="10"/>
    </row>
    <row r="698" spans="1:19" s="9" customFormat="1" ht="12.75" customHeight="1">
      <c r="A698" s="212"/>
      <c r="B698" s="53" t="s">
        <v>151</v>
      </c>
      <c r="C698" s="26">
        <v>12</v>
      </c>
      <c r="D698" s="26">
        <v>1925</v>
      </c>
      <c r="E698" s="90">
        <f>SUM(F698:H698)</f>
        <v>18.69</v>
      </c>
      <c r="F698" s="90"/>
      <c r="G698" s="90"/>
      <c r="H698" s="90">
        <v>18.69</v>
      </c>
      <c r="I698" s="44">
        <v>512.15</v>
      </c>
      <c r="J698" s="90">
        <v>18.69</v>
      </c>
      <c r="K698" s="44">
        <v>512.15</v>
      </c>
      <c r="L698" s="54">
        <f>J698/K698</f>
        <v>0.036493214878453584</v>
      </c>
      <c r="M698" s="33">
        <v>284.9</v>
      </c>
      <c r="N698" s="33">
        <f>L698*M698*1.09</f>
        <v>11.332639441569853</v>
      </c>
      <c r="O698" s="33">
        <f>L698*60*1000</f>
        <v>2189.592892707215</v>
      </c>
      <c r="P698" s="55">
        <f>N698*60</f>
        <v>679.9583664941912</v>
      </c>
      <c r="R698" s="10"/>
      <c r="S698" s="10"/>
    </row>
    <row r="699" spans="1:19" s="9" customFormat="1" ht="12.75" customHeight="1">
      <c r="A699" s="212"/>
      <c r="B699" s="53" t="s">
        <v>705</v>
      </c>
      <c r="C699" s="26">
        <v>5</v>
      </c>
      <c r="D699" s="26" t="s">
        <v>24</v>
      </c>
      <c r="E699" s="90">
        <f>F699+G699+H699</f>
        <v>6.534</v>
      </c>
      <c r="F699" s="90">
        <v>0.2354</v>
      </c>
      <c r="G699" s="90">
        <v>0.48</v>
      </c>
      <c r="H699" s="90">
        <v>5.8186</v>
      </c>
      <c r="I699" s="44">
        <v>159.37</v>
      </c>
      <c r="J699" s="90">
        <v>5.8186</v>
      </c>
      <c r="K699" s="44">
        <v>159.37</v>
      </c>
      <c r="L699" s="54">
        <f>J699/K699</f>
        <v>0.036510008157118655</v>
      </c>
      <c r="M699" s="33">
        <v>210</v>
      </c>
      <c r="N699" s="33">
        <f>L699*M699</f>
        <v>7.667101712994918</v>
      </c>
      <c r="O699" s="33">
        <f>L699*1000*60</f>
        <v>2190.600489427119</v>
      </c>
      <c r="P699" s="55">
        <f>N699*60</f>
        <v>460.02610277969507</v>
      </c>
      <c r="R699" s="10"/>
      <c r="S699" s="10"/>
    </row>
    <row r="700" spans="1:19" s="9" customFormat="1" ht="12.75" customHeight="1">
      <c r="A700" s="212"/>
      <c r="B700" s="207" t="s">
        <v>454</v>
      </c>
      <c r="C700" s="135">
        <v>34</v>
      </c>
      <c r="D700" s="135">
        <v>1964</v>
      </c>
      <c r="E700" s="136">
        <v>42.3</v>
      </c>
      <c r="F700" s="136">
        <v>1.8</v>
      </c>
      <c r="G700" s="136">
        <v>0.2</v>
      </c>
      <c r="H700" s="136">
        <v>40.3</v>
      </c>
      <c r="I700" s="137">
        <v>1101.75</v>
      </c>
      <c r="J700" s="136">
        <v>40.3</v>
      </c>
      <c r="K700" s="137">
        <v>1101.8</v>
      </c>
      <c r="L700" s="138">
        <v>0.036576511163550554</v>
      </c>
      <c r="M700" s="132">
        <v>215.8</v>
      </c>
      <c r="N700" s="132">
        <v>7.89321110909421</v>
      </c>
      <c r="O700" s="132">
        <f>L700*60*1000</f>
        <v>2194.5906698130334</v>
      </c>
      <c r="P700" s="345">
        <v>473.5926665456526</v>
      </c>
      <c r="R700" s="10"/>
      <c r="S700" s="10"/>
    </row>
    <row r="701" spans="1:19" s="9" customFormat="1" ht="12.75" customHeight="1">
      <c r="A701" s="212"/>
      <c r="B701" s="53" t="s">
        <v>66</v>
      </c>
      <c r="C701" s="26">
        <v>103</v>
      </c>
      <c r="D701" s="26">
        <v>1972</v>
      </c>
      <c r="E701" s="90">
        <v>116.97</v>
      </c>
      <c r="F701" s="90">
        <v>7.48</v>
      </c>
      <c r="G701" s="90">
        <v>15.9</v>
      </c>
      <c r="H701" s="90">
        <f>E701-F701-G701</f>
        <v>93.58999999999999</v>
      </c>
      <c r="I701" s="44">
        <v>2557.5</v>
      </c>
      <c r="J701" s="90">
        <f>H701/I701*K701</f>
        <v>89.43654349951122</v>
      </c>
      <c r="K701" s="26">
        <v>2444</v>
      </c>
      <c r="L701" s="54">
        <f>J701/K701</f>
        <v>0.036594330400782006</v>
      </c>
      <c r="M701" s="33">
        <v>323.29400000000004</v>
      </c>
      <c r="N701" s="33">
        <f>L701*M701</f>
        <v>11.83072745259042</v>
      </c>
      <c r="O701" s="33">
        <f>L701*60*1000</f>
        <v>2195.6598240469207</v>
      </c>
      <c r="P701" s="55">
        <f>O701*M701/1000</f>
        <v>709.8436471554253</v>
      </c>
      <c r="R701" s="10"/>
      <c r="S701" s="10"/>
    </row>
    <row r="702" spans="1:19" s="9" customFormat="1" ht="12.75" customHeight="1">
      <c r="A702" s="212"/>
      <c r="B702" s="53" t="s">
        <v>940</v>
      </c>
      <c r="C702" s="41">
        <v>18</v>
      </c>
      <c r="D702" s="41">
        <v>1959</v>
      </c>
      <c r="E702" s="89">
        <f>SUM(F702+G702+H702)</f>
        <v>29.016</v>
      </c>
      <c r="F702" s="90">
        <v>1.4</v>
      </c>
      <c r="G702" s="90">
        <v>0.18</v>
      </c>
      <c r="H702" s="90">
        <v>27.436</v>
      </c>
      <c r="I702" s="44">
        <v>749.42</v>
      </c>
      <c r="J702" s="90">
        <v>27.436</v>
      </c>
      <c r="K702" s="44">
        <v>749.42</v>
      </c>
      <c r="L702" s="77">
        <f>J702/K702</f>
        <v>0.036609644791972464</v>
      </c>
      <c r="M702" s="42">
        <v>283.51</v>
      </c>
      <c r="N702" s="78">
        <f>L702*M702</f>
        <v>10.379200394972113</v>
      </c>
      <c r="O702" s="78">
        <f>L702*60*1000</f>
        <v>2196.5786875183476</v>
      </c>
      <c r="P702" s="79">
        <f>O702*M702/1000</f>
        <v>622.7520236983266</v>
      </c>
      <c r="R702" s="10"/>
      <c r="S702" s="10"/>
    </row>
    <row r="703" spans="1:19" s="9" customFormat="1" ht="12.75" customHeight="1">
      <c r="A703" s="212"/>
      <c r="B703" s="53" t="s">
        <v>237</v>
      </c>
      <c r="C703" s="263">
        <v>12</v>
      </c>
      <c r="D703" s="26" t="s">
        <v>24</v>
      </c>
      <c r="E703" s="90">
        <f>F703+G703+H703</f>
        <v>20.926000000000002</v>
      </c>
      <c r="F703" s="90">
        <v>1.5358</v>
      </c>
      <c r="G703" s="90">
        <v>0</v>
      </c>
      <c r="H703" s="90">
        <v>19.3902</v>
      </c>
      <c r="I703" s="44">
        <v>529.6</v>
      </c>
      <c r="J703" s="90">
        <v>19.3902</v>
      </c>
      <c r="K703" s="44">
        <v>529.6</v>
      </c>
      <c r="L703" s="54">
        <f>J703/K703</f>
        <v>0.03661291540785498</v>
      </c>
      <c r="M703" s="33">
        <v>210</v>
      </c>
      <c r="N703" s="33">
        <f>L703*M703</f>
        <v>7.688712235649546</v>
      </c>
      <c r="O703" s="33">
        <f>L703*1000*60</f>
        <v>2196.774924471299</v>
      </c>
      <c r="P703" s="55">
        <f>N703*60</f>
        <v>461.32273413897275</v>
      </c>
      <c r="R703" s="10"/>
      <c r="S703" s="10"/>
    </row>
    <row r="704" spans="1:19" s="9" customFormat="1" ht="12.75" customHeight="1">
      <c r="A704" s="212"/>
      <c r="B704" s="80" t="s">
        <v>284</v>
      </c>
      <c r="C704" s="41">
        <v>6</v>
      </c>
      <c r="D704" s="41" t="s">
        <v>24</v>
      </c>
      <c r="E704" s="89">
        <v>8.6</v>
      </c>
      <c r="F704" s="89">
        <v>0</v>
      </c>
      <c r="G704" s="89">
        <v>0</v>
      </c>
      <c r="H704" s="89">
        <f>+E704</f>
        <v>8.6</v>
      </c>
      <c r="I704" s="264"/>
      <c r="J704" s="89">
        <f>+H704</f>
        <v>8.6</v>
      </c>
      <c r="K704" s="83">
        <v>234.73</v>
      </c>
      <c r="L704" s="77">
        <f>J704/K704</f>
        <v>0.03663783921952882</v>
      </c>
      <c r="M704" s="42">
        <f>+M701</f>
        <v>323.29400000000004</v>
      </c>
      <c r="N704" s="78">
        <f>L704*M704</f>
        <v>11.84479359263835</v>
      </c>
      <c r="O704" s="78">
        <f>L704*60*1000</f>
        <v>2198.2703531717293</v>
      </c>
      <c r="P704" s="79">
        <f>O704*M704/1000</f>
        <v>710.6876155583011</v>
      </c>
      <c r="R704" s="10"/>
      <c r="S704" s="10"/>
    </row>
    <row r="705" spans="1:19" s="9" customFormat="1" ht="12.75" customHeight="1">
      <c r="A705" s="212"/>
      <c r="B705" s="80" t="s">
        <v>324</v>
      </c>
      <c r="C705" s="41">
        <v>6</v>
      </c>
      <c r="D705" s="41">
        <v>1930</v>
      </c>
      <c r="E705" s="89">
        <v>11.217</v>
      </c>
      <c r="F705" s="89">
        <v>0.357</v>
      </c>
      <c r="G705" s="89">
        <v>0.8</v>
      </c>
      <c r="H705" s="89">
        <v>10.06</v>
      </c>
      <c r="I705" s="83">
        <v>323.39</v>
      </c>
      <c r="J705" s="89">
        <v>9.8</v>
      </c>
      <c r="K705" s="83">
        <v>266.7</v>
      </c>
      <c r="L705" s="77">
        <f>J705/K705</f>
        <v>0.03674540682414699</v>
      </c>
      <c r="M705" s="42">
        <v>337.137</v>
      </c>
      <c r="N705" s="78">
        <f>L705*M705</f>
        <v>12.388236220472443</v>
      </c>
      <c r="O705" s="78">
        <f>L705*60*1000</f>
        <v>2204.7244094488196</v>
      </c>
      <c r="P705" s="79">
        <f>O705*M705/1000</f>
        <v>743.2941732283467</v>
      </c>
      <c r="R705" s="10"/>
      <c r="S705" s="10"/>
    </row>
    <row r="706" spans="1:19" s="9" customFormat="1" ht="12.75" customHeight="1">
      <c r="A706" s="212"/>
      <c r="B706" s="80" t="s">
        <v>322</v>
      </c>
      <c r="C706" s="41">
        <v>4</v>
      </c>
      <c r="D706" s="41">
        <v>1947</v>
      </c>
      <c r="E706" s="89">
        <v>10.851</v>
      </c>
      <c r="F706" s="89">
        <v>0.663</v>
      </c>
      <c r="G706" s="89">
        <v>0.72</v>
      </c>
      <c r="H706" s="89">
        <v>9.468</v>
      </c>
      <c r="I706" s="83">
        <v>256.84</v>
      </c>
      <c r="J706" s="89">
        <v>8.26</v>
      </c>
      <c r="K706" s="83">
        <v>224.01</v>
      </c>
      <c r="L706" s="77">
        <f>J706/K706</f>
        <v>0.036873353868130884</v>
      </c>
      <c r="M706" s="42">
        <v>337.137</v>
      </c>
      <c r="N706" s="78">
        <f>L706*M706</f>
        <v>12.431371903040041</v>
      </c>
      <c r="O706" s="78">
        <f>L706*60*1000</f>
        <v>2212.4012320878533</v>
      </c>
      <c r="P706" s="79">
        <f>O706*M706/1000</f>
        <v>745.8823141824025</v>
      </c>
      <c r="R706" s="10"/>
      <c r="S706" s="10"/>
    </row>
    <row r="707" spans="1:19" s="9" customFormat="1" ht="12.75" customHeight="1">
      <c r="A707" s="212"/>
      <c r="B707" s="80" t="s">
        <v>339</v>
      </c>
      <c r="C707" s="41">
        <v>8</v>
      </c>
      <c r="D707" s="41">
        <v>1956</v>
      </c>
      <c r="E707" s="89">
        <v>17.3273</v>
      </c>
      <c r="F707" s="89">
        <v>0</v>
      </c>
      <c r="G707" s="89">
        <v>0</v>
      </c>
      <c r="H707" s="89">
        <v>17.3273</v>
      </c>
      <c r="I707" s="83">
        <v>469.85</v>
      </c>
      <c r="J707" s="89">
        <v>17.3273</v>
      </c>
      <c r="K707" s="83">
        <v>469.85</v>
      </c>
      <c r="L707" s="77">
        <v>0.036878</v>
      </c>
      <c r="M707" s="42">
        <v>302.373</v>
      </c>
      <c r="N707" s="78">
        <f>L707*M707</f>
        <v>11.150911494</v>
      </c>
      <c r="O707" s="78">
        <f>L707*60*1000</f>
        <v>2212.6800000000003</v>
      </c>
      <c r="P707" s="79">
        <f>N707*60</f>
        <v>669.05468964</v>
      </c>
      <c r="Q707" s="11"/>
      <c r="R707" s="10"/>
      <c r="S707" s="10"/>
    </row>
    <row r="708" spans="1:19" s="9" customFormat="1" ht="12.75" customHeight="1">
      <c r="A708" s="212"/>
      <c r="B708" s="265" t="s">
        <v>560</v>
      </c>
      <c r="C708" s="266">
        <v>12</v>
      </c>
      <c r="D708" s="267" t="s">
        <v>24</v>
      </c>
      <c r="E708" s="268">
        <v>22.22</v>
      </c>
      <c r="F708" s="268">
        <v>0.89</v>
      </c>
      <c r="G708" s="269">
        <v>2.08</v>
      </c>
      <c r="H708" s="268">
        <v>19.25</v>
      </c>
      <c r="I708" s="270">
        <v>625.2</v>
      </c>
      <c r="J708" s="268">
        <v>17.53</v>
      </c>
      <c r="K708" s="271">
        <v>474.36</v>
      </c>
      <c r="L708" s="77">
        <f>J708/K708</f>
        <v>0.03695505523231301</v>
      </c>
      <c r="M708" s="42">
        <v>266.83</v>
      </c>
      <c r="N708" s="78">
        <f>L708*M708</f>
        <v>9.86071738763808</v>
      </c>
      <c r="O708" s="78">
        <f>L708*60*1000</f>
        <v>2217.303313938781</v>
      </c>
      <c r="P708" s="79">
        <f>O708*M708/1000</f>
        <v>591.6430432582848</v>
      </c>
      <c r="R708" s="10"/>
      <c r="S708" s="10"/>
    </row>
    <row r="709" spans="1:16" s="9" customFormat="1" ht="12.75" customHeight="1">
      <c r="A709" s="212"/>
      <c r="B709" s="53" t="s">
        <v>706</v>
      </c>
      <c r="C709" s="26">
        <v>12</v>
      </c>
      <c r="D709" s="26" t="s">
        <v>24</v>
      </c>
      <c r="E709" s="90">
        <f>F709+G709+H709</f>
        <v>27.471</v>
      </c>
      <c r="F709" s="90">
        <v>1.7376</v>
      </c>
      <c r="G709" s="90">
        <v>0</v>
      </c>
      <c r="H709" s="90">
        <v>25.7334</v>
      </c>
      <c r="I709" s="44">
        <v>696.15</v>
      </c>
      <c r="J709" s="90">
        <v>25.7334</v>
      </c>
      <c r="K709" s="44">
        <v>696.15</v>
      </c>
      <c r="L709" s="54">
        <f>J709/K709</f>
        <v>0.03696530920060332</v>
      </c>
      <c r="M709" s="33">
        <v>210</v>
      </c>
      <c r="N709" s="33">
        <f>L709*M709</f>
        <v>7.7627149321266975</v>
      </c>
      <c r="O709" s="33">
        <f>L709*1000*60</f>
        <v>2217.9185520361993</v>
      </c>
      <c r="P709" s="55">
        <f>N709*60</f>
        <v>465.76289592760185</v>
      </c>
    </row>
    <row r="710" spans="1:19" s="9" customFormat="1" ht="12.75" customHeight="1">
      <c r="A710" s="212"/>
      <c r="B710" s="80" t="s">
        <v>862</v>
      </c>
      <c r="C710" s="41">
        <v>6</v>
      </c>
      <c r="D710" s="41">
        <v>1901</v>
      </c>
      <c r="E710" s="89">
        <v>10.5</v>
      </c>
      <c r="F710" s="89"/>
      <c r="G710" s="89"/>
      <c r="H710" s="89">
        <v>10.5</v>
      </c>
      <c r="I710" s="83">
        <v>284</v>
      </c>
      <c r="J710" s="89">
        <v>10.5</v>
      </c>
      <c r="K710" s="83">
        <v>284</v>
      </c>
      <c r="L710" s="77">
        <f>J710/K710</f>
        <v>0.03697183098591549</v>
      </c>
      <c r="M710" s="42">
        <v>254.2</v>
      </c>
      <c r="N710" s="78">
        <f>L710*M710</f>
        <v>9.398239436619718</v>
      </c>
      <c r="O710" s="78">
        <f>L710*60*1000</f>
        <v>2218.3098591549297</v>
      </c>
      <c r="P710" s="79">
        <f>O710*M710/1000</f>
        <v>563.8943661971831</v>
      </c>
      <c r="R710" s="10"/>
      <c r="S710" s="10"/>
    </row>
    <row r="711" spans="1:19" s="9" customFormat="1" ht="12.75" customHeight="1">
      <c r="A711" s="212"/>
      <c r="B711" s="53" t="s">
        <v>386</v>
      </c>
      <c r="C711" s="26">
        <v>7</v>
      </c>
      <c r="D711" s="26">
        <v>1938</v>
      </c>
      <c r="E711" s="90">
        <f>SUM(F711:H711)</f>
        <v>8.176999</v>
      </c>
      <c r="F711" s="90"/>
      <c r="G711" s="90"/>
      <c r="H711" s="90">
        <v>8.176999</v>
      </c>
      <c r="I711" s="44">
        <v>220.85</v>
      </c>
      <c r="J711" s="90">
        <v>8.176999</v>
      </c>
      <c r="K711" s="44">
        <v>220.85</v>
      </c>
      <c r="L711" s="54">
        <f>J711/K711</f>
        <v>0.037025125650894275</v>
      </c>
      <c r="M711" s="33">
        <v>284.9</v>
      </c>
      <c r="N711" s="33">
        <f>L711*M711*1.09</f>
        <v>11.497819544754359</v>
      </c>
      <c r="O711" s="33">
        <f>L711*60*1000</f>
        <v>2221.5075390536567</v>
      </c>
      <c r="P711" s="55">
        <f>N711*60</f>
        <v>689.8691726852616</v>
      </c>
      <c r="R711" s="10"/>
      <c r="S711" s="10"/>
    </row>
    <row r="712" spans="1:19" s="9" customFormat="1" ht="12.75" customHeight="1">
      <c r="A712" s="212"/>
      <c r="B712" s="80" t="s">
        <v>880</v>
      </c>
      <c r="C712" s="41">
        <v>8</v>
      </c>
      <c r="D712" s="41">
        <v>1967</v>
      </c>
      <c r="E712" s="89">
        <v>16.66</v>
      </c>
      <c r="F712" s="89">
        <v>0.663</v>
      </c>
      <c r="G712" s="89">
        <v>1.28</v>
      </c>
      <c r="H712" s="89">
        <v>14.717</v>
      </c>
      <c r="I712" s="83">
        <v>397.32</v>
      </c>
      <c r="J712" s="89">
        <v>14.717</v>
      </c>
      <c r="K712" s="83">
        <v>397.3</v>
      </c>
      <c r="L712" s="77">
        <f>J712/K712</f>
        <v>0.03704253712559778</v>
      </c>
      <c r="M712" s="42">
        <v>223.12</v>
      </c>
      <c r="N712" s="78">
        <f>L712*M712</f>
        <v>8.264930883463377</v>
      </c>
      <c r="O712" s="78">
        <f>L712*60*1000</f>
        <v>2222.5522275358667</v>
      </c>
      <c r="P712" s="79">
        <f>O712*M712/1000</f>
        <v>495.89585300780254</v>
      </c>
      <c r="R712" s="10"/>
      <c r="S712" s="10"/>
    </row>
    <row r="713" spans="1:19" s="9" customFormat="1" ht="12.75" customHeight="1">
      <c r="A713" s="212"/>
      <c r="B713" s="80" t="s">
        <v>229</v>
      </c>
      <c r="C713" s="41">
        <v>20</v>
      </c>
      <c r="D713" s="41">
        <v>1967</v>
      </c>
      <c r="E713" s="89">
        <v>32.862</v>
      </c>
      <c r="F713" s="89">
        <v>1.25</v>
      </c>
      <c r="G713" s="89">
        <v>3.2</v>
      </c>
      <c r="H713" s="89">
        <v>28.4</v>
      </c>
      <c r="I713" s="83">
        <v>766.34</v>
      </c>
      <c r="J713" s="89">
        <v>25.49</v>
      </c>
      <c r="K713" s="83">
        <v>687.87</v>
      </c>
      <c r="L713" s="77">
        <f>J713/K713</f>
        <v>0.037056420544579645</v>
      </c>
      <c r="M713" s="42">
        <v>328.199</v>
      </c>
      <c r="N713" s="78">
        <f>L713*M713</f>
        <v>12.161880166310496</v>
      </c>
      <c r="O713" s="78">
        <f>L713*60*1000</f>
        <v>2223.3852326747783</v>
      </c>
      <c r="P713" s="79">
        <f>O713*M713/1000</f>
        <v>729.7128099786296</v>
      </c>
      <c r="R713" s="10"/>
      <c r="S713" s="10"/>
    </row>
    <row r="714" spans="1:19" s="9" customFormat="1" ht="12.75" customHeight="1">
      <c r="A714" s="212"/>
      <c r="B714" s="80" t="s">
        <v>283</v>
      </c>
      <c r="C714" s="41">
        <v>4</v>
      </c>
      <c r="D714" s="41" t="s">
        <v>24</v>
      </c>
      <c r="E714" s="89">
        <v>9.4</v>
      </c>
      <c r="F714" s="89">
        <v>0</v>
      </c>
      <c r="G714" s="89">
        <v>0</v>
      </c>
      <c r="H714" s="89">
        <f>+E714</f>
        <v>9.4</v>
      </c>
      <c r="I714" s="264"/>
      <c r="J714" s="89">
        <f>+H714</f>
        <v>9.4</v>
      </c>
      <c r="K714" s="83">
        <v>253.29</v>
      </c>
      <c r="L714" s="77">
        <f>J714/K714</f>
        <v>0.03711161119665206</v>
      </c>
      <c r="M714" s="42">
        <v>340.2</v>
      </c>
      <c r="N714" s="78">
        <f>L714*M714</f>
        <v>12.62537012910103</v>
      </c>
      <c r="O714" s="78">
        <f>L714*60*1000</f>
        <v>2226.6966717991236</v>
      </c>
      <c r="P714" s="79">
        <f>O714*M714/1000</f>
        <v>757.5222077460619</v>
      </c>
      <c r="R714" s="10"/>
      <c r="S714" s="10"/>
    </row>
    <row r="715" spans="1:19" s="9" customFormat="1" ht="12.75">
      <c r="A715" s="212"/>
      <c r="B715" s="80" t="s">
        <v>325</v>
      </c>
      <c r="C715" s="41">
        <v>11</v>
      </c>
      <c r="D715" s="41">
        <v>1961</v>
      </c>
      <c r="E715" s="89">
        <v>20.19</v>
      </c>
      <c r="F715" s="89">
        <v>0.612</v>
      </c>
      <c r="G715" s="89">
        <v>0.11</v>
      </c>
      <c r="H715" s="89">
        <v>19.468</v>
      </c>
      <c r="I715" s="83">
        <v>524.32</v>
      </c>
      <c r="J715" s="89">
        <v>17.63</v>
      </c>
      <c r="K715" s="83">
        <v>474.9</v>
      </c>
      <c r="L715" s="77">
        <f>J715/K715</f>
        <v>0.037123604969467254</v>
      </c>
      <c r="M715" s="42">
        <v>337.137</v>
      </c>
      <c r="N715" s="78">
        <f>L715*M715</f>
        <v>12.515740808591282</v>
      </c>
      <c r="O715" s="78">
        <f>L715*60*1000</f>
        <v>2227.4162981680356</v>
      </c>
      <c r="P715" s="79">
        <f>O715*M715/1000</f>
        <v>750.944448515477</v>
      </c>
      <c r="R715" s="10"/>
      <c r="S715" s="10"/>
    </row>
    <row r="716" spans="1:19" s="9" customFormat="1" ht="12.75">
      <c r="A716" s="212"/>
      <c r="B716" s="80" t="s">
        <v>653</v>
      </c>
      <c r="C716" s="41">
        <v>8</v>
      </c>
      <c r="D716" s="41">
        <v>1940</v>
      </c>
      <c r="E716" s="89">
        <v>11.549</v>
      </c>
      <c r="F716" s="89" t="s">
        <v>156</v>
      </c>
      <c r="G716" s="89" t="s">
        <v>156</v>
      </c>
      <c r="H716" s="89">
        <v>11.549</v>
      </c>
      <c r="I716" s="83">
        <v>310.83</v>
      </c>
      <c r="J716" s="89">
        <v>11.55</v>
      </c>
      <c r="K716" s="83">
        <v>310.8</v>
      </c>
      <c r="L716" s="77">
        <f>J716/K716</f>
        <v>0.037162162162162164</v>
      </c>
      <c r="M716" s="42">
        <v>328.199</v>
      </c>
      <c r="N716" s="78">
        <f>L716*M716</f>
        <v>12.19658445945946</v>
      </c>
      <c r="O716" s="78">
        <f>L716*60*1000</f>
        <v>2229.72972972973</v>
      </c>
      <c r="P716" s="79">
        <f>O716*M716/1000</f>
        <v>731.7950675675677</v>
      </c>
      <c r="R716" s="10"/>
      <c r="S716" s="10"/>
    </row>
    <row r="717" spans="1:19" s="9" customFormat="1" ht="12.75">
      <c r="A717" s="212"/>
      <c r="B717" s="80" t="s">
        <v>327</v>
      </c>
      <c r="C717" s="41">
        <v>12</v>
      </c>
      <c r="D717" s="41">
        <v>1962</v>
      </c>
      <c r="E717" s="89">
        <v>24.772</v>
      </c>
      <c r="F717" s="89">
        <v>0.204</v>
      </c>
      <c r="G717" s="89">
        <v>0.14</v>
      </c>
      <c r="H717" s="89">
        <v>24.428</v>
      </c>
      <c r="I717" s="83">
        <v>864.16</v>
      </c>
      <c r="J717" s="89">
        <v>20.24</v>
      </c>
      <c r="K717" s="83">
        <v>544.13</v>
      </c>
      <c r="L717" s="77">
        <f>J717/K717</f>
        <v>0.03719699336555602</v>
      </c>
      <c r="M717" s="42">
        <v>337.137</v>
      </c>
      <c r="N717" s="78">
        <f>L717*M717</f>
        <v>12.54048275228346</v>
      </c>
      <c r="O717" s="78">
        <f>L717*60*1000</f>
        <v>2231.8196019333614</v>
      </c>
      <c r="P717" s="79">
        <f>O717*M717/1000</f>
        <v>752.4289651370076</v>
      </c>
      <c r="R717" s="10"/>
      <c r="S717" s="10"/>
    </row>
    <row r="718" spans="1:22" s="9" customFormat="1" ht="13.5" customHeight="1">
      <c r="A718" s="212"/>
      <c r="B718" s="53" t="s">
        <v>60</v>
      </c>
      <c r="C718" s="26">
        <v>108</v>
      </c>
      <c r="D718" s="26">
        <v>1968</v>
      </c>
      <c r="E718" s="90">
        <v>120.19</v>
      </c>
      <c r="F718" s="90">
        <v>7.8</v>
      </c>
      <c r="G718" s="90">
        <v>17.2</v>
      </c>
      <c r="H718" s="90">
        <f>E718-F718-G718</f>
        <v>95.19</v>
      </c>
      <c r="I718" s="44">
        <v>2558.4</v>
      </c>
      <c r="J718" s="90">
        <f>H718/I718*K718</f>
        <v>95.17511726078799</v>
      </c>
      <c r="K718" s="26">
        <v>2558</v>
      </c>
      <c r="L718" s="54">
        <f>J718/K718</f>
        <v>0.03720684803001876</v>
      </c>
      <c r="M718" s="33">
        <v>323.29400000000004</v>
      </c>
      <c r="N718" s="33">
        <f>L718*M718</f>
        <v>12.028750727016886</v>
      </c>
      <c r="O718" s="33">
        <f>L718*60*1000</f>
        <v>2232.4108818011255</v>
      </c>
      <c r="P718" s="55">
        <f>O718*M718/1000</f>
        <v>721.7250436210131</v>
      </c>
      <c r="Q718" s="10"/>
      <c r="R718" s="10"/>
      <c r="S718" s="10"/>
      <c r="T718" s="12"/>
      <c r="U718" s="13"/>
      <c r="V718" s="13"/>
    </row>
    <row r="719" spans="1:19" s="9" customFormat="1" ht="11.25" customHeight="1">
      <c r="A719" s="212"/>
      <c r="B719" s="80" t="s">
        <v>402</v>
      </c>
      <c r="C719" s="41">
        <v>10</v>
      </c>
      <c r="D719" s="41">
        <v>1958</v>
      </c>
      <c r="E719" s="89">
        <v>16.3441</v>
      </c>
      <c r="F719" s="89" t="s">
        <v>156</v>
      </c>
      <c r="G719" s="89" t="s">
        <v>156</v>
      </c>
      <c r="H719" s="89">
        <v>16.3441</v>
      </c>
      <c r="I719" s="83">
        <v>439.06</v>
      </c>
      <c r="J719" s="89">
        <v>16.34</v>
      </c>
      <c r="K719" s="83">
        <v>439.06</v>
      </c>
      <c r="L719" s="77">
        <f>J719/K719</f>
        <v>0.037215870268300456</v>
      </c>
      <c r="M719" s="42">
        <v>328.199</v>
      </c>
      <c r="N719" s="78">
        <f>L719*M719</f>
        <v>12.214211406185942</v>
      </c>
      <c r="O719" s="78">
        <f>L719*60*1000</f>
        <v>2232.9522160980277</v>
      </c>
      <c r="P719" s="79">
        <f>O719*M719/1000</f>
        <v>732.8526843711567</v>
      </c>
      <c r="R719" s="10"/>
      <c r="S719" s="10"/>
    </row>
    <row r="720" spans="1:19" s="9" customFormat="1" ht="12.75" customHeight="1">
      <c r="A720" s="212"/>
      <c r="B720" s="80" t="s">
        <v>343</v>
      </c>
      <c r="C720" s="41">
        <v>9</v>
      </c>
      <c r="D720" s="41">
        <v>1965</v>
      </c>
      <c r="E720" s="89">
        <v>15.766001</v>
      </c>
      <c r="F720" s="89">
        <v>0.816</v>
      </c>
      <c r="G720" s="89">
        <v>0.07</v>
      </c>
      <c r="H720" s="89">
        <v>14.880001</v>
      </c>
      <c r="I720" s="83">
        <v>399.34</v>
      </c>
      <c r="J720" s="89">
        <v>14.880001</v>
      </c>
      <c r="K720" s="83">
        <v>399.34</v>
      </c>
      <c r="L720" s="77">
        <v>0.037261</v>
      </c>
      <c r="M720" s="42">
        <v>302.373</v>
      </c>
      <c r="N720" s="78">
        <f>L720*M720</f>
        <v>11.266720353</v>
      </c>
      <c r="O720" s="78">
        <f>L720*60*1000</f>
        <v>2235.6600000000003</v>
      </c>
      <c r="P720" s="79">
        <f>N720*60</f>
        <v>676.00322118</v>
      </c>
      <c r="R720" s="10"/>
      <c r="S720" s="10"/>
    </row>
    <row r="721" spans="1:19" s="9" customFormat="1" ht="12.75" customHeight="1">
      <c r="A721" s="212"/>
      <c r="B721" s="80" t="s">
        <v>654</v>
      </c>
      <c r="C721" s="41">
        <v>8</v>
      </c>
      <c r="D721" s="41"/>
      <c r="E721" s="89">
        <v>13.428</v>
      </c>
      <c r="F721" s="89" t="s">
        <v>156</v>
      </c>
      <c r="G721" s="89" t="s">
        <v>156</v>
      </c>
      <c r="H721" s="89">
        <v>13.428</v>
      </c>
      <c r="I721" s="83">
        <v>359.66</v>
      </c>
      <c r="J721" s="89">
        <v>13.43</v>
      </c>
      <c r="K721" s="83">
        <v>359.66</v>
      </c>
      <c r="L721" s="77">
        <f>J721/K721</f>
        <v>0.03734082188733804</v>
      </c>
      <c r="M721" s="42">
        <v>328.199</v>
      </c>
      <c r="N721" s="78">
        <f>L721*M721</f>
        <v>12.255220402602458</v>
      </c>
      <c r="O721" s="78">
        <f>L721*60*1000</f>
        <v>2240.4493132402827</v>
      </c>
      <c r="P721" s="79">
        <f>O721*M721/1000</f>
        <v>735.3132241561476</v>
      </c>
      <c r="R721" s="10"/>
      <c r="S721" s="10"/>
    </row>
    <row r="722" spans="1:19" s="9" customFormat="1" ht="12.75" customHeight="1">
      <c r="A722" s="212"/>
      <c r="B722" s="80" t="s">
        <v>482</v>
      </c>
      <c r="C722" s="41">
        <v>36</v>
      </c>
      <c r="D722" s="41">
        <v>1987</v>
      </c>
      <c r="E722" s="89">
        <v>93</v>
      </c>
      <c r="F722" s="89">
        <v>4.7</v>
      </c>
      <c r="G722" s="89">
        <v>5.76</v>
      </c>
      <c r="H722" s="89">
        <v>82.5</v>
      </c>
      <c r="I722" s="264"/>
      <c r="J722" s="89">
        <f>H722</f>
        <v>82.5</v>
      </c>
      <c r="K722" s="83">
        <v>2209</v>
      </c>
      <c r="L722" s="77">
        <f>J722/K722</f>
        <v>0.037347215934812134</v>
      </c>
      <c r="M722" s="42">
        <v>187.7</v>
      </c>
      <c r="N722" s="78">
        <f>L722*M722</f>
        <v>7.010072430964237</v>
      </c>
      <c r="O722" s="78">
        <f>L722*60*1000</f>
        <v>2240.8329560887278</v>
      </c>
      <c r="P722" s="79">
        <f>O722*M722/1000</f>
        <v>420.6043458578542</v>
      </c>
      <c r="R722" s="10"/>
      <c r="S722" s="10"/>
    </row>
    <row r="723" spans="1:19" s="9" customFormat="1" ht="12.75" customHeight="1">
      <c r="A723" s="212"/>
      <c r="B723" s="80" t="s">
        <v>401</v>
      </c>
      <c r="C723" s="41">
        <v>12</v>
      </c>
      <c r="D723" s="41">
        <v>1969</v>
      </c>
      <c r="E723" s="89">
        <v>20.704</v>
      </c>
      <c r="F723" s="89">
        <v>0.714</v>
      </c>
      <c r="G723" s="89" t="s">
        <v>156</v>
      </c>
      <c r="H723" s="89">
        <v>19.99</v>
      </c>
      <c r="I723" s="83">
        <v>534.97</v>
      </c>
      <c r="J723" s="89">
        <v>19.99</v>
      </c>
      <c r="K723" s="83">
        <v>534.97</v>
      </c>
      <c r="L723" s="77">
        <f>J723/K723</f>
        <v>0.037366581303624496</v>
      </c>
      <c r="M723" s="42">
        <v>328.199</v>
      </c>
      <c r="N723" s="78">
        <f>L723*M723</f>
        <v>12.263674617268256</v>
      </c>
      <c r="O723" s="78">
        <f>L723*60*1000</f>
        <v>2241.9948782174697</v>
      </c>
      <c r="P723" s="79">
        <f>O723*M723/1000</f>
        <v>735.8204770360953</v>
      </c>
      <c r="Q723" s="11"/>
      <c r="R723" s="10"/>
      <c r="S723" s="10"/>
    </row>
    <row r="724" spans="1:19" s="9" customFormat="1" ht="12.75" customHeight="1">
      <c r="A724" s="212"/>
      <c r="B724" s="53" t="s">
        <v>183</v>
      </c>
      <c r="C724" s="26">
        <v>40</v>
      </c>
      <c r="D724" s="26">
        <v>1960</v>
      </c>
      <c r="E724" s="90">
        <v>61.476</v>
      </c>
      <c r="F724" s="90">
        <v>4.429657</v>
      </c>
      <c r="G724" s="90">
        <v>0.4</v>
      </c>
      <c r="H724" s="90">
        <v>56.646343</v>
      </c>
      <c r="I724" s="44">
        <v>1514.97</v>
      </c>
      <c r="J724" s="90">
        <v>54.696771</v>
      </c>
      <c r="K724" s="44">
        <v>1462.83</v>
      </c>
      <c r="L724" s="54">
        <f>J724/K724</f>
        <v>0.03739106458029983</v>
      </c>
      <c r="M724" s="26">
        <v>296.48</v>
      </c>
      <c r="N724" s="33">
        <f>L724*M724</f>
        <v>11.085702826767294</v>
      </c>
      <c r="O724" s="33">
        <f>L724*60*1000</f>
        <v>2243.46387481799</v>
      </c>
      <c r="P724" s="55">
        <f>O724*M724/1000</f>
        <v>665.1421696060377</v>
      </c>
      <c r="R724" s="10"/>
      <c r="S724" s="10"/>
    </row>
    <row r="725" spans="1:19" s="9" customFormat="1" ht="12.75" customHeight="1">
      <c r="A725" s="212"/>
      <c r="B725" s="80" t="s">
        <v>655</v>
      </c>
      <c r="C725" s="41">
        <v>12</v>
      </c>
      <c r="D725" s="41">
        <v>1960</v>
      </c>
      <c r="E725" s="89">
        <v>20.4326</v>
      </c>
      <c r="F725" s="89" t="s">
        <v>156</v>
      </c>
      <c r="G725" s="89" t="s">
        <v>156</v>
      </c>
      <c r="H725" s="89">
        <v>20.4326</v>
      </c>
      <c r="I725" s="83">
        <v>545.77</v>
      </c>
      <c r="J725" s="89">
        <v>20.43</v>
      </c>
      <c r="K725" s="83">
        <v>545.77</v>
      </c>
      <c r="L725" s="77">
        <f>J725/K725</f>
        <v>0.037433351045312126</v>
      </c>
      <c r="M725" s="42">
        <v>328.199</v>
      </c>
      <c r="N725" s="78">
        <f>L725*M725</f>
        <v>12.285588379720394</v>
      </c>
      <c r="O725" s="78">
        <f>L725*60*1000</f>
        <v>2246.0010627187276</v>
      </c>
      <c r="P725" s="79">
        <f>O725*M725/1000</f>
        <v>737.1353027832237</v>
      </c>
      <c r="R725" s="10"/>
      <c r="S725" s="10"/>
    </row>
    <row r="726" spans="1:19" s="9" customFormat="1" ht="12.75" customHeight="1">
      <c r="A726" s="212"/>
      <c r="B726" s="80" t="s">
        <v>656</v>
      </c>
      <c r="C726" s="41">
        <v>20</v>
      </c>
      <c r="D726" s="41"/>
      <c r="E726" s="89">
        <v>42.4999</v>
      </c>
      <c r="F726" s="89" t="s">
        <v>156</v>
      </c>
      <c r="G726" s="89" t="s">
        <v>156</v>
      </c>
      <c r="H726" s="89">
        <v>42.4999</v>
      </c>
      <c r="I726" s="83">
        <v>1135.1</v>
      </c>
      <c r="J726" s="89">
        <v>42.5</v>
      </c>
      <c r="K726" s="83">
        <v>1135.1</v>
      </c>
      <c r="L726" s="77">
        <f>J726/K726</f>
        <v>0.03744163509822923</v>
      </c>
      <c r="M726" s="42">
        <v>328.199</v>
      </c>
      <c r="N726" s="78">
        <f>L726*M726</f>
        <v>12.288307197603736</v>
      </c>
      <c r="O726" s="78">
        <f>L726*60*1000</f>
        <v>2246.498105893754</v>
      </c>
      <c r="P726" s="79">
        <f>O726*M726/1000</f>
        <v>737.2984318562243</v>
      </c>
      <c r="R726" s="10"/>
      <c r="S726" s="10"/>
    </row>
    <row r="727" spans="1:19" s="9" customFormat="1" ht="12.75" customHeight="1">
      <c r="A727" s="212"/>
      <c r="B727" s="80" t="s">
        <v>824</v>
      </c>
      <c r="C727" s="41">
        <v>7</v>
      </c>
      <c r="D727" s="41" t="s">
        <v>24</v>
      </c>
      <c r="E727" s="89">
        <f>F727+G727+H727</f>
        <v>14.208</v>
      </c>
      <c r="F727" s="89">
        <v>0.702</v>
      </c>
      <c r="G727" s="89">
        <v>0.07</v>
      </c>
      <c r="H727" s="89">
        <v>13.436</v>
      </c>
      <c r="I727" s="83">
        <v>358.82</v>
      </c>
      <c r="J727" s="89">
        <v>13.436</v>
      </c>
      <c r="K727" s="83">
        <v>358.82</v>
      </c>
      <c r="L727" s="77">
        <f>J727/K727</f>
        <v>0.03744495847500139</v>
      </c>
      <c r="M727" s="41">
        <v>350.76</v>
      </c>
      <c r="N727" s="78">
        <f>L727*M727</f>
        <v>13.134193634691488</v>
      </c>
      <c r="O727" s="78">
        <f>L727*60*1000</f>
        <v>2246.6975085000836</v>
      </c>
      <c r="P727" s="79">
        <f>O727*M727/1000</f>
        <v>788.0516180814893</v>
      </c>
      <c r="R727" s="10"/>
      <c r="S727" s="10"/>
    </row>
    <row r="728" spans="1:19" s="9" customFormat="1" ht="12.75" customHeight="1">
      <c r="A728" s="212"/>
      <c r="B728" s="80" t="s">
        <v>230</v>
      </c>
      <c r="C728" s="41">
        <v>10</v>
      </c>
      <c r="D728" s="41">
        <v>1940</v>
      </c>
      <c r="E728" s="89">
        <v>12.711</v>
      </c>
      <c r="F728" s="89" t="s">
        <v>156</v>
      </c>
      <c r="G728" s="89" t="s">
        <v>156</v>
      </c>
      <c r="H728" s="89">
        <v>12.711</v>
      </c>
      <c r="I728" s="83">
        <v>339.31</v>
      </c>
      <c r="J728" s="89">
        <v>12.71</v>
      </c>
      <c r="K728" s="83">
        <v>339.31</v>
      </c>
      <c r="L728" s="77">
        <f>J728/K728</f>
        <v>0.037458371400783945</v>
      </c>
      <c r="M728" s="42">
        <v>328.199</v>
      </c>
      <c r="N728" s="78">
        <f>L728*M728</f>
        <v>12.29380003536589</v>
      </c>
      <c r="O728" s="78">
        <f>L728*60*1000</f>
        <v>2247.502284047037</v>
      </c>
      <c r="P728" s="79">
        <f>O728*M728/1000</f>
        <v>737.6280021219535</v>
      </c>
      <c r="Q728" s="11"/>
      <c r="R728" s="10"/>
      <c r="S728" s="10"/>
    </row>
    <row r="729" spans="1:19" s="9" customFormat="1" ht="11.25" customHeight="1">
      <c r="A729" s="212"/>
      <c r="B729" s="53" t="s">
        <v>147</v>
      </c>
      <c r="C729" s="26">
        <v>12</v>
      </c>
      <c r="D729" s="26">
        <v>1963</v>
      </c>
      <c r="E729" s="90">
        <f>SUM(F729:H729)</f>
        <v>22.616000999999997</v>
      </c>
      <c r="F729" s="90">
        <v>1.8795</v>
      </c>
      <c r="G729" s="90">
        <v>0.705</v>
      </c>
      <c r="H729" s="90">
        <v>20.031501</v>
      </c>
      <c r="I729" s="44">
        <v>534.54</v>
      </c>
      <c r="J729" s="90">
        <v>20.031501</v>
      </c>
      <c r="K729" s="44">
        <v>534.54</v>
      </c>
      <c r="L729" s="54">
        <f>J729/K729</f>
        <v>0.037474278819171626</v>
      </c>
      <c r="M729" s="33">
        <v>284.9</v>
      </c>
      <c r="N729" s="33">
        <f>L729*M729*1.09</f>
        <v>11.637300018784375</v>
      </c>
      <c r="O729" s="33">
        <f>L729*60*1000</f>
        <v>2248.4567291502976</v>
      </c>
      <c r="P729" s="55">
        <f>N729*60</f>
        <v>698.2380011270625</v>
      </c>
      <c r="R729" s="10"/>
      <c r="S729" s="10"/>
    </row>
    <row r="730" spans="1:19" s="9" customFormat="1" ht="12.75" customHeight="1">
      <c r="A730" s="212"/>
      <c r="B730" s="255" t="s">
        <v>141</v>
      </c>
      <c r="C730" s="203">
        <v>12</v>
      </c>
      <c r="D730" s="41">
        <v>1968</v>
      </c>
      <c r="E730" s="89">
        <f>F730+G730+H730</f>
        <v>20.875</v>
      </c>
      <c r="F730" s="200">
        <v>0.612</v>
      </c>
      <c r="G730" s="200">
        <v>0.12</v>
      </c>
      <c r="H730" s="200">
        <v>20.143</v>
      </c>
      <c r="I730" s="201">
        <v>536.53</v>
      </c>
      <c r="J730" s="200">
        <v>20.143</v>
      </c>
      <c r="K730" s="201">
        <v>536.53</v>
      </c>
      <c r="L730" s="77">
        <f>J730/K730</f>
        <v>0.037543101038152574</v>
      </c>
      <c r="M730" s="42">
        <v>314.465</v>
      </c>
      <c r="N730" s="78">
        <f>L730*M730</f>
        <v>11.805991267962648</v>
      </c>
      <c r="O730" s="78">
        <f>L730*60*1000</f>
        <v>2252.586062289154</v>
      </c>
      <c r="P730" s="79">
        <f>O730*M730/1000</f>
        <v>708.3594760777588</v>
      </c>
      <c r="Q730" s="11"/>
      <c r="R730" s="10"/>
      <c r="S730" s="10"/>
    </row>
    <row r="731" spans="1:19" s="9" customFormat="1" ht="12.75" customHeight="1">
      <c r="A731" s="212"/>
      <c r="B731" s="80" t="s">
        <v>515</v>
      </c>
      <c r="C731" s="41">
        <v>40</v>
      </c>
      <c r="D731" s="41">
        <v>1963</v>
      </c>
      <c r="E731" s="89">
        <v>58.031</v>
      </c>
      <c r="F731" s="89">
        <v>2.3367</v>
      </c>
      <c r="G731" s="89">
        <v>0.4</v>
      </c>
      <c r="H731" s="89">
        <f>E731-F731-G731</f>
        <v>55.2943</v>
      </c>
      <c r="I731" s="83">
        <v>1471.95</v>
      </c>
      <c r="J731" s="89">
        <f>H731</f>
        <v>55.2943</v>
      </c>
      <c r="K731" s="83">
        <f>I731</f>
        <v>1471.95</v>
      </c>
      <c r="L731" s="77">
        <f>J731/K731</f>
        <v>0.03756533849655219</v>
      </c>
      <c r="M731" s="42">
        <v>279.476</v>
      </c>
      <c r="N731" s="78">
        <f>L731*M731</f>
        <v>10.498610541662421</v>
      </c>
      <c r="O731" s="78">
        <f>L731*60*1000</f>
        <v>2253.9203097931313</v>
      </c>
      <c r="P731" s="79">
        <f>O731*M731/1000</f>
        <v>629.9166324997451</v>
      </c>
      <c r="R731" s="10"/>
      <c r="S731" s="10"/>
    </row>
    <row r="732" spans="1:19" s="9" customFormat="1" ht="12.75" customHeight="1">
      <c r="A732" s="212"/>
      <c r="B732" s="53" t="s">
        <v>163</v>
      </c>
      <c r="C732" s="26">
        <v>6</v>
      </c>
      <c r="D732" s="26" t="s">
        <v>24</v>
      </c>
      <c r="E732" s="90">
        <f>F732+G732+H732</f>
        <v>14.270100000000001</v>
      </c>
      <c r="F732" s="90">
        <v>0.6222</v>
      </c>
      <c r="G732" s="90">
        <v>0.96</v>
      </c>
      <c r="H732" s="90">
        <v>12.6879</v>
      </c>
      <c r="I732" s="44">
        <v>337.61</v>
      </c>
      <c r="J732" s="90">
        <v>12.6879</v>
      </c>
      <c r="K732" s="44">
        <v>337.61</v>
      </c>
      <c r="L732" s="54">
        <f>J732/K732</f>
        <v>0.037581528983146234</v>
      </c>
      <c r="M732" s="33">
        <v>210</v>
      </c>
      <c r="N732" s="33">
        <f>L732*M732</f>
        <v>7.892121086460709</v>
      </c>
      <c r="O732" s="33">
        <f>L732*1000*60</f>
        <v>2254.8917389887743</v>
      </c>
      <c r="P732" s="55">
        <f>N732*60</f>
        <v>473.52726518764257</v>
      </c>
      <c r="R732" s="10"/>
      <c r="S732" s="10"/>
    </row>
    <row r="733" spans="1:19" s="9" customFormat="1" ht="12.75" customHeight="1">
      <c r="A733" s="212"/>
      <c r="B733" s="80" t="s">
        <v>609</v>
      </c>
      <c r="C733" s="41">
        <v>4</v>
      </c>
      <c r="D733" s="41">
        <v>1850</v>
      </c>
      <c r="E733" s="89">
        <v>8.075</v>
      </c>
      <c r="F733" s="89">
        <v>0.255</v>
      </c>
      <c r="G733" s="89">
        <v>0.64</v>
      </c>
      <c r="H733" s="89">
        <v>7.18</v>
      </c>
      <c r="I733" s="83">
        <v>190.97</v>
      </c>
      <c r="J733" s="89">
        <v>5.824985</v>
      </c>
      <c r="K733" s="83">
        <v>154.93</v>
      </c>
      <c r="L733" s="77">
        <v>0.037597</v>
      </c>
      <c r="M733" s="42">
        <v>302.373</v>
      </c>
      <c r="N733" s="78">
        <f>L733*M733</f>
        <v>11.368317680999999</v>
      </c>
      <c r="O733" s="78">
        <f>L733*60*1000</f>
        <v>2255.8199999999997</v>
      </c>
      <c r="P733" s="79">
        <f>N733*60</f>
        <v>682.0990608599999</v>
      </c>
      <c r="R733" s="10"/>
      <c r="S733" s="10"/>
    </row>
    <row r="734" spans="1:19" s="9" customFormat="1" ht="12.75" customHeight="1">
      <c r="A734" s="212"/>
      <c r="B734" s="80" t="s">
        <v>610</v>
      </c>
      <c r="C734" s="41">
        <v>5</v>
      </c>
      <c r="D734" s="41">
        <v>1890</v>
      </c>
      <c r="E734" s="89">
        <v>13.565</v>
      </c>
      <c r="F734" s="89">
        <v>0.153</v>
      </c>
      <c r="G734" s="89">
        <v>0.72</v>
      </c>
      <c r="H734" s="89">
        <v>12.692</v>
      </c>
      <c r="I734" s="83">
        <v>336.82</v>
      </c>
      <c r="J734" s="89">
        <v>6.811748</v>
      </c>
      <c r="K734" s="83">
        <v>180.77</v>
      </c>
      <c r="L734" s="77">
        <v>0.037681</v>
      </c>
      <c r="M734" s="42">
        <v>302.373</v>
      </c>
      <c r="N734" s="78">
        <f>L734*M734</f>
        <v>11.393717013</v>
      </c>
      <c r="O734" s="78">
        <f>L734*60*1000</f>
        <v>2260.86</v>
      </c>
      <c r="P734" s="79">
        <f>N734*60</f>
        <v>683.6230207799999</v>
      </c>
      <c r="R734" s="10"/>
      <c r="S734" s="10"/>
    </row>
    <row r="735" spans="1:19" s="9" customFormat="1" ht="12.75" customHeight="1">
      <c r="A735" s="212"/>
      <c r="B735" s="80" t="s">
        <v>398</v>
      </c>
      <c r="C735" s="41">
        <v>30</v>
      </c>
      <c r="D735" s="41">
        <v>1977</v>
      </c>
      <c r="E735" s="89">
        <v>50.471</v>
      </c>
      <c r="F735" s="89">
        <v>2.55</v>
      </c>
      <c r="G735" s="89">
        <v>4.64</v>
      </c>
      <c r="H735" s="89">
        <v>43.281</v>
      </c>
      <c r="I735" s="83">
        <v>1147.68</v>
      </c>
      <c r="J735" s="89">
        <v>43.28</v>
      </c>
      <c r="K735" s="83">
        <v>1147.68</v>
      </c>
      <c r="L735" s="77">
        <f>J735/K735</f>
        <v>0.03771086017008225</v>
      </c>
      <c r="M735" s="42">
        <v>328.199</v>
      </c>
      <c r="N735" s="78">
        <f>L735*M735</f>
        <v>12.376666596960826</v>
      </c>
      <c r="O735" s="78">
        <f>L735*60*1000</f>
        <v>2262.651610204935</v>
      </c>
      <c r="P735" s="79">
        <f>O735*M735/1000</f>
        <v>742.5999958176495</v>
      </c>
      <c r="R735" s="45"/>
      <c r="S735" s="10"/>
    </row>
    <row r="736" spans="1:19" s="9" customFormat="1" ht="12.75" customHeight="1">
      <c r="A736" s="212"/>
      <c r="B736" s="80" t="s">
        <v>896</v>
      </c>
      <c r="C736" s="41">
        <v>12</v>
      </c>
      <c r="D736" s="41" t="s">
        <v>158</v>
      </c>
      <c r="E736" s="89">
        <f>+F736+G736+H736</f>
        <v>25.520386</v>
      </c>
      <c r="F736" s="89">
        <v>0.82467</v>
      </c>
      <c r="G736" s="89">
        <v>1.92</v>
      </c>
      <c r="H736" s="89">
        <v>22.775716</v>
      </c>
      <c r="I736" s="83">
        <v>603.69</v>
      </c>
      <c r="J736" s="89">
        <v>22.775716</v>
      </c>
      <c r="K736" s="83">
        <v>603.69</v>
      </c>
      <c r="L736" s="77">
        <f>J736/K736</f>
        <v>0.037727502526130954</v>
      </c>
      <c r="M736" s="41">
        <v>283.618</v>
      </c>
      <c r="N736" s="78">
        <f>L736*M736</f>
        <v>10.70019881145621</v>
      </c>
      <c r="O736" s="78">
        <f>L736*60*1000</f>
        <v>2263.650151567857</v>
      </c>
      <c r="P736" s="79">
        <f>O736*M736/1000</f>
        <v>642.0119286873725</v>
      </c>
      <c r="R736" s="10"/>
      <c r="S736" s="10"/>
    </row>
    <row r="737" spans="1:19" s="9" customFormat="1" ht="13.5" customHeight="1">
      <c r="A737" s="212"/>
      <c r="B737" s="53" t="s">
        <v>68</v>
      </c>
      <c r="C737" s="26">
        <v>77</v>
      </c>
      <c r="D737" s="26">
        <v>1960</v>
      </c>
      <c r="E737" s="90">
        <v>55.01</v>
      </c>
      <c r="F737" s="90">
        <v>6.12</v>
      </c>
      <c r="G737" s="90">
        <v>1.16</v>
      </c>
      <c r="H737" s="90">
        <f>E737-F737-G737</f>
        <v>47.730000000000004</v>
      </c>
      <c r="I737" s="44">
        <v>1264.2</v>
      </c>
      <c r="J737" s="90">
        <f>H737/I737*K737</f>
        <v>47.156122448979595</v>
      </c>
      <c r="K737" s="26">
        <v>1249</v>
      </c>
      <c r="L737" s="54">
        <f>J737/K737</f>
        <v>0.03775510204081633</v>
      </c>
      <c r="M737" s="33">
        <v>323.29400000000004</v>
      </c>
      <c r="N737" s="33">
        <f>L737*M737</f>
        <v>12.205997959183675</v>
      </c>
      <c r="O737" s="33">
        <f>L737*60*1000</f>
        <v>2265.3061224489797</v>
      </c>
      <c r="P737" s="55">
        <f>O737*M737/1000</f>
        <v>732.3598775510206</v>
      </c>
      <c r="Q737" s="11"/>
      <c r="R737" s="10"/>
      <c r="S737" s="10"/>
    </row>
    <row r="738" spans="1:19" s="9" customFormat="1" ht="12.75" customHeight="1">
      <c r="A738" s="212"/>
      <c r="B738" s="80" t="s">
        <v>863</v>
      </c>
      <c r="C738" s="41">
        <v>11</v>
      </c>
      <c r="D738" s="41">
        <v>1983</v>
      </c>
      <c r="E738" s="89">
        <v>21.997</v>
      </c>
      <c r="F738" s="89">
        <v>0.441</v>
      </c>
      <c r="G738" s="89">
        <v>1.92</v>
      </c>
      <c r="H738" s="89">
        <v>19.636</v>
      </c>
      <c r="I738" s="83">
        <v>520</v>
      </c>
      <c r="J738" s="89">
        <v>19.636</v>
      </c>
      <c r="K738" s="83">
        <v>520</v>
      </c>
      <c r="L738" s="77">
        <f>J738/K738</f>
        <v>0.03776153846153846</v>
      </c>
      <c r="M738" s="42">
        <v>254.2</v>
      </c>
      <c r="N738" s="78">
        <f>L738*M738</f>
        <v>9.598983076923075</v>
      </c>
      <c r="O738" s="78">
        <f>L738*60*1000</f>
        <v>2265.6923076923076</v>
      </c>
      <c r="P738" s="79">
        <f>O738*M738/1000</f>
        <v>575.9389846153846</v>
      </c>
      <c r="Q738" s="11"/>
      <c r="R738" s="10"/>
      <c r="S738" s="10"/>
    </row>
    <row r="739" spans="1:19" s="9" customFormat="1" ht="12.75" customHeight="1">
      <c r="A739" s="212"/>
      <c r="B739" s="80" t="s">
        <v>340</v>
      </c>
      <c r="C739" s="41">
        <v>7</v>
      </c>
      <c r="D739" s="41">
        <v>1900</v>
      </c>
      <c r="E739" s="89">
        <v>11.303</v>
      </c>
      <c r="F739" s="89">
        <v>0.391068</v>
      </c>
      <c r="G739" s="89">
        <v>0.96</v>
      </c>
      <c r="H739" s="89">
        <v>9.951932</v>
      </c>
      <c r="I739" s="83">
        <v>263.54</v>
      </c>
      <c r="J739" s="89">
        <v>5.909455</v>
      </c>
      <c r="K739" s="83">
        <v>156.49</v>
      </c>
      <c r="L739" s="77">
        <v>0.037762</v>
      </c>
      <c r="M739" s="42">
        <v>302.373</v>
      </c>
      <c r="N739" s="78">
        <f>L739*M739</f>
        <v>11.418209225999998</v>
      </c>
      <c r="O739" s="78">
        <f>L739*60*1000</f>
        <v>2265.72</v>
      </c>
      <c r="P739" s="79">
        <f>N739*60</f>
        <v>685.0925535599999</v>
      </c>
      <c r="R739" s="10"/>
      <c r="S739" s="10"/>
    </row>
    <row r="740" spans="1:19" s="9" customFormat="1" ht="12.75">
      <c r="A740" s="212"/>
      <c r="B740" s="80" t="s">
        <v>231</v>
      </c>
      <c r="C740" s="41">
        <v>18</v>
      </c>
      <c r="D740" s="41">
        <v>1974</v>
      </c>
      <c r="E740" s="89">
        <v>31.305</v>
      </c>
      <c r="F740" s="89">
        <v>1.071</v>
      </c>
      <c r="G740" s="89" t="s">
        <v>156</v>
      </c>
      <c r="H740" s="89">
        <v>30.234</v>
      </c>
      <c r="I740" s="83">
        <v>799.56</v>
      </c>
      <c r="J740" s="89">
        <v>30.23</v>
      </c>
      <c r="K740" s="83">
        <v>799.56</v>
      </c>
      <c r="L740" s="77">
        <f>J740/K740</f>
        <v>0.037808294562009105</v>
      </c>
      <c r="M740" s="42">
        <v>328.199</v>
      </c>
      <c r="N740" s="78">
        <f>L740*M740</f>
        <v>12.408644466956826</v>
      </c>
      <c r="O740" s="78">
        <f>L740*60*1000</f>
        <v>2268.4976737205466</v>
      </c>
      <c r="P740" s="79">
        <f>O740*M740/1000</f>
        <v>744.5186680174097</v>
      </c>
      <c r="R740" s="10"/>
      <c r="S740" s="10"/>
    </row>
    <row r="741" spans="1:19" s="9" customFormat="1" ht="12.75">
      <c r="A741" s="212"/>
      <c r="B741" s="80" t="s">
        <v>277</v>
      </c>
      <c r="C741" s="41">
        <v>12</v>
      </c>
      <c r="D741" s="41" t="s">
        <v>24</v>
      </c>
      <c r="E741" s="89">
        <f>F741+G741+H741</f>
        <v>28.596</v>
      </c>
      <c r="F741" s="89">
        <v>0.432</v>
      </c>
      <c r="G741" s="89">
        <v>1.6</v>
      </c>
      <c r="H741" s="89">
        <v>26.564</v>
      </c>
      <c r="I741" s="83">
        <v>701.96</v>
      </c>
      <c r="J741" s="89">
        <v>26.564</v>
      </c>
      <c r="K741" s="83">
        <v>701.96</v>
      </c>
      <c r="L741" s="77">
        <f>J741/K741</f>
        <v>0.037842612114650405</v>
      </c>
      <c r="M741" s="41">
        <v>350.76</v>
      </c>
      <c r="N741" s="78">
        <f>L741*M741</f>
        <v>13.273674625334776</v>
      </c>
      <c r="O741" s="78">
        <f>L741*60*1000</f>
        <v>2270.556726879024</v>
      </c>
      <c r="P741" s="79">
        <f>O741*M741/1000</f>
        <v>796.4204775200865</v>
      </c>
      <c r="Q741" s="11"/>
      <c r="R741" s="10"/>
      <c r="S741" s="10"/>
    </row>
    <row r="742" spans="1:19" s="9" customFormat="1" ht="12.75">
      <c r="A742" s="212"/>
      <c r="B742" s="80" t="s">
        <v>399</v>
      </c>
      <c r="C742" s="41">
        <v>12</v>
      </c>
      <c r="D742" s="41">
        <v>1960</v>
      </c>
      <c r="E742" s="89">
        <v>23.0192</v>
      </c>
      <c r="F742" s="89">
        <v>0.918</v>
      </c>
      <c r="G742" s="89">
        <v>1.92</v>
      </c>
      <c r="H742" s="89">
        <v>20.1812</v>
      </c>
      <c r="I742" s="83">
        <v>532.26</v>
      </c>
      <c r="J742" s="89">
        <v>20.18</v>
      </c>
      <c r="K742" s="83">
        <v>532.26</v>
      </c>
      <c r="L742" s="77">
        <f>J742/K742</f>
        <v>0.03791380152557021</v>
      </c>
      <c r="M742" s="42">
        <v>328.199</v>
      </c>
      <c r="N742" s="78">
        <f>L742*M742</f>
        <v>12.443271746890618</v>
      </c>
      <c r="O742" s="78">
        <f>L742*60*1000</f>
        <v>2274.8280915342125</v>
      </c>
      <c r="P742" s="79">
        <f>O742*M742/1000</f>
        <v>746.5963048134371</v>
      </c>
      <c r="Q742" s="11"/>
      <c r="R742" s="10"/>
      <c r="S742" s="10"/>
    </row>
    <row r="743" spans="1:19" s="9" customFormat="1" ht="12.75">
      <c r="A743" s="212"/>
      <c r="B743" s="80" t="s">
        <v>344</v>
      </c>
      <c r="C743" s="41">
        <v>12</v>
      </c>
      <c r="D743" s="41">
        <v>1973</v>
      </c>
      <c r="E743" s="89">
        <v>19.340001</v>
      </c>
      <c r="F743" s="89">
        <v>0</v>
      </c>
      <c r="G743" s="89">
        <v>0</v>
      </c>
      <c r="H743" s="89">
        <v>19.340001</v>
      </c>
      <c r="I743" s="83">
        <v>510.06</v>
      </c>
      <c r="J743" s="89">
        <v>19.340001</v>
      </c>
      <c r="K743" s="83">
        <v>510.06</v>
      </c>
      <c r="L743" s="77">
        <v>0.037917</v>
      </c>
      <c r="M743" s="42">
        <v>302.373</v>
      </c>
      <c r="N743" s="78">
        <f>L743*M743</f>
        <v>11.465077040999999</v>
      </c>
      <c r="O743" s="78">
        <f>L743*60*1000</f>
        <v>2275.02</v>
      </c>
      <c r="P743" s="79">
        <f>N743*60</f>
        <v>687.9046224599999</v>
      </c>
      <c r="R743" s="10"/>
      <c r="S743" s="10"/>
    </row>
    <row r="744" spans="1:19" s="9" customFormat="1" ht="12.75">
      <c r="A744" s="212"/>
      <c r="B744" s="80" t="s">
        <v>881</v>
      </c>
      <c r="C744" s="41">
        <v>8</v>
      </c>
      <c r="D744" s="41">
        <v>1968</v>
      </c>
      <c r="E744" s="89">
        <v>16.337</v>
      </c>
      <c r="F744" s="89">
        <v>0.255</v>
      </c>
      <c r="G744" s="89">
        <v>1.28</v>
      </c>
      <c r="H744" s="89">
        <v>390.08</v>
      </c>
      <c r="I744" s="83">
        <v>390.08</v>
      </c>
      <c r="J744" s="89">
        <v>14.802</v>
      </c>
      <c r="K744" s="83">
        <v>390.08</v>
      </c>
      <c r="L744" s="77">
        <f>J744/K744</f>
        <v>0.037946062346185395</v>
      </c>
      <c r="M744" s="42">
        <v>223.12</v>
      </c>
      <c r="N744" s="78">
        <f>L744*M744</f>
        <v>8.466525430680885</v>
      </c>
      <c r="O744" s="78">
        <f>L744*60*1000</f>
        <v>2276.763740771124</v>
      </c>
      <c r="P744" s="79">
        <f>O744*M744/1000</f>
        <v>507.9915258408532</v>
      </c>
      <c r="R744" s="10"/>
      <c r="S744" s="10"/>
    </row>
    <row r="745" spans="1:19" s="9" customFormat="1" ht="12.75">
      <c r="A745" s="212"/>
      <c r="B745" s="95" t="s">
        <v>690</v>
      </c>
      <c r="C745" s="41">
        <v>12</v>
      </c>
      <c r="D745" s="41" t="s">
        <v>24</v>
      </c>
      <c r="E745" s="89">
        <v>23.4</v>
      </c>
      <c r="F745" s="89">
        <v>46</v>
      </c>
      <c r="G745" s="89">
        <v>0.12</v>
      </c>
      <c r="H745" s="89">
        <v>22.82</v>
      </c>
      <c r="I745" s="41">
        <v>601</v>
      </c>
      <c r="J745" s="41">
        <v>22.82</v>
      </c>
      <c r="K745" s="41">
        <v>601</v>
      </c>
      <c r="L745" s="77">
        <f>J745/K745</f>
        <v>0.037970049916805325</v>
      </c>
      <c r="M745" s="42">
        <v>235.3</v>
      </c>
      <c r="N745" s="78">
        <f>L745*M745</f>
        <v>8.934352745424293</v>
      </c>
      <c r="O745" s="78">
        <f>L745*60*1000</f>
        <v>2278.2029950083197</v>
      </c>
      <c r="P745" s="79">
        <f>O745*M745/1000</f>
        <v>536.0611647254576</v>
      </c>
      <c r="R745" s="10"/>
      <c r="S745" s="10"/>
    </row>
    <row r="746" spans="1:19" s="9" customFormat="1" ht="12.75">
      <c r="A746" s="212"/>
      <c r="B746" s="80" t="s">
        <v>117</v>
      </c>
      <c r="C746" s="41">
        <v>8</v>
      </c>
      <c r="D746" s="41">
        <v>1970</v>
      </c>
      <c r="E746" s="89">
        <v>13.395001</v>
      </c>
      <c r="F746" s="89">
        <v>0.204</v>
      </c>
      <c r="G746" s="89">
        <v>0.96</v>
      </c>
      <c r="H746" s="89">
        <v>12.231001</v>
      </c>
      <c r="I746" s="83">
        <v>321.83</v>
      </c>
      <c r="J746" s="89">
        <v>8.580665</v>
      </c>
      <c r="K746" s="83">
        <v>225.78</v>
      </c>
      <c r="L746" s="77">
        <v>0.038004</v>
      </c>
      <c r="M746" s="42">
        <v>302.37</v>
      </c>
      <c r="N746" s="78">
        <f>M746*L746</f>
        <v>11.491269480000001</v>
      </c>
      <c r="O746" s="78">
        <f>L746*60*1000</f>
        <v>2280.2400000000002</v>
      </c>
      <c r="P746" s="79">
        <f>N746*60</f>
        <v>689.4761688000001</v>
      </c>
      <c r="R746" s="10"/>
      <c r="S746" s="10"/>
    </row>
    <row r="747" spans="1:19" s="9" customFormat="1" ht="12.75">
      <c r="A747" s="212"/>
      <c r="B747" s="80" t="s">
        <v>345</v>
      </c>
      <c r="C747" s="41">
        <v>6</v>
      </c>
      <c r="D747" s="41">
        <v>1959</v>
      </c>
      <c r="E747" s="89">
        <v>13.632</v>
      </c>
      <c r="F747" s="89">
        <v>0.5865</v>
      </c>
      <c r="G747" s="89">
        <v>0.96</v>
      </c>
      <c r="H747" s="89">
        <v>12.0855</v>
      </c>
      <c r="I747" s="83">
        <v>317.83</v>
      </c>
      <c r="J747" s="89">
        <v>12.0855</v>
      </c>
      <c r="K747" s="83">
        <v>317.83</v>
      </c>
      <c r="L747" s="77">
        <v>0.038025</v>
      </c>
      <c r="M747" s="42">
        <v>302.37</v>
      </c>
      <c r="N747" s="78">
        <f>M747*L747</f>
        <v>11.497619250000001</v>
      </c>
      <c r="O747" s="78">
        <f>L747*60*1000</f>
        <v>2281.5000000000005</v>
      </c>
      <c r="P747" s="79">
        <f>N747*60</f>
        <v>689.857155</v>
      </c>
      <c r="R747" s="10"/>
      <c r="S747" s="10"/>
    </row>
    <row r="748" spans="1:16" s="9" customFormat="1" ht="12.75" customHeight="1">
      <c r="A748" s="212"/>
      <c r="B748" s="80" t="s">
        <v>657</v>
      </c>
      <c r="C748" s="41">
        <v>7</v>
      </c>
      <c r="D748" s="41"/>
      <c r="E748" s="89">
        <v>10.1092</v>
      </c>
      <c r="F748" s="89" t="s">
        <v>156</v>
      </c>
      <c r="G748" s="89" t="s">
        <v>156</v>
      </c>
      <c r="H748" s="89">
        <v>10.1092</v>
      </c>
      <c r="I748" s="83">
        <v>265.75</v>
      </c>
      <c r="J748" s="89">
        <v>10.11</v>
      </c>
      <c r="K748" s="83">
        <v>265.75</v>
      </c>
      <c r="L748" s="77">
        <f>J748/K748</f>
        <v>0.03804327375352775</v>
      </c>
      <c r="M748" s="42">
        <v>328.199</v>
      </c>
      <c r="N748" s="78">
        <f>L748*M748</f>
        <v>12.485764402634054</v>
      </c>
      <c r="O748" s="78">
        <f>L748*60*1000</f>
        <v>2282.5964252116646</v>
      </c>
      <c r="P748" s="79">
        <f>O748*M748/1000</f>
        <v>749.1458641580432</v>
      </c>
    </row>
    <row r="749" spans="1:19" s="9" customFormat="1" ht="12.75" customHeight="1">
      <c r="A749" s="212"/>
      <c r="B749" s="53" t="s">
        <v>418</v>
      </c>
      <c r="C749" s="263">
        <v>48</v>
      </c>
      <c r="D749" s="26" t="s">
        <v>24</v>
      </c>
      <c r="E749" s="90">
        <f>F749+G749+H749</f>
        <v>31.394</v>
      </c>
      <c r="F749" s="90">
        <v>0</v>
      </c>
      <c r="G749" s="90">
        <v>0</v>
      </c>
      <c r="H749" s="90">
        <v>31.394</v>
      </c>
      <c r="I749" s="44">
        <v>825.18</v>
      </c>
      <c r="J749" s="90">
        <v>31.394</v>
      </c>
      <c r="K749" s="44">
        <v>825.18</v>
      </c>
      <c r="L749" s="54">
        <f>J749/K749</f>
        <v>0.038045032598948106</v>
      </c>
      <c r="M749" s="33">
        <v>210</v>
      </c>
      <c r="N749" s="33">
        <f>L749*M749</f>
        <v>7.989456845779102</v>
      </c>
      <c r="O749" s="33">
        <f>L749*1000*60</f>
        <v>2282.7019559368864</v>
      </c>
      <c r="P749" s="55">
        <f>N749*60</f>
        <v>479.36741074674615</v>
      </c>
      <c r="Q749" s="11"/>
      <c r="R749" s="10"/>
      <c r="S749" s="10"/>
    </row>
    <row r="750" spans="1:19" s="9" customFormat="1" ht="12.75">
      <c r="A750" s="212"/>
      <c r="B750" s="80" t="s">
        <v>754</v>
      </c>
      <c r="C750" s="41">
        <v>12</v>
      </c>
      <c r="D750" s="41"/>
      <c r="E750" s="89">
        <v>15</v>
      </c>
      <c r="F750" s="89">
        <v>0</v>
      </c>
      <c r="G750" s="89">
        <v>0</v>
      </c>
      <c r="H750" s="89">
        <v>15.014</v>
      </c>
      <c r="I750" s="83">
        <v>393.99</v>
      </c>
      <c r="J750" s="89">
        <v>15</v>
      </c>
      <c r="K750" s="83">
        <v>394</v>
      </c>
      <c r="L750" s="77">
        <f>J750/K750</f>
        <v>0.03807106598984772</v>
      </c>
      <c r="M750" s="42">
        <v>220.9</v>
      </c>
      <c r="N750" s="78">
        <f>L750*M750</f>
        <v>8.40989847715736</v>
      </c>
      <c r="O750" s="78">
        <f>L750*60*1000</f>
        <v>2284.263959390863</v>
      </c>
      <c r="P750" s="79">
        <f>O750*M750/1000</f>
        <v>504.5939086294416</v>
      </c>
      <c r="R750" s="10"/>
      <c r="S750" s="10"/>
    </row>
    <row r="751" spans="1:19" s="9" customFormat="1" ht="12.75">
      <c r="A751" s="212"/>
      <c r="B751" s="80" t="s">
        <v>755</v>
      </c>
      <c r="C751" s="41">
        <v>8</v>
      </c>
      <c r="D751" s="41">
        <v>1959</v>
      </c>
      <c r="E751" s="89">
        <v>15.5</v>
      </c>
      <c r="F751" s="89">
        <v>0.255</v>
      </c>
      <c r="G751" s="89">
        <v>1.2</v>
      </c>
      <c r="H751" s="89">
        <v>14.045</v>
      </c>
      <c r="I751" s="83">
        <v>366.96</v>
      </c>
      <c r="J751" s="89">
        <v>14</v>
      </c>
      <c r="K751" s="83">
        <v>367</v>
      </c>
      <c r="L751" s="77">
        <f>J751/K751</f>
        <v>0.03814713896457766</v>
      </c>
      <c r="M751" s="42">
        <v>220.9</v>
      </c>
      <c r="N751" s="78">
        <f>L751*M751</f>
        <v>8.426702997275205</v>
      </c>
      <c r="O751" s="78">
        <f>L751*60*1000</f>
        <v>2288.8283378746596</v>
      </c>
      <c r="P751" s="79">
        <f>O751*M751/1000</f>
        <v>505.60217983651233</v>
      </c>
      <c r="R751" s="10"/>
      <c r="S751" s="10"/>
    </row>
    <row r="752" spans="1:19" s="9" customFormat="1" ht="12.75">
      <c r="A752" s="212"/>
      <c r="B752" s="265" t="s">
        <v>561</v>
      </c>
      <c r="C752" s="266">
        <v>5</v>
      </c>
      <c r="D752" s="267" t="s">
        <v>24</v>
      </c>
      <c r="E752" s="268">
        <v>24.57</v>
      </c>
      <c r="F752" s="268">
        <v>0.86</v>
      </c>
      <c r="G752" s="269">
        <v>0.81</v>
      </c>
      <c r="H752" s="268">
        <v>22.91</v>
      </c>
      <c r="I752" s="270">
        <v>654.51</v>
      </c>
      <c r="J752" s="268">
        <v>18.93</v>
      </c>
      <c r="K752" s="271">
        <v>495.61</v>
      </c>
      <c r="L752" s="77">
        <f>J752/K752</f>
        <v>0.038195355218821246</v>
      </c>
      <c r="M752" s="42">
        <v>266.83</v>
      </c>
      <c r="N752" s="78">
        <f>L752*M752</f>
        <v>10.191666633038073</v>
      </c>
      <c r="O752" s="78">
        <f>L752*60*1000</f>
        <v>2291.7213131292747</v>
      </c>
      <c r="P752" s="79">
        <f>O752*M752/1000</f>
        <v>611.4999979822843</v>
      </c>
      <c r="Q752" s="11"/>
      <c r="R752" s="10"/>
      <c r="S752" s="10"/>
    </row>
    <row r="753" spans="1:19" s="9" customFormat="1" ht="12.75">
      <c r="A753" s="212"/>
      <c r="B753" s="265" t="s">
        <v>562</v>
      </c>
      <c r="C753" s="266">
        <v>17</v>
      </c>
      <c r="D753" s="267" t="s">
        <v>24</v>
      </c>
      <c r="E753" s="268">
        <v>27.01</v>
      </c>
      <c r="F753" s="268">
        <v>1.91</v>
      </c>
      <c r="G753" s="269">
        <v>0.8</v>
      </c>
      <c r="H753" s="268">
        <v>24.3</v>
      </c>
      <c r="I753" s="270">
        <v>635.98</v>
      </c>
      <c r="J753" s="268">
        <v>24.3</v>
      </c>
      <c r="K753" s="271">
        <v>635.98</v>
      </c>
      <c r="L753" s="77">
        <f>J753/K753</f>
        <v>0.0382087487027894</v>
      </c>
      <c r="M753" s="42">
        <v>266.83</v>
      </c>
      <c r="N753" s="78">
        <f>L753*M753</f>
        <v>10.195240416365294</v>
      </c>
      <c r="O753" s="78">
        <f>L753*60*1000</f>
        <v>2292.524922167364</v>
      </c>
      <c r="P753" s="79">
        <f>O753*M753/1000</f>
        <v>611.7144249819178</v>
      </c>
      <c r="Q753" s="11"/>
      <c r="R753" s="10"/>
      <c r="S753" s="10"/>
    </row>
    <row r="754" spans="1:19" s="9" customFormat="1" ht="12.75">
      <c r="A754" s="212"/>
      <c r="B754" s="53" t="s">
        <v>37</v>
      </c>
      <c r="C754" s="26">
        <v>108</v>
      </c>
      <c r="D754" s="26" t="s">
        <v>24</v>
      </c>
      <c r="E754" s="90">
        <v>125.916</v>
      </c>
      <c r="F754" s="90">
        <v>9.897863</v>
      </c>
      <c r="G754" s="90">
        <v>17.13</v>
      </c>
      <c r="H754" s="90">
        <v>98.888137</v>
      </c>
      <c r="I754" s="44">
        <v>2584.77</v>
      </c>
      <c r="J754" s="90">
        <v>98.888142</v>
      </c>
      <c r="K754" s="44">
        <v>2584.77</v>
      </c>
      <c r="L754" s="54">
        <f>J754/K754</f>
        <v>0.03825800438723755</v>
      </c>
      <c r="M754" s="26">
        <v>296.48</v>
      </c>
      <c r="N754" s="33">
        <f>L754*M754</f>
        <v>11.34273314072819</v>
      </c>
      <c r="O754" s="33">
        <f>L754*60*1000</f>
        <v>2295.480263234253</v>
      </c>
      <c r="P754" s="55">
        <f>O754*M754/1000</f>
        <v>680.5639884436914</v>
      </c>
      <c r="R754" s="10"/>
      <c r="S754" s="10"/>
    </row>
    <row r="755" spans="1:19" s="9" customFormat="1" ht="12.75">
      <c r="A755" s="212"/>
      <c r="B755" s="80" t="s">
        <v>882</v>
      </c>
      <c r="C755" s="41">
        <v>8</v>
      </c>
      <c r="D755" s="41">
        <v>1966</v>
      </c>
      <c r="E755" s="89">
        <v>16.916</v>
      </c>
      <c r="F755" s="89">
        <v>0.5</v>
      </c>
      <c r="G755" s="89">
        <v>1.28</v>
      </c>
      <c r="H755" s="89">
        <v>393.9</v>
      </c>
      <c r="I755" s="83">
        <v>393.9</v>
      </c>
      <c r="J755" s="89">
        <v>15.075</v>
      </c>
      <c r="K755" s="83">
        <v>393.9</v>
      </c>
      <c r="L755" s="77">
        <f>J755/K755</f>
        <v>0.038271134805788275</v>
      </c>
      <c r="M755" s="42">
        <v>223.123</v>
      </c>
      <c r="N755" s="78">
        <f>L755*M755</f>
        <v>8.539170411271897</v>
      </c>
      <c r="O755" s="78">
        <f>L755*60*1000</f>
        <v>2296.2680883472967</v>
      </c>
      <c r="P755" s="79">
        <f>O755*M755/1000</f>
        <v>512.3502246763138</v>
      </c>
      <c r="R755" s="10"/>
      <c r="S755" s="10"/>
    </row>
    <row r="756" spans="1:19" s="9" customFormat="1" ht="12.75">
      <c r="A756" s="212"/>
      <c r="B756" s="80" t="s">
        <v>113</v>
      </c>
      <c r="C756" s="41">
        <v>19</v>
      </c>
      <c r="D756" s="41">
        <v>1961</v>
      </c>
      <c r="E756" s="89">
        <v>35.514</v>
      </c>
      <c r="F756" s="89">
        <v>1.377</v>
      </c>
      <c r="G756" s="89">
        <v>0.21</v>
      </c>
      <c r="H756" s="89">
        <v>33.927</v>
      </c>
      <c r="I756" s="83">
        <v>886.26</v>
      </c>
      <c r="J756" s="89">
        <v>25.61</v>
      </c>
      <c r="K756" s="83">
        <v>669.1</v>
      </c>
      <c r="L756" s="77">
        <f>J756/K756</f>
        <v>0.03827529517261993</v>
      </c>
      <c r="M756" s="42">
        <v>337.137</v>
      </c>
      <c r="N756" s="78">
        <f>L756*M756</f>
        <v>12.904018188611566</v>
      </c>
      <c r="O756" s="78">
        <f>L756*60*1000</f>
        <v>2296.517710357196</v>
      </c>
      <c r="P756" s="79">
        <f>O756*M756/1000</f>
        <v>774.2410913166939</v>
      </c>
      <c r="R756" s="10"/>
      <c r="S756" s="10"/>
    </row>
    <row r="757" spans="1:19" s="9" customFormat="1" ht="12.75">
      <c r="A757" s="212"/>
      <c r="B757" s="80" t="s">
        <v>897</v>
      </c>
      <c r="C757" s="41">
        <v>51</v>
      </c>
      <c r="D757" s="41" t="s">
        <v>158</v>
      </c>
      <c r="E757" s="89">
        <f>+F757+G757+H757</f>
        <v>77.568551</v>
      </c>
      <c r="F757" s="89">
        <v>1.449624</v>
      </c>
      <c r="G757" s="89">
        <v>0.41</v>
      </c>
      <c r="H757" s="89">
        <v>75.708927</v>
      </c>
      <c r="I757" s="83">
        <v>1976.97</v>
      </c>
      <c r="J757" s="89">
        <v>75.708927</v>
      </c>
      <c r="K757" s="83">
        <v>1976.97</v>
      </c>
      <c r="L757" s="77">
        <f>J757/K757</f>
        <v>0.03829543543908102</v>
      </c>
      <c r="M757" s="42">
        <v>283.618</v>
      </c>
      <c r="N757" s="78">
        <f>L757*M757</f>
        <v>10.86127480836128</v>
      </c>
      <c r="O757" s="78">
        <f>L757*60*1000</f>
        <v>2297.7261263448613</v>
      </c>
      <c r="P757" s="79">
        <f>O757*M757/1000</f>
        <v>651.6764885016768</v>
      </c>
      <c r="R757" s="10"/>
      <c r="S757" s="10"/>
    </row>
    <row r="758" spans="1:19" s="9" customFormat="1" ht="12.75" customHeight="1">
      <c r="A758" s="212"/>
      <c r="B758" s="207" t="s">
        <v>457</v>
      </c>
      <c r="C758" s="135">
        <v>12</v>
      </c>
      <c r="D758" s="135">
        <v>1963</v>
      </c>
      <c r="E758" s="136">
        <v>23.2</v>
      </c>
      <c r="F758" s="136">
        <v>1</v>
      </c>
      <c r="G758" s="136">
        <v>1.7</v>
      </c>
      <c r="H758" s="136">
        <v>20.5</v>
      </c>
      <c r="I758" s="137">
        <v>533.92</v>
      </c>
      <c r="J758" s="136">
        <v>20.5</v>
      </c>
      <c r="K758" s="137">
        <v>533.9</v>
      </c>
      <c r="L758" s="138">
        <v>0.038396703502528565</v>
      </c>
      <c r="M758" s="132">
        <v>215.8</v>
      </c>
      <c r="N758" s="132">
        <v>8.286008615845665</v>
      </c>
      <c r="O758" s="132">
        <f>L758*60*1000</f>
        <v>2303.802210151714</v>
      </c>
      <c r="P758" s="345">
        <v>497.1605169507399</v>
      </c>
      <c r="R758" s="10"/>
      <c r="S758" s="10"/>
    </row>
    <row r="759" spans="1:19" s="9" customFormat="1" ht="12.75">
      <c r="A759" s="212"/>
      <c r="B759" s="80" t="s">
        <v>804</v>
      </c>
      <c r="C759" s="41">
        <v>12</v>
      </c>
      <c r="D759" s="41">
        <v>1992</v>
      </c>
      <c r="E759" s="89">
        <v>30.3</v>
      </c>
      <c r="F759" s="89">
        <v>1.7</v>
      </c>
      <c r="G759" s="89">
        <v>1.9</v>
      </c>
      <c r="H759" s="89">
        <v>26.7</v>
      </c>
      <c r="I759" s="83">
        <v>645.2</v>
      </c>
      <c r="J759" s="89">
        <v>26.7</v>
      </c>
      <c r="K759" s="83">
        <v>695.2</v>
      </c>
      <c r="L759" s="77">
        <f>J759/K759</f>
        <v>0.038406214039125426</v>
      </c>
      <c r="M759" s="42">
        <v>216.9</v>
      </c>
      <c r="N759" s="78">
        <f>L759*M759</f>
        <v>8.330307825086305</v>
      </c>
      <c r="O759" s="78">
        <f>L759*60*1000</f>
        <v>2304.3728423475254</v>
      </c>
      <c r="P759" s="79">
        <f>O759*M759/1000</f>
        <v>499.81846950517826</v>
      </c>
      <c r="R759" s="10"/>
      <c r="S759" s="10"/>
    </row>
    <row r="760" spans="1:19" s="9" customFormat="1" ht="12.75" customHeight="1">
      <c r="A760" s="212"/>
      <c r="B760" s="80" t="s">
        <v>611</v>
      </c>
      <c r="C760" s="41">
        <v>6</v>
      </c>
      <c r="D760" s="41">
        <v>1959</v>
      </c>
      <c r="E760" s="89">
        <v>13.503999</v>
      </c>
      <c r="F760" s="89">
        <v>0.51</v>
      </c>
      <c r="G760" s="89">
        <v>0.96</v>
      </c>
      <c r="H760" s="89">
        <v>12.033999</v>
      </c>
      <c r="I760" s="83">
        <v>313.25</v>
      </c>
      <c r="J760" s="89">
        <v>12.033999</v>
      </c>
      <c r="K760" s="83">
        <v>313.25</v>
      </c>
      <c r="L760" s="77">
        <v>0.038416</v>
      </c>
      <c r="M760" s="42">
        <v>302.37</v>
      </c>
      <c r="N760" s="78">
        <f>M760*L760</f>
        <v>11.61584592</v>
      </c>
      <c r="O760" s="78">
        <f>L760*60*1000</f>
        <v>2304.96</v>
      </c>
      <c r="P760" s="79">
        <f>N760*60</f>
        <v>696.9507552</v>
      </c>
      <c r="Q760" s="11"/>
      <c r="R760" s="45"/>
      <c r="S760" s="10"/>
    </row>
    <row r="761" spans="1:19" s="9" customFormat="1" ht="12.75">
      <c r="A761" s="212"/>
      <c r="B761" s="80" t="s">
        <v>400</v>
      </c>
      <c r="C761" s="41">
        <v>8</v>
      </c>
      <c r="D761" s="41">
        <v>1987</v>
      </c>
      <c r="E761" s="89">
        <v>20.102</v>
      </c>
      <c r="F761" s="89">
        <v>1.05</v>
      </c>
      <c r="G761" s="89">
        <v>1.28</v>
      </c>
      <c r="H761" s="89">
        <v>17.77</v>
      </c>
      <c r="I761" s="83">
        <v>462.29</v>
      </c>
      <c r="J761" s="89">
        <v>17.77</v>
      </c>
      <c r="K761" s="83">
        <v>462.29</v>
      </c>
      <c r="L761" s="77">
        <f>J761/K761</f>
        <v>0.03843907503947738</v>
      </c>
      <c r="M761" s="42">
        <v>328.199</v>
      </c>
      <c r="N761" s="78">
        <f>L761*M761</f>
        <v>12.615665988881439</v>
      </c>
      <c r="O761" s="78">
        <f>L761*60*1000</f>
        <v>2306.3445023686427</v>
      </c>
      <c r="P761" s="79">
        <f>O761*M761/1000</f>
        <v>756.9399593328861</v>
      </c>
      <c r="Q761" s="11"/>
      <c r="R761" s="10"/>
      <c r="S761" s="10"/>
    </row>
    <row r="762" spans="1:19" s="9" customFormat="1" ht="12.75" customHeight="1">
      <c r="A762" s="212"/>
      <c r="B762" s="53" t="s">
        <v>174</v>
      </c>
      <c r="C762" s="26">
        <v>6</v>
      </c>
      <c r="D762" s="26">
        <v>1956</v>
      </c>
      <c r="E762" s="90">
        <v>11.8</v>
      </c>
      <c r="F762" s="90"/>
      <c r="G762" s="90"/>
      <c r="H762" s="90">
        <v>11.8</v>
      </c>
      <c r="I762" s="44">
        <v>306.57</v>
      </c>
      <c r="J762" s="90">
        <v>11.8</v>
      </c>
      <c r="K762" s="44">
        <v>306.57</v>
      </c>
      <c r="L762" s="54">
        <f>J762/K762</f>
        <v>0.0384903937110611</v>
      </c>
      <c r="M762" s="33">
        <v>263.899</v>
      </c>
      <c r="N762" s="33">
        <f>L762*M762</f>
        <v>10.157576409955313</v>
      </c>
      <c r="O762" s="33">
        <f>L762*1000*60</f>
        <v>2309.423622663666</v>
      </c>
      <c r="P762" s="55">
        <f>N762*60</f>
        <v>609.4545845973188</v>
      </c>
      <c r="R762" s="10"/>
      <c r="S762" s="10"/>
    </row>
    <row r="763" spans="1:19" s="9" customFormat="1" ht="12.75" customHeight="1">
      <c r="A763" s="212"/>
      <c r="B763" s="80" t="s">
        <v>516</v>
      </c>
      <c r="C763" s="41">
        <v>21</v>
      </c>
      <c r="D763" s="41">
        <v>1960</v>
      </c>
      <c r="E763" s="89">
        <v>36.204</v>
      </c>
      <c r="F763" s="89">
        <v>1.341</v>
      </c>
      <c r="G763" s="89">
        <v>0.21</v>
      </c>
      <c r="H763" s="89">
        <f>E763-F763-G763</f>
        <v>34.653</v>
      </c>
      <c r="I763" s="83">
        <v>899.77</v>
      </c>
      <c r="J763" s="89">
        <f>H763</f>
        <v>34.653</v>
      </c>
      <c r="K763" s="83">
        <f>I763</f>
        <v>899.77</v>
      </c>
      <c r="L763" s="77">
        <f>J763/K763</f>
        <v>0.03851317558931727</v>
      </c>
      <c r="M763" s="42">
        <v>279.476</v>
      </c>
      <c r="N763" s="78">
        <f>L763*M763</f>
        <v>10.763508261000034</v>
      </c>
      <c r="O763" s="78">
        <f>L763*60*1000</f>
        <v>2310.7905353590363</v>
      </c>
      <c r="P763" s="79">
        <f>O763*M763/1000</f>
        <v>645.810495660002</v>
      </c>
      <c r="Q763" s="11"/>
      <c r="R763" s="10"/>
      <c r="S763" s="10"/>
    </row>
    <row r="764" spans="1:19" s="9" customFormat="1" ht="12.75" customHeight="1">
      <c r="A764" s="212"/>
      <c r="B764" s="80" t="s">
        <v>825</v>
      </c>
      <c r="C764" s="41">
        <v>24</v>
      </c>
      <c r="D764" s="41" t="s">
        <v>24</v>
      </c>
      <c r="E764" s="89">
        <f>F764+G764+H764</f>
        <v>42.010999999999996</v>
      </c>
      <c r="F764" s="89">
        <v>2.161</v>
      </c>
      <c r="G764" s="89">
        <v>0.24</v>
      </c>
      <c r="H764" s="89">
        <v>39.61</v>
      </c>
      <c r="I764" s="83">
        <v>1026.08</v>
      </c>
      <c r="J764" s="89">
        <v>39.61</v>
      </c>
      <c r="K764" s="83">
        <v>1026.08</v>
      </c>
      <c r="L764" s="77">
        <f>J764/K764</f>
        <v>0.038603227818493686</v>
      </c>
      <c r="M764" s="41">
        <v>350.76</v>
      </c>
      <c r="N764" s="78">
        <f>L764*M764</f>
        <v>13.540468189614845</v>
      </c>
      <c r="O764" s="78">
        <f>L764*60*1000</f>
        <v>2316.193669109621</v>
      </c>
      <c r="P764" s="79">
        <f>O764*M764/1000</f>
        <v>812.4280913768906</v>
      </c>
      <c r="R764" s="10"/>
      <c r="S764" s="10"/>
    </row>
    <row r="765" spans="1:19" s="9" customFormat="1" ht="12.75" customHeight="1">
      <c r="A765" s="212"/>
      <c r="B765" s="53" t="s">
        <v>429</v>
      </c>
      <c r="C765" s="26">
        <v>7</v>
      </c>
      <c r="D765" s="26">
        <v>1955</v>
      </c>
      <c r="E765" s="90">
        <v>12.6</v>
      </c>
      <c r="F765" s="90"/>
      <c r="G765" s="90"/>
      <c r="H765" s="90">
        <v>12.6</v>
      </c>
      <c r="I765" s="44">
        <v>326.22</v>
      </c>
      <c r="J765" s="90">
        <v>12.6</v>
      </c>
      <c r="K765" s="44">
        <v>326.22</v>
      </c>
      <c r="L765" s="54">
        <f>J765/K765</f>
        <v>0.0386242413095457</v>
      </c>
      <c r="M765" s="33">
        <v>263.899</v>
      </c>
      <c r="N765" s="33">
        <f>L765*M765</f>
        <v>10.1928986573478</v>
      </c>
      <c r="O765" s="33">
        <f>L765*1000*60</f>
        <v>2317.4544785727417</v>
      </c>
      <c r="P765" s="55">
        <f>N765*60</f>
        <v>611.573919440868</v>
      </c>
      <c r="Q765" s="11"/>
      <c r="R765" s="10"/>
      <c r="S765" s="10"/>
    </row>
    <row r="766" spans="1:19" s="9" customFormat="1" ht="12.75" customHeight="1">
      <c r="A766" s="212"/>
      <c r="B766" s="80" t="s">
        <v>404</v>
      </c>
      <c r="C766" s="41">
        <v>20</v>
      </c>
      <c r="D766" s="41">
        <v>1978</v>
      </c>
      <c r="E766" s="89">
        <v>32.497</v>
      </c>
      <c r="F766" s="89">
        <v>1.697229</v>
      </c>
      <c r="G766" s="89">
        <v>3.21</v>
      </c>
      <c r="H766" s="89">
        <v>27.589771</v>
      </c>
      <c r="I766" s="83">
        <v>775.71</v>
      </c>
      <c r="J766" s="89">
        <v>27.05</v>
      </c>
      <c r="K766" s="83">
        <v>700.2</v>
      </c>
      <c r="L766" s="77">
        <f>J766/K766</f>
        <v>0.03863181948014853</v>
      </c>
      <c r="M766" s="42">
        <v>328.199</v>
      </c>
      <c r="N766" s="78">
        <f>L766*M766</f>
        <v>12.678924521565268</v>
      </c>
      <c r="O766" s="78">
        <f>L766*60*1000</f>
        <v>2317.909168808912</v>
      </c>
      <c r="P766" s="79">
        <f>O766*M766/1000</f>
        <v>760.7354712939161</v>
      </c>
      <c r="R766" s="10"/>
      <c r="S766" s="10"/>
    </row>
    <row r="767" spans="1:19" s="9" customFormat="1" ht="12.75" customHeight="1">
      <c r="A767" s="212"/>
      <c r="B767" s="80" t="s">
        <v>367</v>
      </c>
      <c r="C767" s="41">
        <v>11</v>
      </c>
      <c r="D767" s="41">
        <v>1974</v>
      </c>
      <c r="E767" s="89">
        <f>F767+G767+H767</f>
        <v>17.73</v>
      </c>
      <c r="F767" s="89">
        <v>0</v>
      </c>
      <c r="G767" s="89">
        <v>0</v>
      </c>
      <c r="H767" s="89">
        <v>17.73</v>
      </c>
      <c r="I767" s="83">
        <v>1073.94</v>
      </c>
      <c r="J767" s="89">
        <v>17.73</v>
      </c>
      <c r="K767" s="83">
        <v>458.54</v>
      </c>
      <c r="L767" s="77">
        <f>J767/K767</f>
        <v>0.03866620142190431</v>
      </c>
      <c r="M767" s="42">
        <v>314.9</v>
      </c>
      <c r="N767" s="78">
        <f>L767*M767</f>
        <v>12.175986827757665</v>
      </c>
      <c r="O767" s="78">
        <f>L767*60*1000</f>
        <v>2319.972085314258</v>
      </c>
      <c r="P767" s="79">
        <f>O767*M767/1000</f>
        <v>730.5592096654598</v>
      </c>
      <c r="R767" s="10"/>
      <c r="S767" s="10"/>
    </row>
    <row r="768" spans="1:19" s="9" customFormat="1" ht="12.75" customHeight="1">
      <c r="A768" s="212"/>
      <c r="B768" s="80" t="s">
        <v>864</v>
      </c>
      <c r="C768" s="41">
        <v>6</v>
      </c>
      <c r="D768" s="41">
        <v>1958</v>
      </c>
      <c r="E768" s="89">
        <v>15.004</v>
      </c>
      <c r="F768" s="89"/>
      <c r="G768" s="89"/>
      <c r="H768" s="89">
        <v>15.004</v>
      </c>
      <c r="I768" s="83">
        <v>388</v>
      </c>
      <c r="J768" s="89">
        <v>15.004</v>
      </c>
      <c r="K768" s="83">
        <v>388</v>
      </c>
      <c r="L768" s="77">
        <f>J768/K768</f>
        <v>0.03867010309278351</v>
      </c>
      <c r="M768" s="42">
        <v>254.2</v>
      </c>
      <c r="N768" s="78">
        <f>L768*M768</f>
        <v>9.829940206185567</v>
      </c>
      <c r="O768" s="78">
        <f>L768*60*1000</f>
        <v>2320.2061855670104</v>
      </c>
      <c r="P768" s="79">
        <f>O768*M768/1000</f>
        <v>589.796412371134</v>
      </c>
      <c r="Q768" s="11"/>
      <c r="R768" s="10"/>
      <c r="S768" s="10"/>
    </row>
    <row r="769" spans="1:19" s="9" customFormat="1" ht="12.75">
      <c r="A769" s="212"/>
      <c r="B769" s="178" t="s">
        <v>586</v>
      </c>
      <c r="C769" s="233">
        <v>36</v>
      </c>
      <c r="D769" s="41">
        <v>1959</v>
      </c>
      <c r="E769" s="234">
        <v>57.72</v>
      </c>
      <c r="F769" s="89">
        <v>2.703</v>
      </c>
      <c r="G769" s="89">
        <v>2.29</v>
      </c>
      <c r="H769" s="234">
        <f>E769-F769-G769</f>
        <v>52.727</v>
      </c>
      <c r="I769" s="83">
        <v>1558.74</v>
      </c>
      <c r="J769" s="234">
        <v>50.329</v>
      </c>
      <c r="K769" s="83">
        <v>1296.95</v>
      </c>
      <c r="L769" s="77">
        <f>J769/K769</f>
        <v>0.0388056594317437</v>
      </c>
      <c r="M769" s="42">
        <v>300</v>
      </c>
      <c r="N769" s="78">
        <f>L769*M769</f>
        <v>11.64169782952311</v>
      </c>
      <c r="O769" s="78">
        <f>L769*60*1000</f>
        <v>2328.339565904622</v>
      </c>
      <c r="P769" s="79">
        <f>O769*M769/1000</f>
        <v>698.5018697713865</v>
      </c>
      <c r="R769" s="10"/>
      <c r="S769" s="10"/>
    </row>
    <row r="770" spans="1:16" s="9" customFormat="1" ht="12.75" customHeight="1">
      <c r="A770" s="212"/>
      <c r="B770" s="80" t="s">
        <v>756</v>
      </c>
      <c r="C770" s="41">
        <v>8</v>
      </c>
      <c r="D770" s="41">
        <v>1951</v>
      </c>
      <c r="E770" s="89">
        <v>13.9</v>
      </c>
      <c r="F770" s="89">
        <v>0.9</v>
      </c>
      <c r="G770" s="89">
        <v>1.28</v>
      </c>
      <c r="H770" s="89">
        <v>11.72</v>
      </c>
      <c r="I770" s="83">
        <v>300.96</v>
      </c>
      <c r="J770" s="89">
        <v>11.7</v>
      </c>
      <c r="K770" s="83">
        <v>301</v>
      </c>
      <c r="L770" s="77">
        <f>J770/K770</f>
        <v>0.038870431893687704</v>
      </c>
      <c r="M770" s="42">
        <v>220.9</v>
      </c>
      <c r="N770" s="78">
        <f>L770*M770</f>
        <v>8.586478405315614</v>
      </c>
      <c r="O770" s="78">
        <f>L770*60*1000</f>
        <v>2332.2259136212624</v>
      </c>
      <c r="P770" s="79">
        <f>O770*M770/1000</f>
        <v>515.1887043189369</v>
      </c>
    </row>
    <row r="771" spans="1:19" s="9" customFormat="1" ht="12.75">
      <c r="A771" s="212"/>
      <c r="B771" s="80" t="s">
        <v>642</v>
      </c>
      <c r="C771" s="41">
        <v>8</v>
      </c>
      <c r="D771" s="41">
        <v>1959</v>
      </c>
      <c r="E771" s="89">
        <f>F771+G771+H771</f>
        <v>15.6</v>
      </c>
      <c r="F771" s="89">
        <v>0</v>
      </c>
      <c r="G771" s="89">
        <v>0</v>
      </c>
      <c r="H771" s="89">
        <v>15.6</v>
      </c>
      <c r="I771" s="83">
        <v>441.56</v>
      </c>
      <c r="J771" s="89">
        <v>15.6</v>
      </c>
      <c r="K771" s="83">
        <v>400.91</v>
      </c>
      <c r="L771" s="77">
        <f>J771/K771</f>
        <v>0.038911476391209995</v>
      </c>
      <c r="M771" s="42">
        <v>314.9</v>
      </c>
      <c r="N771" s="78">
        <f>L771*M771</f>
        <v>12.253223915592027</v>
      </c>
      <c r="O771" s="78">
        <f>L771*60*1000</f>
        <v>2334.6885834726</v>
      </c>
      <c r="P771" s="79">
        <f>O771*M771/1000</f>
        <v>735.1934349355217</v>
      </c>
      <c r="R771" s="10"/>
      <c r="S771" s="10"/>
    </row>
    <row r="772" spans="1:19" s="9" customFormat="1" ht="12.75">
      <c r="A772" s="212"/>
      <c r="B772" s="80" t="s">
        <v>658</v>
      </c>
      <c r="C772" s="41">
        <v>12</v>
      </c>
      <c r="D772" s="41">
        <v>1973</v>
      </c>
      <c r="E772" s="89">
        <v>22.5197</v>
      </c>
      <c r="F772" s="89">
        <v>0.867</v>
      </c>
      <c r="G772" s="89" t="s">
        <v>156</v>
      </c>
      <c r="H772" s="89">
        <v>21.6527</v>
      </c>
      <c r="I772" s="83">
        <v>556.26</v>
      </c>
      <c r="J772" s="89">
        <v>21.65</v>
      </c>
      <c r="K772" s="83">
        <v>556.26</v>
      </c>
      <c r="L772" s="77">
        <f>J772/K772</f>
        <v>0.03892064861755294</v>
      </c>
      <c r="M772" s="42">
        <v>328.199</v>
      </c>
      <c r="N772" s="78">
        <f>L772*M772</f>
        <v>12.773717955632259</v>
      </c>
      <c r="O772" s="78">
        <f>L772*60*1000</f>
        <v>2335.2389170531765</v>
      </c>
      <c r="P772" s="79">
        <f>O772*M772/1000</f>
        <v>766.4230773379354</v>
      </c>
      <c r="R772" s="10"/>
      <c r="S772" s="10"/>
    </row>
    <row r="773" spans="1:19" s="9" customFormat="1" ht="12.75">
      <c r="A773" s="212"/>
      <c r="B773" s="80" t="s">
        <v>403</v>
      </c>
      <c r="C773" s="41">
        <v>17</v>
      </c>
      <c r="D773" s="41">
        <v>1976</v>
      </c>
      <c r="E773" s="89">
        <v>25.668</v>
      </c>
      <c r="F773" s="89" t="s">
        <v>156</v>
      </c>
      <c r="G773" s="89" t="s">
        <v>156</v>
      </c>
      <c r="H773" s="89">
        <v>25.668</v>
      </c>
      <c r="I773" s="83">
        <v>658.78</v>
      </c>
      <c r="J773" s="89">
        <v>25.67</v>
      </c>
      <c r="K773" s="83">
        <v>658.78</v>
      </c>
      <c r="L773" s="77">
        <f>J773/K773</f>
        <v>0.03896596739427427</v>
      </c>
      <c r="M773" s="42">
        <v>328.199</v>
      </c>
      <c r="N773" s="78">
        <f>L773*M773</f>
        <v>12.788591532833422</v>
      </c>
      <c r="O773" s="78">
        <f>L773*60*1000</f>
        <v>2337.958043656456</v>
      </c>
      <c r="P773" s="79">
        <f>O773*M773/1000</f>
        <v>767.3154919700053</v>
      </c>
      <c r="R773" s="10"/>
      <c r="S773" s="10"/>
    </row>
    <row r="774" spans="1:19" s="9" customFormat="1" ht="12.75">
      <c r="A774" s="212"/>
      <c r="B774" s="80" t="s">
        <v>214</v>
      </c>
      <c r="C774" s="41">
        <v>10</v>
      </c>
      <c r="D774" s="41">
        <v>1925</v>
      </c>
      <c r="E774" s="89">
        <f>F774+G774+H774</f>
        <v>20.25</v>
      </c>
      <c r="F774" s="89">
        <v>0.86</v>
      </c>
      <c r="G774" s="89">
        <v>1.52</v>
      </c>
      <c r="H774" s="89">
        <v>17.87</v>
      </c>
      <c r="I774" s="83">
        <v>547.67</v>
      </c>
      <c r="J774" s="89">
        <v>17.87</v>
      </c>
      <c r="K774" s="83">
        <v>458.42</v>
      </c>
      <c r="L774" s="77">
        <f>J774/K774</f>
        <v>0.03898171982025217</v>
      </c>
      <c r="M774" s="42">
        <v>314.9</v>
      </c>
      <c r="N774" s="78">
        <f>L774*M774</f>
        <v>12.275343571397407</v>
      </c>
      <c r="O774" s="78">
        <f>L774*60*1000</f>
        <v>2338.90318921513</v>
      </c>
      <c r="P774" s="79">
        <f>O774*M774/1000</f>
        <v>736.5206142838445</v>
      </c>
      <c r="R774" s="10"/>
      <c r="S774" s="10"/>
    </row>
    <row r="775" spans="1:19" s="9" customFormat="1" ht="12.75">
      <c r="A775" s="212"/>
      <c r="B775" s="80" t="s">
        <v>826</v>
      </c>
      <c r="C775" s="41">
        <v>7</v>
      </c>
      <c r="D775" s="41" t="s">
        <v>24</v>
      </c>
      <c r="E775" s="89">
        <f>F775+G775+H775</f>
        <v>16</v>
      </c>
      <c r="F775" s="89">
        <v>0.594</v>
      </c>
      <c r="G775" s="89">
        <v>1.2</v>
      </c>
      <c r="H775" s="89">
        <v>14.206</v>
      </c>
      <c r="I775" s="83">
        <v>362.86</v>
      </c>
      <c r="J775" s="89">
        <v>12.327</v>
      </c>
      <c r="K775" s="83">
        <v>314.87</v>
      </c>
      <c r="L775" s="77">
        <f>J775/K775</f>
        <v>0.03914949026582399</v>
      </c>
      <c r="M775" s="41">
        <v>350.76</v>
      </c>
      <c r="N775" s="78">
        <f>L775*M775</f>
        <v>13.732075205640422</v>
      </c>
      <c r="O775" s="78">
        <f>L775*60*1000</f>
        <v>2348.9694159494393</v>
      </c>
      <c r="P775" s="79">
        <f>O775*M775/1000</f>
        <v>823.9245123384253</v>
      </c>
      <c r="R775" s="10"/>
      <c r="S775" s="10"/>
    </row>
    <row r="776" spans="1:19" s="9" customFormat="1" ht="12.75">
      <c r="A776" s="212"/>
      <c r="B776" s="80" t="s">
        <v>342</v>
      </c>
      <c r="C776" s="41">
        <v>12</v>
      </c>
      <c r="D776" s="41">
        <v>1961</v>
      </c>
      <c r="E776" s="89">
        <v>22.8494</v>
      </c>
      <c r="F776" s="89">
        <v>0.816</v>
      </c>
      <c r="G776" s="89">
        <v>1.92</v>
      </c>
      <c r="H776" s="89">
        <v>20.1134</v>
      </c>
      <c r="I776" s="83">
        <v>513.65</v>
      </c>
      <c r="J776" s="89">
        <v>20.1134</v>
      </c>
      <c r="K776" s="83">
        <v>513.65</v>
      </c>
      <c r="L776" s="77">
        <v>0.039157</v>
      </c>
      <c r="M776" s="42">
        <v>302.37</v>
      </c>
      <c r="N776" s="78">
        <f>M776*L776</f>
        <v>11.839902089999999</v>
      </c>
      <c r="O776" s="78">
        <f>L776*60*1000</f>
        <v>2349.4199999999996</v>
      </c>
      <c r="P776" s="79">
        <f>N776*60</f>
        <v>710.3941253999999</v>
      </c>
      <c r="R776" s="10"/>
      <c r="S776" s="10"/>
    </row>
    <row r="777" spans="1:19" s="9" customFormat="1" ht="11.25" customHeight="1">
      <c r="A777" s="212"/>
      <c r="B777" s="80" t="s">
        <v>246</v>
      </c>
      <c r="C777" s="41">
        <v>10</v>
      </c>
      <c r="D777" s="41"/>
      <c r="E777" s="89">
        <v>23.9</v>
      </c>
      <c r="F777" s="89">
        <v>1.121</v>
      </c>
      <c r="G777" s="89">
        <v>1.6</v>
      </c>
      <c r="H777" s="89">
        <v>21.179</v>
      </c>
      <c r="I777" s="83">
        <v>541.41</v>
      </c>
      <c r="J777" s="89">
        <v>21.2</v>
      </c>
      <c r="K777" s="83">
        <v>541.4</v>
      </c>
      <c r="L777" s="77">
        <f>J777/K777</f>
        <v>0.039157739194680456</v>
      </c>
      <c r="M777" s="42">
        <v>220.9</v>
      </c>
      <c r="N777" s="78">
        <f>L777*M777</f>
        <v>8.649944588104914</v>
      </c>
      <c r="O777" s="78">
        <f>L777*60*1000</f>
        <v>2349.4643516808273</v>
      </c>
      <c r="P777" s="79">
        <f>O777*M777/1000</f>
        <v>518.9966752862948</v>
      </c>
      <c r="R777" s="10"/>
      <c r="S777" s="10"/>
    </row>
    <row r="778" spans="1:19" s="9" customFormat="1" ht="12.75" customHeight="1">
      <c r="A778" s="212"/>
      <c r="B778" s="95" t="s">
        <v>838</v>
      </c>
      <c r="C778" s="41">
        <v>7</v>
      </c>
      <c r="D778" s="41" t="s">
        <v>24</v>
      </c>
      <c r="E778" s="89">
        <v>17.2</v>
      </c>
      <c r="F778" s="89">
        <f>17.75*0.051</f>
        <v>0.9052499999999999</v>
      </c>
      <c r="G778" s="89">
        <f>7*0.16</f>
        <v>1.12</v>
      </c>
      <c r="H778" s="89">
        <f>+E778-F778-G778</f>
        <v>15.17475</v>
      </c>
      <c r="I778" s="41"/>
      <c r="J778" s="89">
        <f>+H778</f>
        <v>15.17475</v>
      </c>
      <c r="K778" s="83">
        <v>387.52</v>
      </c>
      <c r="L778" s="77">
        <f>J778/K778</f>
        <v>0.03915862407101569</v>
      </c>
      <c r="M778" s="42">
        <f>+M770</f>
        <v>220.9</v>
      </c>
      <c r="N778" s="78">
        <f>L778*M778</f>
        <v>8.650140057287366</v>
      </c>
      <c r="O778" s="78">
        <f>L778*60*1000</f>
        <v>2349.5174442609414</v>
      </c>
      <c r="P778" s="79">
        <f>O778*M778/1000</f>
        <v>519.008403437242</v>
      </c>
      <c r="R778" s="10"/>
      <c r="S778" s="10"/>
    </row>
    <row r="779" spans="1:19" s="9" customFormat="1" ht="12.75" customHeight="1">
      <c r="A779" s="212"/>
      <c r="B779" s="80" t="s">
        <v>839</v>
      </c>
      <c r="C779" s="41">
        <v>4</v>
      </c>
      <c r="D779" s="41" t="s">
        <v>24</v>
      </c>
      <c r="E779" s="89">
        <v>9.75</v>
      </c>
      <c r="F779" s="89">
        <f>3*0.051</f>
        <v>0.153</v>
      </c>
      <c r="G779" s="89">
        <f>4*0.16</f>
        <v>0.64</v>
      </c>
      <c r="H779" s="89">
        <f>+E779-F779-G779</f>
        <v>8.956999999999999</v>
      </c>
      <c r="I779" s="264"/>
      <c r="J779" s="89">
        <f>+H779</f>
        <v>8.956999999999999</v>
      </c>
      <c r="K779" s="83">
        <v>228.62</v>
      </c>
      <c r="L779" s="77">
        <f>J779/K779</f>
        <v>0.039178549558218874</v>
      </c>
      <c r="M779" s="42">
        <f>+M773</f>
        <v>328.199</v>
      </c>
      <c r="N779" s="78">
        <f>L779*M779</f>
        <v>12.858360786457876</v>
      </c>
      <c r="O779" s="78">
        <f>L779*60*1000</f>
        <v>2350.7129734931323</v>
      </c>
      <c r="P779" s="79">
        <f>O779*M779/1000</f>
        <v>771.5016471874726</v>
      </c>
      <c r="R779" s="10"/>
      <c r="S779" s="10"/>
    </row>
    <row r="780" spans="1:19" s="9" customFormat="1" ht="12.75" customHeight="1">
      <c r="A780" s="212"/>
      <c r="B780" s="80" t="s">
        <v>323</v>
      </c>
      <c r="C780" s="41">
        <v>12</v>
      </c>
      <c r="D780" s="41">
        <v>1968</v>
      </c>
      <c r="E780" s="89">
        <v>18.329</v>
      </c>
      <c r="F780" s="89">
        <v>0.459</v>
      </c>
      <c r="G780" s="89">
        <v>0.08</v>
      </c>
      <c r="H780" s="89">
        <v>17.79</v>
      </c>
      <c r="I780" s="83">
        <v>490.3</v>
      </c>
      <c r="J780" s="89">
        <v>16.08</v>
      </c>
      <c r="K780" s="83">
        <v>410.4</v>
      </c>
      <c r="L780" s="77">
        <f>J780/K780</f>
        <v>0.0391812865497076</v>
      </c>
      <c r="M780" s="42">
        <v>337.137</v>
      </c>
      <c r="N780" s="78">
        <f>L780*M780</f>
        <v>13.209461403508772</v>
      </c>
      <c r="O780" s="78">
        <f>L780*60*1000</f>
        <v>2350.877192982456</v>
      </c>
      <c r="P780" s="79">
        <f>O780*M780/1000</f>
        <v>792.5676842105263</v>
      </c>
      <c r="Q780" s="11"/>
      <c r="R780" s="10"/>
      <c r="S780" s="10"/>
    </row>
    <row r="781" spans="1:19" s="9" customFormat="1" ht="12.75" customHeight="1">
      <c r="A781" s="212"/>
      <c r="B781" s="53" t="s">
        <v>419</v>
      </c>
      <c r="C781" s="26">
        <v>4</v>
      </c>
      <c r="D781" s="26" t="s">
        <v>24</v>
      </c>
      <c r="E781" s="90">
        <f>F781+G781+H781</f>
        <v>5.0921</v>
      </c>
      <c r="F781" s="90">
        <v>0.1682</v>
      </c>
      <c r="G781" s="90">
        <v>0.48</v>
      </c>
      <c r="H781" s="90">
        <v>4.4439</v>
      </c>
      <c r="I781" s="44">
        <v>113.39</v>
      </c>
      <c r="J781" s="90">
        <v>4.4439</v>
      </c>
      <c r="K781" s="44">
        <v>113.39</v>
      </c>
      <c r="L781" s="54">
        <f>J781/K781</f>
        <v>0.03919128670958638</v>
      </c>
      <c r="M781" s="33">
        <v>210</v>
      </c>
      <c r="N781" s="33">
        <f>L781*M781</f>
        <v>8.23017020901314</v>
      </c>
      <c r="O781" s="33">
        <f>L781*1000*60</f>
        <v>2351.4772025751827</v>
      </c>
      <c r="P781" s="55">
        <f>N781*60</f>
        <v>493.8102125407884</v>
      </c>
      <c r="R781" s="10"/>
      <c r="S781" s="10"/>
    </row>
    <row r="782" spans="1:19" s="9" customFormat="1" ht="12.75" customHeight="1">
      <c r="A782" s="212"/>
      <c r="B782" s="80" t="s">
        <v>723</v>
      </c>
      <c r="C782" s="41">
        <v>20</v>
      </c>
      <c r="D782" s="41">
        <v>1984</v>
      </c>
      <c r="E782" s="89">
        <v>46.9</v>
      </c>
      <c r="F782" s="89">
        <v>2.29</v>
      </c>
      <c r="G782" s="89">
        <v>3.2</v>
      </c>
      <c r="H782" s="89">
        <v>41.4</v>
      </c>
      <c r="I782" s="264"/>
      <c r="J782" s="89">
        <f>H782</f>
        <v>41.4</v>
      </c>
      <c r="K782" s="83">
        <v>1056</v>
      </c>
      <c r="L782" s="77">
        <f>J782/K782</f>
        <v>0.03920454545454545</v>
      </c>
      <c r="M782" s="42">
        <v>187.7</v>
      </c>
      <c r="N782" s="78">
        <f>L782*M782</f>
        <v>7.358693181818181</v>
      </c>
      <c r="O782" s="78">
        <f>L782*60*1000</f>
        <v>2352.272727272727</v>
      </c>
      <c r="P782" s="79">
        <f>O782*M782/1000</f>
        <v>441.52159090909083</v>
      </c>
      <c r="R782" s="10"/>
      <c r="S782" s="10"/>
    </row>
    <row r="783" spans="1:19" s="9" customFormat="1" ht="12.75" customHeight="1">
      <c r="A783" s="212"/>
      <c r="B783" s="80" t="s">
        <v>865</v>
      </c>
      <c r="C783" s="41">
        <v>4</v>
      </c>
      <c r="D783" s="41">
        <v>1892</v>
      </c>
      <c r="E783" s="89">
        <v>9.114</v>
      </c>
      <c r="F783" s="89">
        <v>0.385</v>
      </c>
      <c r="G783" s="89">
        <v>0.64</v>
      </c>
      <c r="H783" s="89">
        <v>8.089</v>
      </c>
      <c r="I783" s="83">
        <v>206</v>
      </c>
      <c r="J783" s="89">
        <v>8.089</v>
      </c>
      <c r="K783" s="83">
        <v>206</v>
      </c>
      <c r="L783" s="77">
        <f>J783/K783</f>
        <v>0.03926699029126214</v>
      </c>
      <c r="M783" s="42">
        <v>254.2</v>
      </c>
      <c r="N783" s="78">
        <f>L783*M783</f>
        <v>9.981668932038836</v>
      </c>
      <c r="O783" s="78">
        <f>L783*60*1000</f>
        <v>2356.0194174757285</v>
      </c>
      <c r="P783" s="79">
        <f>O783*M783/1000</f>
        <v>598.9001359223302</v>
      </c>
      <c r="R783" s="10"/>
      <c r="S783" s="10"/>
    </row>
    <row r="784" spans="1:19" s="9" customFormat="1" ht="12.75" customHeight="1">
      <c r="A784" s="212"/>
      <c r="B784" s="80" t="s">
        <v>724</v>
      </c>
      <c r="C784" s="41">
        <v>20</v>
      </c>
      <c r="D784" s="41">
        <v>1984</v>
      </c>
      <c r="E784" s="89">
        <v>47</v>
      </c>
      <c r="F784" s="89">
        <v>2.29</v>
      </c>
      <c r="G784" s="89">
        <v>3.2</v>
      </c>
      <c r="H784" s="89">
        <v>41.59</v>
      </c>
      <c r="I784" s="264"/>
      <c r="J784" s="89">
        <f>H784</f>
        <v>41.59</v>
      </c>
      <c r="K784" s="83">
        <v>1059</v>
      </c>
      <c r="L784" s="77">
        <f>J784/K784</f>
        <v>0.03927289896128423</v>
      </c>
      <c r="M784" s="42">
        <v>187.7</v>
      </c>
      <c r="N784" s="78">
        <f>L784*M784</f>
        <v>7.37152313503305</v>
      </c>
      <c r="O784" s="78">
        <f>L784*60*1000</f>
        <v>2356.3739376770536</v>
      </c>
      <c r="P784" s="79">
        <f>O784*M784/1000</f>
        <v>442.29138810198293</v>
      </c>
      <c r="Q784" s="11"/>
      <c r="R784" s="10"/>
      <c r="S784" s="10"/>
    </row>
    <row r="785" spans="1:19" s="9" customFormat="1" ht="12.75" customHeight="1">
      <c r="A785" s="212"/>
      <c r="B785" s="80" t="s">
        <v>517</v>
      </c>
      <c r="C785" s="41">
        <v>12</v>
      </c>
      <c r="D785" s="41">
        <v>1960</v>
      </c>
      <c r="E785" s="89">
        <v>23.39</v>
      </c>
      <c r="F785" s="89">
        <v>2</v>
      </c>
      <c r="G785" s="89">
        <v>0.12</v>
      </c>
      <c r="H785" s="89">
        <f>E785-F785-G785</f>
        <v>21.27</v>
      </c>
      <c r="I785" s="83">
        <v>539.66</v>
      </c>
      <c r="J785" s="89">
        <f>H785</f>
        <v>21.27</v>
      </c>
      <c r="K785" s="83">
        <f>I785</f>
        <v>539.66</v>
      </c>
      <c r="L785" s="77">
        <f>J785/K785</f>
        <v>0.03941370492532335</v>
      </c>
      <c r="M785" s="42">
        <v>279.476</v>
      </c>
      <c r="N785" s="78">
        <f>L785*M785</f>
        <v>11.01518459770967</v>
      </c>
      <c r="O785" s="78">
        <f>L785*60*1000</f>
        <v>2364.822295519401</v>
      </c>
      <c r="P785" s="79">
        <f>O785*M785/1000</f>
        <v>660.9110758625801</v>
      </c>
      <c r="R785" s="10"/>
      <c r="S785" s="10"/>
    </row>
    <row r="786" spans="1:19" s="9" customFormat="1" ht="12.75">
      <c r="A786" s="212"/>
      <c r="B786" s="53" t="s">
        <v>297</v>
      </c>
      <c r="C786" s="26">
        <v>108</v>
      </c>
      <c r="D786" s="26">
        <v>1971</v>
      </c>
      <c r="E786" s="90">
        <v>130.3</v>
      </c>
      <c r="F786" s="90">
        <v>8.206538</v>
      </c>
      <c r="G786" s="90">
        <v>17.28</v>
      </c>
      <c r="H786" s="90">
        <v>104.813462</v>
      </c>
      <c r="I786" s="44">
        <v>2657.8</v>
      </c>
      <c r="J786" s="90">
        <v>102.352644</v>
      </c>
      <c r="K786" s="44">
        <v>2595.4</v>
      </c>
      <c r="L786" s="54">
        <f>J786/K786</f>
        <v>0.03943617322955999</v>
      </c>
      <c r="M786" s="26">
        <v>296.48</v>
      </c>
      <c r="N786" s="33">
        <f>L786*M786</f>
        <v>11.692036639099946</v>
      </c>
      <c r="O786" s="33">
        <f>L786*60*1000</f>
        <v>2366.1703937735992</v>
      </c>
      <c r="P786" s="55">
        <f>O786*M786/1000</f>
        <v>701.5221983459968</v>
      </c>
      <c r="Q786" s="11"/>
      <c r="R786" s="10"/>
      <c r="S786" s="10"/>
    </row>
    <row r="787" spans="1:19" s="9" customFormat="1" ht="12.75">
      <c r="A787" s="212"/>
      <c r="B787" s="80" t="s">
        <v>330</v>
      </c>
      <c r="C787" s="41">
        <v>7</v>
      </c>
      <c r="D787" s="41">
        <v>1959</v>
      </c>
      <c r="E787" s="89">
        <v>8.971</v>
      </c>
      <c r="F787" s="89">
        <v>0.255</v>
      </c>
      <c r="G787" s="89">
        <v>0.05</v>
      </c>
      <c r="H787" s="89">
        <v>8.666</v>
      </c>
      <c r="I787" s="83">
        <v>598.8</v>
      </c>
      <c r="J787" s="89">
        <v>8.16</v>
      </c>
      <c r="K787" s="83">
        <v>206.9</v>
      </c>
      <c r="L787" s="77">
        <f>J787/K787</f>
        <v>0.03943934267762204</v>
      </c>
      <c r="M787" s="42">
        <v>337.137</v>
      </c>
      <c r="N787" s="78">
        <f>L787*M787</f>
        <v>13.29646167230546</v>
      </c>
      <c r="O787" s="78">
        <f>L787*60*1000</f>
        <v>2366.3605606573224</v>
      </c>
      <c r="P787" s="79">
        <f>O787*M787/1000</f>
        <v>797.7877003383277</v>
      </c>
      <c r="R787" s="10"/>
      <c r="S787" s="10"/>
    </row>
    <row r="788" spans="1:19" s="9" customFormat="1" ht="12.75">
      <c r="A788" s="212"/>
      <c r="B788" s="80" t="s">
        <v>364</v>
      </c>
      <c r="C788" s="41">
        <v>5</v>
      </c>
      <c r="D788" s="41">
        <v>1957</v>
      </c>
      <c r="E788" s="89">
        <f>F788+G788+H788</f>
        <v>9.27</v>
      </c>
      <c r="F788" s="89">
        <v>0.16</v>
      </c>
      <c r="G788" s="89">
        <v>0.12</v>
      </c>
      <c r="H788" s="89">
        <v>8.99</v>
      </c>
      <c r="I788" s="83">
        <v>351.84</v>
      </c>
      <c r="J788" s="89">
        <v>8.99</v>
      </c>
      <c r="K788" s="83">
        <v>227.58</v>
      </c>
      <c r="L788" s="77">
        <f>J788/K788</f>
        <v>0.03950259249494683</v>
      </c>
      <c r="M788" s="42">
        <v>314.9</v>
      </c>
      <c r="N788" s="78">
        <f>L788*M788</f>
        <v>12.439366376658755</v>
      </c>
      <c r="O788" s="78">
        <f>L788*60*1000</f>
        <v>2370.15554969681</v>
      </c>
      <c r="P788" s="79">
        <f>O788*M788/1000</f>
        <v>746.3619825995254</v>
      </c>
      <c r="R788" s="10"/>
      <c r="S788" s="10"/>
    </row>
    <row r="789" spans="1:19" s="9" customFormat="1" ht="12.75" customHeight="1">
      <c r="A789" s="212"/>
      <c r="B789" s="80" t="s">
        <v>179</v>
      </c>
      <c r="C789" s="41">
        <v>8</v>
      </c>
      <c r="D789" s="41">
        <v>1958</v>
      </c>
      <c r="E789" s="89">
        <v>16.9</v>
      </c>
      <c r="F789" s="89">
        <v>1.681</v>
      </c>
      <c r="G789" s="89">
        <v>1.12</v>
      </c>
      <c r="H789" s="89">
        <v>14.099</v>
      </c>
      <c r="I789" s="83">
        <v>356.49</v>
      </c>
      <c r="J789" s="89">
        <v>14.1</v>
      </c>
      <c r="K789" s="83">
        <v>356.5</v>
      </c>
      <c r="L789" s="77">
        <f>J789/K789</f>
        <v>0.03955119214586255</v>
      </c>
      <c r="M789" s="42">
        <v>220.9</v>
      </c>
      <c r="N789" s="78">
        <f>L789*M789</f>
        <v>8.736858345021037</v>
      </c>
      <c r="O789" s="78">
        <f>L789*60*1000</f>
        <v>2373.071528751753</v>
      </c>
      <c r="P789" s="79">
        <f>O789*M789/1000</f>
        <v>524.2115007012623</v>
      </c>
      <c r="R789" s="10"/>
      <c r="S789" s="10"/>
    </row>
    <row r="790" spans="1:19" s="9" customFormat="1" ht="12.75">
      <c r="A790" s="212"/>
      <c r="B790" s="80" t="s">
        <v>328</v>
      </c>
      <c r="C790" s="41">
        <v>4</v>
      </c>
      <c r="D790" s="41">
        <v>1914</v>
      </c>
      <c r="E790" s="89">
        <v>8.941</v>
      </c>
      <c r="F790" s="89">
        <v>0.255</v>
      </c>
      <c r="G790" s="89">
        <v>0.64</v>
      </c>
      <c r="H790" s="89">
        <v>6.928</v>
      </c>
      <c r="I790" s="83">
        <v>203.32</v>
      </c>
      <c r="J790" s="89">
        <v>5.98</v>
      </c>
      <c r="K790" s="83">
        <v>151.17</v>
      </c>
      <c r="L790" s="77">
        <f>J790/K790</f>
        <v>0.03955811338228485</v>
      </c>
      <c r="M790" s="42">
        <v>337.137</v>
      </c>
      <c r="N790" s="78">
        <f>L790*M790</f>
        <v>13.336503671363367</v>
      </c>
      <c r="O790" s="78">
        <f>L790*60*1000</f>
        <v>2373.486802937091</v>
      </c>
      <c r="P790" s="79">
        <f>O790*M790/1000</f>
        <v>800.190220281802</v>
      </c>
      <c r="R790" s="10"/>
      <c r="S790" s="10"/>
    </row>
    <row r="791" spans="1:19" s="9" customFormat="1" ht="12.75" customHeight="1">
      <c r="A791" s="212"/>
      <c r="B791" s="207" t="s">
        <v>456</v>
      </c>
      <c r="C791" s="135">
        <v>8</v>
      </c>
      <c r="D791" s="135">
        <v>1962</v>
      </c>
      <c r="E791" s="136">
        <v>15.700000000000001</v>
      </c>
      <c r="F791" s="136">
        <v>0.6</v>
      </c>
      <c r="G791" s="136">
        <v>1.3</v>
      </c>
      <c r="H791" s="136">
        <v>13.8</v>
      </c>
      <c r="I791" s="137">
        <v>349.3</v>
      </c>
      <c r="J791" s="136">
        <v>12.1</v>
      </c>
      <c r="K791" s="137">
        <v>305.787</v>
      </c>
      <c r="L791" s="138">
        <v>0.03957002750280424</v>
      </c>
      <c r="M791" s="132">
        <v>215.8</v>
      </c>
      <c r="N791" s="132">
        <v>8.539211935105156</v>
      </c>
      <c r="O791" s="132">
        <f>L791*60*1000</f>
        <v>2374.2016501682547</v>
      </c>
      <c r="P791" s="345">
        <v>512.3527161063093</v>
      </c>
      <c r="R791" s="10"/>
      <c r="S791" s="10"/>
    </row>
    <row r="792" spans="1:19" s="9" customFormat="1" ht="12.75" customHeight="1">
      <c r="A792" s="212"/>
      <c r="B792" s="80" t="s">
        <v>462</v>
      </c>
      <c r="C792" s="41">
        <v>10</v>
      </c>
      <c r="D792" s="41">
        <v>1976</v>
      </c>
      <c r="E792" s="89">
        <v>17</v>
      </c>
      <c r="F792" s="89">
        <v>0.662</v>
      </c>
      <c r="G792" s="89">
        <v>0</v>
      </c>
      <c r="H792" s="89">
        <v>16.338</v>
      </c>
      <c r="I792" s="83">
        <v>411.49</v>
      </c>
      <c r="J792" s="89">
        <v>16.3</v>
      </c>
      <c r="K792" s="83">
        <v>411.5</v>
      </c>
      <c r="L792" s="77">
        <f>J792/K792</f>
        <v>0.039611178614823814</v>
      </c>
      <c r="M792" s="42">
        <v>220.9</v>
      </c>
      <c r="N792" s="78">
        <f>L792*M792</f>
        <v>8.750109356014582</v>
      </c>
      <c r="O792" s="78">
        <f>L792*60*1000</f>
        <v>2376.670716889429</v>
      </c>
      <c r="P792" s="79">
        <f>O792*M792/1000</f>
        <v>525.0065613608749</v>
      </c>
      <c r="R792" s="10"/>
      <c r="S792" s="10"/>
    </row>
    <row r="793" spans="1:19" s="9" customFormat="1" ht="12.75">
      <c r="A793" s="212"/>
      <c r="B793" s="252" t="s">
        <v>563</v>
      </c>
      <c r="C793" s="169">
        <v>13</v>
      </c>
      <c r="D793" s="170" t="s">
        <v>24</v>
      </c>
      <c r="E793" s="171">
        <v>32.62</v>
      </c>
      <c r="F793" s="171">
        <v>1.5</v>
      </c>
      <c r="G793" s="172">
        <v>0.18</v>
      </c>
      <c r="H793" s="171">
        <v>30.93</v>
      </c>
      <c r="I793" s="173">
        <v>773.05</v>
      </c>
      <c r="J793" s="171">
        <v>21.83</v>
      </c>
      <c r="K793" s="174">
        <v>550.52</v>
      </c>
      <c r="L793" s="77">
        <f>J793/K793</f>
        <v>0.03965341858606408</v>
      </c>
      <c r="M793" s="42">
        <v>266.83</v>
      </c>
      <c r="N793" s="78">
        <f>L793*M793</f>
        <v>10.580721681319478</v>
      </c>
      <c r="O793" s="78">
        <f>L793*60*1000</f>
        <v>2379.2051151638448</v>
      </c>
      <c r="P793" s="79">
        <f>O793*M793/1000</f>
        <v>634.8433008791686</v>
      </c>
      <c r="Q793" s="11"/>
      <c r="R793" s="10"/>
      <c r="S793" s="10"/>
    </row>
    <row r="794" spans="1:19" s="9" customFormat="1" ht="12.75">
      <c r="A794" s="212"/>
      <c r="B794" s="53" t="s">
        <v>164</v>
      </c>
      <c r="C794" s="26">
        <v>4</v>
      </c>
      <c r="D794" s="26" t="s">
        <v>24</v>
      </c>
      <c r="E794" s="90">
        <f>F794+G794+H794</f>
        <v>10.957</v>
      </c>
      <c r="F794" s="90">
        <v>0.2242</v>
      </c>
      <c r="G794" s="90">
        <v>0.64</v>
      </c>
      <c r="H794" s="90">
        <v>10.0928</v>
      </c>
      <c r="I794" s="44">
        <v>254.45</v>
      </c>
      <c r="J794" s="90">
        <v>10.0928</v>
      </c>
      <c r="K794" s="44">
        <v>254.45</v>
      </c>
      <c r="L794" s="54">
        <f>J794/K794</f>
        <v>0.03966516014934172</v>
      </c>
      <c r="M794" s="33">
        <v>210</v>
      </c>
      <c r="N794" s="257">
        <f>L794*M794</f>
        <v>8.32968363136176</v>
      </c>
      <c r="O794" s="257">
        <f>L794*1000*60</f>
        <v>2379.9096089605027</v>
      </c>
      <c r="P794" s="346">
        <f>N794*60</f>
        <v>499.7810178817056</v>
      </c>
      <c r="R794" s="10"/>
      <c r="S794" s="10"/>
    </row>
    <row r="795" spans="1:19" s="9" customFormat="1" ht="12.75">
      <c r="A795" s="212"/>
      <c r="B795" s="53" t="s">
        <v>45</v>
      </c>
      <c r="C795" s="26">
        <v>24</v>
      </c>
      <c r="D795" s="26">
        <v>1961</v>
      </c>
      <c r="E795" s="90">
        <v>38.354</v>
      </c>
      <c r="F795" s="90">
        <v>2.102801</v>
      </c>
      <c r="G795" s="90">
        <v>0</v>
      </c>
      <c r="H795" s="90">
        <v>36.251199</v>
      </c>
      <c r="I795" s="44">
        <v>911.79</v>
      </c>
      <c r="J795" s="90">
        <v>36.251199</v>
      </c>
      <c r="K795" s="44">
        <v>911.79</v>
      </c>
      <c r="L795" s="54">
        <f>J795/K795</f>
        <v>0.03975827657684335</v>
      </c>
      <c r="M795" s="26">
        <v>296.48</v>
      </c>
      <c r="N795" s="33">
        <f>L795*M795</f>
        <v>11.787533839502519</v>
      </c>
      <c r="O795" s="33">
        <f>L795*60*1000</f>
        <v>2385.496594610601</v>
      </c>
      <c r="P795" s="55">
        <f>O795*M795/1000</f>
        <v>707.2520303701509</v>
      </c>
      <c r="R795" s="10"/>
      <c r="S795" s="10"/>
    </row>
    <row r="796" spans="1:19" s="9" customFormat="1" ht="12.75">
      <c r="A796" s="212"/>
      <c r="B796" s="252" t="s">
        <v>564</v>
      </c>
      <c r="C796" s="169">
        <v>65</v>
      </c>
      <c r="D796" s="170" t="s">
        <v>24</v>
      </c>
      <c r="E796" s="171">
        <v>42.6</v>
      </c>
      <c r="F796" s="171">
        <v>2.26</v>
      </c>
      <c r="G796" s="172">
        <v>0.65</v>
      </c>
      <c r="H796" s="171">
        <v>39.7</v>
      </c>
      <c r="I796" s="173">
        <v>998.65</v>
      </c>
      <c r="J796" s="171">
        <v>39.09</v>
      </c>
      <c r="K796" s="174">
        <v>981.67</v>
      </c>
      <c r="L796" s="77">
        <f>J796/K796</f>
        <v>0.03981989874397711</v>
      </c>
      <c r="M796" s="42">
        <v>266.83</v>
      </c>
      <c r="N796" s="78">
        <f>L796*M796</f>
        <v>10.625143581855411</v>
      </c>
      <c r="O796" s="78">
        <f>L796*60*1000</f>
        <v>2389.193924638627</v>
      </c>
      <c r="P796" s="79">
        <f>O796*M796/1000</f>
        <v>637.5086149113248</v>
      </c>
      <c r="R796" s="10"/>
      <c r="S796" s="10"/>
    </row>
    <row r="797" spans="1:19" s="9" customFormat="1" ht="12.75">
      <c r="A797" s="212"/>
      <c r="B797" s="272" t="s">
        <v>587</v>
      </c>
      <c r="C797" s="41">
        <v>79</v>
      </c>
      <c r="D797" s="41">
        <v>1960</v>
      </c>
      <c r="E797" s="89">
        <v>52.07</v>
      </c>
      <c r="F797" s="89"/>
      <c r="G797" s="89"/>
      <c r="H797" s="89">
        <f>E797-F797-G797</f>
        <v>52.07</v>
      </c>
      <c r="I797" s="83">
        <v>1307.56</v>
      </c>
      <c r="J797" s="89">
        <v>52.07</v>
      </c>
      <c r="K797" s="83">
        <v>1307.56</v>
      </c>
      <c r="L797" s="77">
        <f>J797/K797</f>
        <v>0.039822264370277465</v>
      </c>
      <c r="M797" s="42">
        <v>300</v>
      </c>
      <c r="N797" s="78">
        <f>L797*M797</f>
        <v>11.946679311083239</v>
      </c>
      <c r="O797" s="78">
        <f>L797*60*1000</f>
        <v>2389.335862216648</v>
      </c>
      <c r="P797" s="79">
        <f>O797*M797/1000</f>
        <v>716.8007586649944</v>
      </c>
      <c r="R797" s="10"/>
      <c r="S797" s="10"/>
    </row>
    <row r="798" spans="1:19" s="9" customFormat="1" ht="12.75" customHeight="1">
      <c r="A798" s="212"/>
      <c r="B798" s="272" t="s">
        <v>588</v>
      </c>
      <c r="C798" s="41">
        <v>18</v>
      </c>
      <c r="D798" s="41">
        <v>1958</v>
      </c>
      <c r="E798" s="89">
        <v>40.78</v>
      </c>
      <c r="F798" s="89">
        <v>1.581</v>
      </c>
      <c r="G798" s="89">
        <v>2.72</v>
      </c>
      <c r="H798" s="89">
        <f>E798-F798-G798</f>
        <v>36.479</v>
      </c>
      <c r="I798" s="83">
        <v>914.96</v>
      </c>
      <c r="J798" s="89">
        <v>36.479</v>
      </c>
      <c r="K798" s="83">
        <v>914.96</v>
      </c>
      <c r="L798" s="77">
        <f>J798/K798</f>
        <v>0.03986950249191221</v>
      </c>
      <c r="M798" s="42">
        <v>300</v>
      </c>
      <c r="N798" s="78">
        <f>L798*M798</f>
        <v>11.960850747573664</v>
      </c>
      <c r="O798" s="78">
        <f>L798*60*1000</f>
        <v>2392.1701495147327</v>
      </c>
      <c r="P798" s="79">
        <f>O798*M798/1000</f>
        <v>717.6510448544198</v>
      </c>
      <c r="R798" s="10"/>
      <c r="S798" s="10"/>
    </row>
    <row r="799" spans="1:22" s="9" customFormat="1" ht="12.75" customHeight="1">
      <c r="A799" s="212"/>
      <c r="B799" s="95" t="s">
        <v>866</v>
      </c>
      <c r="C799" s="41">
        <v>6</v>
      </c>
      <c r="D799" s="41">
        <v>1961</v>
      </c>
      <c r="E799" s="89">
        <v>10</v>
      </c>
      <c r="F799" s="89"/>
      <c r="G799" s="89"/>
      <c r="H799" s="89">
        <v>10</v>
      </c>
      <c r="I799" s="83">
        <v>250</v>
      </c>
      <c r="J799" s="89">
        <v>10</v>
      </c>
      <c r="K799" s="83">
        <v>250</v>
      </c>
      <c r="L799" s="77">
        <f>J799/K799</f>
        <v>0.04</v>
      </c>
      <c r="M799" s="41">
        <v>254.2</v>
      </c>
      <c r="N799" s="78">
        <f>L799*M799</f>
        <v>10.168</v>
      </c>
      <c r="O799" s="78">
        <f>L799*60*1000</f>
        <v>2400</v>
      </c>
      <c r="P799" s="79">
        <f>O799*M799/1000</f>
        <v>610.08</v>
      </c>
      <c r="Q799" s="10"/>
      <c r="R799" s="10"/>
      <c r="S799" s="10"/>
      <c r="T799" s="12"/>
      <c r="U799" s="13"/>
      <c r="V799" s="13"/>
    </row>
    <row r="800" spans="1:19" s="9" customFormat="1" ht="12.75" customHeight="1">
      <c r="A800" s="212"/>
      <c r="B800" s="80" t="s">
        <v>518</v>
      </c>
      <c r="C800" s="41">
        <v>18</v>
      </c>
      <c r="D800" s="41">
        <v>1988</v>
      </c>
      <c r="E800" s="89">
        <v>58.502</v>
      </c>
      <c r="F800" s="89">
        <v>2.453</v>
      </c>
      <c r="G800" s="89">
        <v>1.74</v>
      </c>
      <c r="H800" s="89">
        <f>E800-F800-G800</f>
        <v>54.309</v>
      </c>
      <c r="I800" s="83">
        <v>1357.63</v>
      </c>
      <c r="J800" s="89">
        <f>H800</f>
        <v>54.309</v>
      </c>
      <c r="K800" s="83">
        <f>I800</f>
        <v>1357.63</v>
      </c>
      <c r="L800" s="77">
        <f>J800/K800</f>
        <v>0.040002798995307995</v>
      </c>
      <c r="M800" s="42">
        <v>279.476</v>
      </c>
      <c r="N800" s="78">
        <f>L800*M800</f>
        <v>11.179822252012697</v>
      </c>
      <c r="O800" s="78">
        <f>L800*60*1000</f>
        <v>2400.16793971848</v>
      </c>
      <c r="P800" s="79">
        <f>O800*M800/1000</f>
        <v>670.7893351207618</v>
      </c>
      <c r="R800" s="10"/>
      <c r="S800" s="10"/>
    </row>
    <row r="801" spans="1:19" s="9" customFormat="1" ht="12.75" customHeight="1">
      <c r="A801" s="212"/>
      <c r="B801" s="80" t="s">
        <v>840</v>
      </c>
      <c r="C801" s="41">
        <v>9</v>
      </c>
      <c r="D801" s="41" t="s">
        <v>24</v>
      </c>
      <c r="E801" s="89">
        <v>22.7</v>
      </c>
      <c r="F801" s="89">
        <f>12*0.051</f>
        <v>0.612</v>
      </c>
      <c r="G801" s="89">
        <f>9*0.16</f>
        <v>1.44</v>
      </c>
      <c r="H801" s="89">
        <f>+E801-F801-G801</f>
        <v>20.648</v>
      </c>
      <c r="I801" s="264"/>
      <c r="J801" s="89">
        <f>+H801</f>
        <v>20.648</v>
      </c>
      <c r="K801" s="83">
        <v>515.76</v>
      </c>
      <c r="L801" s="77">
        <f>J801/K801</f>
        <v>0.04003412439894525</v>
      </c>
      <c r="M801" s="42">
        <f>+M794</f>
        <v>210</v>
      </c>
      <c r="N801" s="78">
        <f>L801*M801</f>
        <v>8.407166123778502</v>
      </c>
      <c r="O801" s="78">
        <f>L801*60*1000</f>
        <v>2402.047463936715</v>
      </c>
      <c r="P801" s="79">
        <f>O801*M801/1000</f>
        <v>504.4299674267101</v>
      </c>
      <c r="R801" s="10"/>
      <c r="S801" s="10"/>
    </row>
    <row r="802" spans="1:19" s="9" customFormat="1" ht="12.75" customHeight="1">
      <c r="A802" s="212"/>
      <c r="B802" s="80" t="s">
        <v>232</v>
      </c>
      <c r="C802" s="41">
        <v>11</v>
      </c>
      <c r="D802" s="41">
        <v>1966</v>
      </c>
      <c r="E802" s="89">
        <v>15.782</v>
      </c>
      <c r="F802" s="89">
        <v>1.207476</v>
      </c>
      <c r="G802" s="89" t="s">
        <v>156</v>
      </c>
      <c r="H802" s="89">
        <v>14.574524</v>
      </c>
      <c r="I802" s="83">
        <v>517.52</v>
      </c>
      <c r="J802" s="89">
        <v>13.68</v>
      </c>
      <c r="K802" s="83">
        <v>340.38</v>
      </c>
      <c r="L802" s="77">
        <f>J802/K802</f>
        <v>0.040190375462718135</v>
      </c>
      <c r="M802" s="42">
        <v>328.199</v>
      </c>
      <c r="N802" s="78">
        <f>L802*M802</f>
        <v>13.190441036488629</v>
      </c>
      <c r="O802" s="78">
        <f>L802*60*1000</f>
        <v>2411.4225277630885</v>
      </c>
      <c r="P802" s="79">
        <f>O802*M802/1000</f>
        <v>791.4264621893179</v>
      </c>
      <c r="R802" s="10"/>
      <c r="S802" s="10"/>
    </row>
    <row r="803" spans="1:19" s="9" customFormat="1" ht="12.75" customHeight="1">
      <c r="A803" s="212"/>
      <c r="B803" s="80" t="s">
        <v>612</v>
      </c>
      <c r="C803" s="41">
        <v>5</v>
      </c>
      <c r="D803" s="41">
        <v>1880</v>
      </c>
      <c r="E803" s="89">
        <v>9.18</v>
      </c>
      <c r="F803" s="89">
        <v>0.204</v>
      </c>
      <c r="G803" s="89">
        <v>0.72</v>
      </c>
      <c r="H803" s="89">
        <v>8.256</v>
      </c>
      <c r="I803" s="83">
        <v>377.71</v>
      </c>
      <c r="J803" s="89">
        <v>7.410577</v>
      </c>
      <c r="K803" s="83">
        <v>184.32</v>
      </c>
      <c r="L803" s="77">
        <v>0.040204</v>
      </c>
      <c r="M803" s="42">
        <v>302.37</v>
      </c>
      <c r="N803" s="78">
        <f>M803*L803</f>
        <v>12.156483479999999</v>
      </c>
      <c r="O803" s="78">
        <f>L803*60*1000</f>
        <v>2412.24</v>
      </c>
      <c r="P803" s="79">
        <f>N803*60</f>
        <v>729.3890087999999</v>
      </c>
      <c r="R803" s="10"/>
      <c r="S803" s="10"/>
    </row>
    <row r="804" spans="1:19" s="9" customFormat="1" ht="13.5" customHeight="1">
      <c r="A804" s="212"/>
      <c r="B804" s="53" t="s">
        <v>707</v>
      </c>
      <c r="C804" s="26">
        <v>6</v>
      </c>
      <c r="D804" s="26" t="s">
        <v>24</v>
      </c>
      <c r="E804" s="90">
        <f>F804+G804+H804</f>
        <v>9.739</v>
      </c>
      <c r="F804" s="90">
        <v>0.5605</v>
      </c>
      <c r="G804" s="90">
        <v>0.64</v>
      </c>
      <c r="H804" s="90">
        <v>8.5385</v>
      </c>
      <c r="I804" s="44">
        <v>212.08</v>
      </c>
      <c r="J804" s="90">
        <v>8.5385</v>
      </c>
      <c r="K804" s="44">
        <v>212.08</v>
      </c>
      <c r="L804" s="54">
        <f>J804/K804</f>
        <v>0.040260750660128256</v>
      </c>
      <c r="M804" s="33">
        <v>210</v>
      </c>
      <c r="N804" s="33">
        <f>L804*M804</f>
        <v>8.454757638626933</v>
      </c>
      <c r="O804" s="33">
        <f>L804*1000*60</f>
        <v>2415.6450396076953</v>
      </c>
      <c r="P804" s="55">
        <f>N804*60</f>
        <v>507.285458317616</v>
      </c>
      <c r="R804" s="10"/>
      <c r="S804" s="10"/>
    </row>
    <row r="805" spans="1:19" s="9" customFormat="1" ht="12.75" customHeight="1">
      <c r="A805" s="212"/>
      <c r="B805" s="151" t="s">
        <v>296</v>
      </c>
      <c r="C805" s="152">
        <v>35</v>
      </c>
      <c r="D805" s="152">
        <v>1965</v>
      </c>
      <c r="E805" s="90">
        <v>35.59</v>
      </c>
      <c r="F805" s="90">
        <v>7.014677</v>
      </c>
      <c r="G805" s="90">
        <v>0.826</v>
      </c>
      <c r="H805" s="90">
        <v>27.749323000000004</v>
      </c>
      <c r="I805" s="44">
        <v>687.58</v>
      </c>
      <c r="J805" s="90">
        <v>27.74932</v>
      </c>
      <c r="K805" s="44">
        <v>687.58</v>
      </c>
      <c r="L805" s="54">
        <f>J805/K805</f>
        <v>0.04035795107478402</v>
      </c>
      <c r="M805" s="26">
        <v>296.48</v>
      </c>
      <c r="N805" s="33">
        <f>L805*M805</f>
        <v>11.965325334651968</v>
      </c>
      <c r="O805" s="33">
        <f>L805*60*1000</f>
        <v>2421.4770644870414</v>
      </c>
      <c r="P805" s="55">
        <f>O805*M805/1000</f>
        <v>717.9195200791181</v>
      </c>
      <c r="R805" s="10"/>
      <c r="S805" s="10"/>
    </row>
    <row r="806" spans="1:19" s="9" customFormat="1" ht="12.75" customHeight="1">
      <c r="A806" s="212"/>
      <c r="B806" s="53" t="s">
        <v>238</v>
      </c>
      <c r="C806" s="26">
        <v>7</v>
      </c>
      <c r="D806" s="26" t="s">
        <v>24</v>
      </c>
      <c r="E806" s="90">
        <f>F806+G806+H806</f>
        <v>15.1661</v>
      </c>
      <c r="F806" s="90">
        <v>0.3924</v>
      </c>
      <c r="G806" s="90">
        <v>1.12</v>
      </c>
      <c r="H806" s="90">
        <v>13.6537</v>
      </c>
      <c r="I806" s="44">
        <v>337.32</v>
      </c>
      <c r="J806" s="90">
        <v>13.6537</v>
      </c>
      <c r="K806" s="44">
        <v>337.32</v>
      </c>
      <c r="L806" s="54">
        <f>J806/K806</f>
        <v>0.04047699513814776</v>
      </c>
      <c r="M806" s="33">
        <v>210</v>
      </c>
      <c r="N806" s="33">
        <f>L806*M806</f>
        <v>8.500168979011029</v>
      </c>
      <c r="O806" s="33">
        <f>L806*1000*60</f>
        <v>2428.6197082888652</v>
      </c>
      <c r="P806" s="55">
        <f>N806*60</f>
        <v>510.0101387406618</v>
      </c>
      <c r="R806" s="10"/>
      <c r="S806" s="10"/>
    </row>
    <row r="807" spans="1:19" s="9" customFormat="1" ht="12.75">
      <c r="A807" s="212"/>
      <c r="B807" s="255" t="s">
        <v>221</v>
      </c>
      <c r="C807" s="203">
        <v>11</v>
      </c>
      <c r="D807" s="41">
        <v>1976</v>
      </c>
      <c r="E807" s="89">
        <f>F807+G807+H807</f>
        <v>20.106071</v>
      </c>
      <c r="F807" s="200">
        <v>0</v>
      </c>
      <c r="G807" s="200">
        <v>0</v>
      </c>
      <c r="H807" s="200">
        <v>20.106071</v>
      </c>
      <c r="I807" s="201">
        <v>543.66</v>
      </c>
      <c r="J807" s="200">
        <v>20.106071</v>
      </c>
      <c r="K807" s="201">
        <v>496.05</v>
      </c>
      <c r="L807" s="77">
        <f>J807/K807</f>
        <v>0.040532347545610324</v>
      </c>
      <c r="M807" s="42">
        <v>314.465</v>
      </c>
      <c r="N807" s="78">
        <f>L807*M807</f>
        <v>12.746004670930349</v>
      </c>
      <c r="O807" s="78">
        <f>L807*60*1000</f>
        <v>2431.9408527366195</v>
      </c>
      <c r="P807" s="79">
        <f>O807*M807/1000</f>
        <v>764.7602802558209</v>
      </c>
      <c r="R807" s="10"/>
      <c r="S807" s="10"/>
    </row>
    <row r="808" spans="1:19" s="9" customFormat="1" ht="12.75">
      <c r="A808" s="212"/>
      <c r="B808" s="80" t="s">
        <v>757</v>
      </c>
      <c r="C808" s="41">
        <v>14</v>
      </c>
      <c r="D808" s="41"/>
      <c r="E808" s="89">
        <v>23.5</v>
      </c>
      <c r="F808" s="89">
        <v>1.121</v>
      </c>
      <c r="G808" s="89">
        <v>0</v>
      </c>
      <c r="H808" s="89">
        <v>22.379</v>
      </c>
      <c r="I808" s="83">
        <v>551.79</v>
      </c>
      <c r="J808" s="89">
        <v>22.4</v>
      </c>
      <c r="K808" s="83">
        <v>551.8</v>
      </c>
      <c r="L808" s="77">
        <f>J808/K808</f>
        <v>0.04059441826748822</v>
      </c>
      <c r="M808" s="42">
        <v>220.9</v>
      </c>
      <c r="N808" s="78">
        <f>L808*M808</f>
        <v>8.967306995288148</v>
      </c>
      <c r="O808" s="78">
        <f>L808*60*1000</f>
        <v>2435.665096049293</v>
      </c>
      <c r="P808" s="79">
        <f>O808*M808/1000</f>
        <v>538.0384197172888</v>
      </c>
      <c r="R808" s="10"/>
      <c r="S808" s="10"/>
    </row>
    <row r="809" spans="1:19" s="9" customFormat="1" ht="12.75">
      <c r="A809" s="212"/>
      <c r="B809" s="80" t="s">
        <v>867</v>
      </c>
      <c r="C809" s="41">
        <v>24</v>
      </c>
      <c r="D809" s="41">
        <v>1962</v>
      </c>
      <c r="E809" s="89">
        <v>36.624</v>
      </c>
      <c r="F809" s="89"/>
      <c r="G809" s="89"/>
      <c r="H809" s="89">
        <v>36.624</v>
      </c>
      <c r="I809" s="83">
        <v>902</v>
      </c>
      <c r="J809" s="89">
        <v>36.624</v>
      </c>
      <c r="K809" s="83">
        <v>902</v>
      </c>
      <c r="L809" s="77">
        <f>J809/K809</f>
        <v>0.040603104212860314</v>
      </c>
      <c r="M809" s="42">
        <v>254.2</v>
      </c>
      <c r="N809" s="78">
        <f>L809*M809</f>
        <v>10.321309090909091</v>
      </c>
      <c r="O809" s="78">
        <f>L809*60*1000</f>
        <v>2436.186252771619</v>
      </c>
      <c r="P809" s="79">
        <f>O809*M809/1000</f>
        <v>619.2785454545456</v>
      </c>
      <c r="R809" s="10"/>
      <c r="S809" s="10"/>
    </row>
    <row r="810" spans="1:19" s="9" customFormat="1" ht="12.75">
      <c r="A810" s="212"/>
      <c r="B810" s="80" t="s">
        <v>758</v>
      </c>
      <c r="C810" s="41">
        <v>10</v>
      </c>
      <c r="D810" s="41">
        <v>1991</v>
      </c>
      <c r="E810" s="89">
        <v>24.1</v>
      </c>
      <c r="F810" s="89">
        <v>1.257</v>
      </c>
      <c r="G810" s="89">
        <v>1.44</v>
      </c>
      <c r="H810" s="89">
        <v>21.403</v>
      </c>
      <c r="I810" s="83">
        <v>526.93</v>
      </c>
      <c r="J810" s="89">
        <v>21.4</v>
      </c>
      <c r="K810" s="83">
        <v>526.9</v>
      </c>
      <c r="L810" s="77">
        <f>J810/K810</f>
        <v>0.04061491744163978</v>
      </c>
      <c r="M810" s="42">
        <v>220.9</v>
      </c>
      <c r="N810" s="78">
        <f>L810*M810</f>
        <v>8.971835262858228</v>
      </c>
      <c r="O810" s="78">
        <f>L810*60*1000</f>
        <v>2436.895046498387</v>
      </c>
      <c r="P810" s="79">
        <f>O810*M810/1000</f>
        <v>538.3101157714937</v>
      </c>
      <c r="R810" s="10"/>
      <c r="S810" s="10"/>
    </row>
    <row r="811" spans="1:19" s="9" customFormat="1" ht="12.75">
      <c r="A811" s="212"/>
      <c r="B811" s="80" t="s">
        <v>945</v>
      </c>
      <c r="C811" s="41">
        <v>9</v>
      </c>
      <c r="D811" s="41">
        <v>1984</v>
      </c>
      <c r="E811" s="89">
        <v>19.9</v>
      </c>
      <c r="F811" s="89">
        <v>0.944</v>
      </c>
      <c r="G811" s="89">
        <v>1.44</v>
      </c>
      <c r="H811" s="89">
        <v>17.516</v>
      </c>
      <c r="I811" s="83">
        <v>431</v>
      </c>
      <c r="J811" s="89">
        <v>17.516</v>
      </c>
      <c r="K811" s="83">
        <v>431</v>
      </c>
      <c r="L811" s="77">
        <f>J811/K811</f>
        <v>0.04064037122969837</v>
      </c>
      <c r="M811" s="42">
        <v>227.81</v>
      </c>
      <c r="N811" s="78">
        <f>L811*M811</f>
        <v>9.258282969837586</v>
      </c>
      <c r="O811" s="78">
        <f>L811*60*1000</f>
        <v>2438.4222737819027</v>
      </c>
      <c r="P811" s="79">
        <f>O811*M811/1000</f>
        <v>555.4969781902553</v>
      </c>
      <c r="R811" s="10"/>
      <c r="S811" s="10"/>
    </row>
    <row r="812" spans="1:19" s="9" customFormat="1" ht="12.75">
      <c r="A812" s="212"/>
      <c r="B812" s="80" t="s">
        <v>484</v>
      </c>
      <c r="C812" s="41">
        <v>20</v>
      </c>
      <c r="D812" s="41">
        <v>1980</v>
      </c>
      <c r="E812" s="89">
        <v>47.4</v>
      </c>
      <c r="F812" s="89">
        <v>2.1</v>
      </c>
      <c r="G812" s="89">
        <v>3.2</v>
      </c>
      <c r="H812" s="89">
        <v>42</v>
      </c>
      <c r="I812" s="264"/>
      <c r="J812" s="89">
        <f>H812</f>
        <v>42</v>
      </c>
      <c r="K812" s="83">
        <v>1033</v>
      </c>
      <c r="L812" s="77">
        <f>J812/K812</f>
        <v>0.04065827686350436</v>
      </c>
      <c r="M812" s="42">
        <v>187.7</v>
      </c>
      <c r="N812" s="78">
        <f>L812*M812</f>
        <v>7.631558567279767</v>
      </c>
      <c r="O812" s="78">
        <f>L812*60*1000</f>
        <v>2439.4966118102616</v>
      </c>
      <c r="P812" s="79">
        <f>O812*M812/1000</f>
        <v>457.89351403678603</v>
      </c>
      <c r="R812" s="10"/>
      <c r="S812" s="10"/>
    </row>
    <row r="813" spans="1:19" s="9" customFormat="1" ht="12.75" customHeight="1">
      <c r="A813" s="212"/>
      <c r="B813" s="53" t="s">
        <v>428</v>
      </c>
      <c r="C813" s="26">
        <v>24</v>
      </c>
      <c r="D813" s="26">
        <v>1961</v>
      </c>
      <c r="E813" s="90">
        <v>37</v>
      </c>
      <c r="F813" s="90"/>
      <c r="G813" s="90"/>
      <c r="H813" s="90">
        <v>37</v>
      </c>
      <c r="I813" s="44">
        <v>909.58</v>
      </c>
      <c r="J813" s="90">
        <v>37</v>
      </c>
      <c r="K813" s="44">
        <v>909.58</v>
      </c>
      <c r="L813" s="54">
        <f>J813/K813</f>
        <v>0.04067811517403637</v>
      </c>
      <c r="M813" s="33">
        <v>263.899</v>
      </c>
      <c r="N813" s="33">
        <f>L813*M813</f>
        <v>10.734913916313024</v>
      </c>
      <c r="O813" s="33">
        <f>L813*1000*60</f>
        <v>2440.686910442182</v>
      </c>
      <c r="P813" s="55">
        <f>N813*60</f>
        <v>644.0948349787815</v>
      </c>
      <c r="R813" s="10"/>
      <c r="S813" s="10"/>
    </row>
    <row r="814" spans="1:19" s="9" customFormat="1" ht="12.75" customHeight="1">
      <c r="A814" s="212"/>
      <c r="B814" s="80" t="s">
        <v>659</v>
      </c>
      <c r="C814" s="41">
        <v>4</v>
      </c>
      <c r="D814" s="41"/>
      <c r="E814" s="89">
        <v>4.953</v>
      </c>
      <c r="F814" s="89" t="s">
        <v>156</v>
      </c>
      <c r="G814" s="89" t="s">
        <v>156</v>
      </c>
      <c r="H814" s="89">
        <v>4.953</v>
      </c>
      <c r="I814" s="83">
        <v>121.68</v>
      </c>
      <c r="J814" s="89">
        <v>4.95</v>
      </c>
      <c r="K814" s="83">
        <v>121.68</v>
      </c>
      <c r="L814" s="77">
        <f>J814/K814</f>
        <v>0.040680473372781065</v>
      </c>
      <c r="M814" s="42">
        <v>328.199</v>
      </c>
      <c r="N814" s="78">
        <f>L814*M814</f>
        <v>13.351290680473372</v>
      </c>
      <c r="O814" s="78">
        <f>L814*60*1000</f>
        <v>2440.828402366864</v>
      </c>
      <c r="P814" s="79">
        <f>O814*M814/1000</f>
        <v>801.0774408284024</v>
      </c>
      <c r="R814" s="10"/>
      <c r="S814" s="10"/>
    </row>
    <row r="815" spans="1:26" s="9" customFormat="1" ht="12.75">
      <c r="A815" s="212"/>
      <c r="B815" s="80" t="s">
        <v>467</v>
      </c>
      <c r="C815" s="41">
        <v>25</v>
      </c>
      <c r="D815" s="41" t="s">
        <v>24</v>
      </c>
      <c r="E815" s="89">
        <v>51.4</v>
      </c>
      <c r="F815" s="89">
        <f>31.95*0.051</f>
        <v>1.6294499999999998</v>
      </c>
      <c r="G815" s="89">
        <v>3.6</v>
      </c>
      <c r="H815" s="89">
        <f>+E815-F815-G815</f>
        <v>46.17055</v>
      </c>
      <c r="I815" s="210"/>
      <c r="J815" s="89">
        <f>+H815</f>
        <v>46.17055</v>
      </c>
      <c r="K815" s="83">
        <v>1133.69</v>
      </c>
      <c r="L815" s="77">
        <f>J815/K815</f>
        <v>0.040725903906711707</v>
      </c>
      <c r="M815" s="42">
        <f>+M813</f>
        <v>263.899</v>
      </c>
      <c r="N815" s="78">
        <f>L815*M815</f>
        <v>10.747525315077313</v>
      </c>
      <c r="O815" s="78">
        <f>L815*60*1000</f>
        <v>2443.554234402702</v>
      </c>
      <c r="P815" s="79">
        <f>O815*M815/1000</f>
        <v>644.8515189046387</v>
      </c>
      <c r="R815" s="10"/>
      <c r="S815" s="10"/>
      <c r="Z815" s="14"/>
    </row>
    <row r="816" spans="1:16" ht="12.75" customHeight="1">
      <c r="A816" s="212"/>
      <c r="B816" s="80" t="s">
        <v>329</v>
      </c>
      <c r="C816" s="41">
        <v>15</v>
      </c>
      <c r="D816" s="41">
        <v>1969</v>
      </c>
      <c r="E816" s="89">
        <v>26.333</v>
      </c>
      <c r="F816" s="89">
        <v>0.969</v>
      </c>
      <c r="G816" s="89">
        <v>0.15</v>
      </c>
      <c r="H816" s="89">
        <v>25.214</v>
      </c>
      <c r="I816" s="83">
        <v>617.45</v>
      </c>
      <c r="J816" s="89">
        <v>22.97</v>
      </c>
      <c r="K816" s="83">
        <v>562.44</v>
      </c>
      <c r="L816" s="77">
        <f>J816/K816</f>
        <v>0.040839911812815585</v>
      </c>
      <c r="M816" s="42">
        <v>337.137</v>
      </c>
      <c r="N816" s="78">
        <f>L816*M816</f>
        <v>13.768645348837207</v>
      </c>
      <c r="O816" s="78">
        <f>L816*60*1000</f>
        <v>2450.3947087689353</v>
      </c>
      <c r="P816" s="79">
        <f>O816*M816/1000</f>
        <v>826.1187209302326</v>
      </c>
    </row>
    <row r="817" spans="1:16" ht="12.75" customHeight="1">
      <c r="A817" s="212"/>
      <c r="B817" s="80" t="s">
        <v>485</v>
      </c>
      <c r="C817" s="41">
        <v>20</v>
      </c>
      <c r="D817" s="41">
        <v>1984</v>
      </c>
      <c r="E817" s="89">
        <v>48.8</v>
      </c>
      <c r="F817" s="89">
        <v>2.1</v>
      </c>
      <c r="G817" s="89">
        <v>3.2</v>
      </c>
      <c r="H817" s="89">
        <v>43.4</v>
      </c>
      <c r="I817" s="264"/>
      <c r="J817" s="89">
        <f>H817</f>
        <v>43.4</v>
      </c>
      <c r="K817" s="83">
        <v>1062</v>
      </c>
      <c r="L817" s="77">
        <f>J817/K817</f>
        <v>0.040866290018832394</v>
      </c>
      <c r="M817" s="42">
        <v>187.7</v>
      </c>
      <c r="N817" s="78">
        <f>L817*M817</f>
        <v>7.67060263653484</v>
      </c>
      <c r="O817" s="78">
        <f>L817*60*1000</f>
        <v>2451.9774011299437</v>
      </c>
      <c r="P817" s="79">
        <f>O817*M817/1000</f>
        <v>460.2361581920904</v>
      </c>
    </row>
    <row r="818" spans="1:16" ht="12.75" customHeight="1">
      <c r="A818" s="212"/>
      <c r="B818" s="80" t="s">
        <v>289</v>
      </c>
      <c r="C818" s="41">
        <v>3</v>
      </c>
      <c r="D818" s="41" t="s">
        <v>24</v>
      </c>
      <c r="E818" s="89">
        <v>6.33</v>
      </c>
      <c r="F818" s="89">
        <f>3*0.051</f>
        <v>0.153</v>
      </c>
      <c r="G818" s="89">
        <f>3*0.16</f>
        <v>0.48</v>
      </c>
      <c r="H818" s="89">
        <f>+E818-F818-G818</f>
        <v>5.697000000000001</v>
      </c>
      <c r="I818" s="264"/>
      <c r="J818" s="89">
        <f>+H818</f>
        <v>5.697000000000001</v>
      </c>
      <c r="K818" s="83">
        <v>139.3</v>
      </c>
      <c r="L818" s="77">
        <f>J818/K818</f>
        <v>0.040897343862167986</v>
      </c>
      <c r="M818" s="42">
        <v>340.2</v>
      </c>
      <c r="N818" s="78">
        <f>L818*M818</f>
        <v>13.913276381909549</v>
      </c>
      <c r="O818" s="78">
        <f>L818*60*1000</f>
        <v>2453.8406317300787</v>
      </c>
      <c r="P818" s="79">
        <f>O818*M818/1000</f>
        <v>834.7965829145728</v>
      </c>
    </row>
    <row r="819" spans="1:16" ht="13.5" customHeight="1">
      <c r="A819" s="212"/>
      <c r="B819" s="80" t="s">
        <v>180</v>
      </c>
      <c r="C819" s="41">
        <v>8</v>
      </c>
      <c r="D819" s="41" t="s">
        <v>24</v>
      </c>
      <c r="E819" s="89">
        <f>F819+G819+H819</f>
        <v>16.126</v>
      </c>
      <c r="F819" s="89">
        <v>0.324</v>
      </c>
      <c r="G819" s="89">
        <v>1.28</v>
      </c>
      <c r="H819" s="89">
        <v>14.522</v>
      </c>
      <c r="I819" s="83">
        <v>354.78</v>
      </c>
      <c r="J819" s="89">
        <v>14.522</v>
      </c>
      <c r="K819" s="83">
        <v>354.78</v>
      </c>
      <c r="L819" s="77">
        <f>J819/K819</f>
        <v>0.0409324088167315</v>
      </c>
      <c r="M819" s="41">
        <v>350.76</v>
      </c>
      <c r="N819" s="78">
        <f>L819*M819</f>
        <v>14.35745171655674</v>
      </c>
      <c r="O819" s="78">
        <f>L819*60*1000</f>
        <v>2455.94452900389</v>
      </c>
      <c r="P819" s="79">
        <f>O819*M819/1000</f>
        <v>861.4471029934044</v>
      </c>
    </row>
    <row r="820" spans="1:16" ht="12.75" customHeight="1">
      <c r="A820" s="212"/>
      <c r="B820" s="80" t="s">
        <v>258</v>
      </c>
      <c r="C820" s="41">
        <v>8</v>
      </c>
      <c r="D820" s="41">
        <v>1968</v>
      </c>
      <c r="E820" s="89">
        <v>16.777</v>
      </c>
      <c r="F820" s="89">
        <v>0.561</v>
      </c>
      <c r="G820" s="89">
        <v>0.07</v>
      </c>
      <c r="H820" s="89">
        <v>16.146</v>
      </c>
      <c r="I820" s="83">
        <v>394.35</v>
      </c>
      <c r="J820" s="89">
        <v>16.146</v>
      </c>
      <c r="K820" s="83">
        <v>394.35</v>
      </c>
      <c r="L820" s="77">
        <v>0.040943</v>
      </c>
      <c r="M820" s="42">
        <v>302.37</v>
      </c>
      <c r="N820" s="78">
        <f>M820*L820</f>
        <v>12.379934910000001</v>
      </c>
      <c r="O820" s="78">
        <f>L820*60*1000</f>
        <v>2456.5800000000004</v>
      </c>
      <c r="P820" s="79">
        <f>N820*60</f>
        <v>742.7960946000001</v>
      </c>
    </row>
    <row r="821" spans="1:16" ht="12.75" customHeight="1">
      <c r="A821" s="212"/>
      <c r="B821" s="53" t="s">
        <v>383</v>
      </c>
      <c r="C821" s="26">
        <v>12</v>
      </c>
      <c r="D821" s="26">
        <v>1962</v>
      </c>
      <c r="E821" s="90">
        <f>SUM(F821:H821)</f>
        <v>16.208001</v>
      </c>
      <c r="F821" s="90"/>
      <c r="G821" s="90"/>
      <c r="H821" s="90">
        <v>16.208001</v>
      </c>
      <c r="I821" s="44">
        <v>529.97</v>
      </c>
      <c r="J821" s="90">
        <v>19.92755</v>
      </c>
      <c r="K821" s="44">
        <v>486.49</v>
      </c>
      <c r="L821" s="54">
        <f>J821/K821</f>
        <v>0.040961890275236904</v>
      </c>
      <c r="M821" s="33">
        <v>284.9</v>
      </c>
      <c r="N821" s="33">
        <f>L821*M821*1.09</f>
        <v>12.720346367962344</v>
      </c>
      <c r="O821" s="33">
        <f>L821*60*1000</f>
        <v>2457.7134165142143</v>
      </c>
      <c r="P821" s="55">
        <f>N821*60</f>
        <v>763.2207820777406</v>
      </c>
    </row>
    <row r="822" spans="1:16" ht="12.75" customHeight="1">
      <c r="A822" s="212"/>
      <c r="B822" s="53" t="s">
        <v>793</v>
      </c>
      <c r="C822" s="26">
        <v>6</v>
      </c>
      <c r="D822" s="26" t="s">
        <v>24</v>
      </c>
      <c r="E822" s="90">
        <f>SUM(F822:H822)</f>
        <v>13.16</v>
      </c>
      <c r="F822" s="273">
        <v>0</v>
      </c>
      <c r="G822" s="273">
        <v>0</v>
      </c>
      <c r="H822" s="273">
        <v>13.16</v>
      </c>
      <c r="I822" s="44">
        <v>321.15</v>
      </c>
      <c r="J822" s="90">
        <v>13.16</v>
      </c>
      <c r="K822" s="44">
        <v>321.15</v>
      </c>
      <c r="L822" s="77">
        <f>J822/K822</f>
        <v>0.0409777362603145</v>
      </c>
      <c r="M822" s="42">
        <v>204.4</v>
      </c>
      <c r="N822" s="78">
        <f>L822*M822</f>
        <v>8.375849291608285</v>
      </c>
      <c r="O822" s="78">
        <f>L822*60*1000</f>
        <v>2458.6641756188696</v>
      </c>
      <c r="P822" s="79">
        <f>O822*M822/1000</f>
        <v>502.55095749649695</v>
      </c>
    </row>
    <row r="823" spans="1:16" ht="12.75" customHeight="1">
      <c r="A823" s="212"/>
      <c r="B823" s="53" t="s">
        <v>792</v>
      </c>
      <c r="C823" s="26">
        <v>4</v>
      </c>
      <c r="D823" s="26" t="s">
        <v>24</v>
      </c>
      <c r="E823" s="90">
        <f>SUM(F823:H823)</f>
        <v>7.380000000000001</v>
      </c>
      <c r="F823" s="273">
        <v>1.1</v>
      </c>
      <c r="G823" s="273">
        <v>0.04</v>
      </c>
      <c r="H823" s="273">
        <v>6.24</v>
      </c>
      <c r="I823" s="44">
        <v>152.25</v>
      </c>
      <c r="J823" s="90">
        <v>6.24</v>
      </c>
      <c r="K823" s="44">
        <v>152.25</v>
      </c>
      <c r="L823" s="77">
        <f>J823/K823</f>
        <v>0.04098522167487685</v>
      </c>
      <c r="M823" s="42">
        <v>204.4</v>
      </c>
      <c r="N823" s="78">
        <f>L823*M823</f>
        <v>8.377379310344828</v>
      </c>
      <c r="O823" s="78">
        <f>L823*60*1000</f>
        <v>2459.113300492611</v>
      </c>
      <c r="P823" s="79">
        <f>O823*M823/1000</f>
        <v>502.6427586206897</v>
      </c>
    </row>
    <row r="824" spans="1:16" ht="13.5" customHeight="1">
      <c r="A824" s="212"/>
      <c r="B824" s="80" t="s">
        <v>660</v>
      </c>
      <c r="C824" s="41">
        <v>7</v>
      </c>
      <c r="D824" s="41">
        <v>1962</v>
      </c>
      <c r="E824" s="89">
        <v>10.135</v>
      </c>
      <c r="F824" s="89" t="s">
        <v>156</v>
      </c>
      <c r="G824" s="89" t="s">
        <v>156</v>
      </c>
      <c r="H824" s="89">
        <v>10.135</v>
      </c>
      <c r="I824" s="83">
        <v>246.96</v>
      </c>
      <c r="J824" s="89">
        <v>10.14</v>
      </c>
      <c r="K824" s="83">
        <v>246.96</v>
      </c>
      <c r="L824" s="77">
        <f>J824/K824</f>
        <v>0.04105928085519922</v>
      </c>
      <c r="M824" s="42">
        <v>328.199</v>
      </c>
      <c r="N824" s="78">
        <f>L824*M824</f>
        <v>13.475614917395529</v>
      </c>
      <c r="O824" s="78">
        <f>L824*60*1000</f>
        <v>2463.556851311953</v>
      </c>
      <c r="P824" s="79">
        <f>O824*M824/1000</f>
        <v>808.5368950437316</v>
      </c>
    </row>
    <row r="825" spans="1:16" ht="12.75" customHeight="1">
      <c r="A825" s="212"/>
      <c r="B825" s="80" t="s">
        <v>519</v>
      </c>
      <c r="C825" s="41">
        <v>7</v>
      </c>
      <c r="D825" s="41">
        <v>1915</v>
      </c>
      <c r="E825" s="89">
        <v>18.436</v>
      </c>
      <c r="F825" s="89">
        <v>1.622</v>
      </c>
      <c r="G825" s="89">
        <v>0.7</v>
      </c>
      <c r="H825" s="89">
        <f>E825-F825-G825</f>
        <v>16.114</v>
      </c>
      <c r="I825" s="83">
        <v>392.4</v>
      </c>
      <c r="J825" s="89">
        <f>H825</f>
        <v>16.114</v>
      </c>
      <c r="K825" s="83">
        <f>I825</f>
        <v>392.4</v>
      </c>
      <c r="L825" s="77">
        <f>J825/K825</f>
        <v>0.04106523955147809</v>
      </c>
      <c r="M825" s="42">
        <v>279.476</v>
      </c>
      <c r="N825" s="78">
        <f>L825*M825</f>
        <v>11.47674888888889</v>
      </c>
      <c r="O825" s="78">
        <f>L825*60*1000</f>
        <v>2463.9143730886854</v>
      </c>
      <c r="P825" s="79">
        <f>O825*M825/1000</f>
        <v>688.6049333333335</v>
      </c>
    </row>
    <row r="826" spans="1:16" ht="12.75" customHeight="1">
      <c r="A826" s="212"/>
      <c r="B826" s="265" t="s">
        <v>565</v>
      </c>
      <c r="C826" s="266">
        <v>12</v>
      </c>
      <c r="D826" s="267" t="s">
        <v>24</v>
      </c>
      <c r="E826" s="268">
        <v>47.62</v>
      </c>
      <c r="F826" s="268">
        <v>1.58</v>
      </c>
      <c r="G826" s="269">
        <v>2.43</v>
      </c>
      <c r="H826" s="268">
        <v>43.61</v>
      </c>
      <c r="I826" s="271">
        <v>666.55</v>
      </c>
      <c r="J826" s="268">
        <v>27.46</v>
      </c>
      <c r="K826" s="271">
        <v>666.55</v>
      </c>
      <c r="L826" s="77">
        <f>J826/K826</f>
        <v>0.04119720951166454</v>
      </c>
      <c r="M826" s="42">
        <v>266.83</v>
      </c>
      <c r="N826" s="78">
        <f>L826*M826</f>
        <v>10.99265141399745</v>
      </c>
      <c r="O826" s="78">
        <f>L826*60*1000</f>
        <v>2471.8325706998726</v>
      </c>
      <c r="P826" s="79">
        <f>O826*M826/1000</f>
        <v>659.559084839847</v>
      </c>
    </row>
    <row r="827" spans="1:16" ht="12.75" customHeight="1">
      <c r="A827" s="212"/>
      <c r="B827" s="207" t="s">
        <v>452</v>
      </c>
      <c r="C827" s="135">
        <v>28</v>
      </c>
      <c r="D827" s="135">
        <v>1969</v>
      </c>
      <c r="E827" s="136">
        <v>39.8</v>
      </c>
      <c r="F827" s="136">
        <v>1.6</v>
      </c>
      <c r="G827" s="136">
        <v>0.3</v>
      </c>
      <c r="H827" s="136">
        <v>37.9</v>
      </c>
      <c r="I827" s="137">
        <v>912.09</v>
      </c>
      <c r="J827" s="136">
        <v>37.9</v>
      </c>
      <c r="K827" s="137">
        <v>917.1</v>
      </c>
      <c r="L827" s="138">
        <v>0.04132591865663504</v>
      </c>
      <c r="M827" s="132">
        <v>215.8</v>
      </c>
      <c r="N827" s="132">
        <v>8.918133246101842</v>
      </c>
      <c r="O827" s="132">
        <f>L827*60*1000</f>
        <v>2479.5551193981023</v>
      </c>
      <c r="P827" s="345">
        <v>535.0879947661106</v>
      </c>
    </row>
    <row r="828" spans="1:16" ht="12.75" customHeight="1">
      <c r="A828" s="212"/>
      <c r="B828" s="80" t="s">
        <v>725</v>
      </c>
      <c r="C828" s="41">
        <v>20</v>
      </c>
      <c r="D828" s="41">
        <v>1984</v>
      </c>
      <c r="E828" s="89">
        <v>47.8</v>
      </c>
      <c r="F828" s="89">
        <v>1.37</v>
      </c>
      <c r="G828" s="89">
        <v>3.2</v>
      </c>
      <c r="H828" s="89">
        <v>43.2</v>
      </c>
      <c r="I828" s="264"/>
      <c r="J828" s="89">
        <f>H828</f>
        <v>43.2</v>
      </c>
      <c r="K828" s="83">
        <v>1044</v>
      </c>
      <c r="L828" s="77">
        <f>J828/K828</f>
        <v>0.041379310344827586</v>
      </c>
      <c r="M828" s="42">
        <v>187.7</v>
      </c>
      <c r="N828" s="78">
        <f>L828*M828</f>
        <v>7.7668965517241375</v>
      </c>
      <c r="O828" s="78">
        <f>L828*60*1000</f>
        <v>2482.7586206896553</v>
      </c>
      <c r="P828" s="79">
        <f>O828*M828/1000</f>
        <v>466.0137931034483</v>
      </c>
    </row>
    <row r="829" spans="1:16" ht="12.75" customHeight="1">
      <c r="A829" s="212"/>
      <c r="B829" s="80" t="s">
        <v>326</v>
      </c>
      <c r="C829" s="41">
        <v>6</v>
      </c>
      <c r="D829" s="41">
        <v>1910</v>
      </c>
      <c r="E829" s="89">
        <v>13.842</v>
      </c>
      <c r="F829" s="89">
        <v>0.306</v>
      </c>
      <c r="G829" s="89">
        <v>0.96</v>
      </c>
      <c r="H829" s="89">
        <v>12.576</v>
      </c>
      <c r="I829" s="83">
        <v>303.9</v>
      </c>
      <c r="J829" s="89">
        <v>12.576</v>
      </c>
      <c r="K829" s="83">
        <v>303.9</v>
      </c>
      <c r="L829" s="77">
        <f>J829/K829</f>
        <v>0.04138203356367227</v>
      </c>
      <c r="M829" s="42">
        <v>337.137</v>
      </c>
      <c r="N829" s="78">
        <f>L829*M829</f>
        <v>13.951414649555778</v>
      </c>
      <c r="O829" s="78">
        <f>L829*60*1000</f>
        <v>2482.922013820336</v>
      </c>
      <c r="P829" s="79">
        <f>O829*M829/1000</f>
        <v>837.0848789733466</v>
      </c>
    </row>
    <row r="830" spans="1:16" ht="12.75" customHeight="1">
      <c r="A830" s="212"/>
      <c r="B830" s="53" t="s">
        <v>154</v>
      </c>
      <c r="C830" s="26">
        <v>12</v>
      </c>
      <c r="D830" s="26">
        <v>1968</v>
      </c>
      <c r="E830" s="90">
        <f>SUM(F830:H830)</f>
        <v>31.162999000000003</v>
      </c>
      <c r="F830" s="90">
        <v>0.8592</v>
      </c>
      <c r="G830" s="90">
        <v>0.25</v>
      </c>
      <c r="H830" s="90">
        <v>30.053799</v>
      </c>
      <c r="I830" s="44">
        <v>725.5</v>
      </c>
      <c r="J830" s="90">
        <v>30.053799</v>
      </c>
      <c r="K830" s="44">
        <v>725.5</v>
      </c>
      <c r="L830" s="54">
        <f>J830/K830</f>
        <v>0.041424946933149555</v>
      </c>
      <c r="M830" s="33">
        <v>284.9</v>
      </c>
      <c r="N830" s="33">
        <f>L830*M830*1.09</f>
        <v>12.864144445567197</v>
      </c>
      <c r="O830" s="33">
        <f>L830*60*1000</f>
        <v>2485.496815988973</v>
      </c>
      <c r="P830" s="55">
        <f>N830*60</f>
        <v>771.8486667340318</v>
      </c>
    </row>
    <row r="831" spans="1:16" ht="12.75" customHeight="1">
      <c r="A831" s="212"/>
      <c r="B831" s="80" t="s">
        <v>805</v>
      </c>
      <c r="C831" s="41">
        <v>8</v>
      </c>
      <c r="D831" s="41">
        <v>1992</v>
      </c>
      <c r="E831" s="89">
        <v>16.56</v>
      </c>
      <c r="F831" s="89">
        <v>0.3</v>
      </c>
      <c r="G831" s="89">
        <v>0.1</v>
      </c>
      <c r="H831" s="89">
        <v>16.2</v>
      </c>
      <c r="I831" s="83">
        <v>390.5</v>
      </c>
      <c r="J831" s="89">
        <v>16.2</v>
      </c>
      <c r="K831" s="83">
        <v>390.5</v>
      </c>
      <c r="L831" s="77">
        <f>J831/K831</f>
        <v>0.04148527528809219</v>
      </c>
      <c r="M831" s="42">
        <v>216.9</v>
      </c>
      <c r="N831" s="78">
        <f>L831*M831</f>
        <v>8.998156209987197</v>
      </c>
      <c r="O831" s="78">
        <f>L831*60*1000</f>
        <v>2489.1165172855312</v>
      </c>
      <c r="P831" s="79">
        <f>O831*M831/1000</f>
        <v>539.8893725992318</v>
      </c>
    </row>
    <row r="832" spans="1:16" ht="12.75" customHeight="1">
      <c r="A832" s="212"/>
      <c r="B832" s="80" t="s">
        <v>726</v>
      </c>
      <c r="C832" s="41">
        <v>20</v>
      </c>
      <c r="D832" s="41">
        <v>1983</v>
      </c>
      <c r="E832" s="89">
        <v>48.5</v>
      </c>
      <c r="F832" s="89">
        <v>2.09</v>
      </c>
      <c r="G832" s="89">
        <v>3.2</v>
      </c>
      <c r="H832" s="89">
        <v>43.2</v>
      </c>
      <c r="I832" s="264"/>
      <c r="J832" s="89">
        <f>H832</f>
        <v>43.2</v>
      </c>
      <c r="K832" s="83">
        <v>1039</v>
      </c>
      <c r="L832" s="77">
        <f>J832/K832</f>
        <v>0.04157844080846969</v>
      </c>
      <c r="M832" s="42">
        <v>187.7</v>
      </c>
      <c r="N832" s="78">
        <f>L832*M832</f>
        <v>7.80427333974976</v>
      </c>
      <c r="O832" s="78">
        <f>L832*60*1000</f>
        <v>2494.706448508181</v>
      </c>
      <c r="P832" s="79">
        <f>O832*M832/1000</f>
        <v>468.25640038498557</v>
      </c>
    </row>
    <row r="833" spans="1:16" ht="12.75" customHeight="1">
      <c r="A833" s="212"/>
      <c r="B833" s="80" t="s">
        <v>483</v>
      </c>
      <c r="C833" s="41">
        <v>20</v>
      </c>
      <c r="D833" s="41">
        <v>1984</v>
      </c>
      <c r="E833" s="89">
        <v>48.79</v>
      </c>
      <c r="F833" s="89">
        <v>1.37</v>
      </c>
      <c r="G833" s="89">
        <v>3.2</v>
      </c>
      <c r="H833" s="89">
        <v>44</v>
      </c>
      <c r="I833" s="264"/>
      <c r="J833" s="89">
        <f>H833</f>
        <v>44</v>
      </c>
      <c r="K833" s="83">
        <v>1058</v>
      </c>
      <c r="L833" s="77">
        <f>J833/K833</f>
        <v>0.04158790170132325</v>
      </c>
      <c r="M833" s="42">
        <v>187.7</v>
      </c>
      <c r="N833" s="78">
        <f>L833*M833</f>
        <v>7.806049149338374</v>
      </c>
      <c r="O833" s="78">
        <f>L833*60*1000</f>
        <v>2495.2741020793956</v>
      </c>
      <c r="P833" s="79">
        <f>O833*M833/1000</f>
        <v>468.3629489603025</v>
      </c>
    </row>
    <row r="834" spans="1:16" ht="13.5" customHeight="1">
      <c r="A834" s="212"/>
      <c r="B834" s="53" t="s">
        <v>177</v>
      </c>
      <c r="C834" s="26">
        <v>24</v>
      </c>
      <c r="D834" s="26">
        <v>1960</v>
      </c>
      <c r="E834" s="90">
        <v>38.14</v>
      </c>
      <c r="F834" s="90"/>
      <c r="G834" s="90"/>
      <c r="H834" s="90">
        <v>38.14</v>
      </c>
      <c r="I834" s="44">
        <v>914.41</v>
      </c>
      <c r="J834" s="90">
        <v>38.14</v>
      </c>
      <c r="K834" s="44">
        <v>914.41</v>
      </c>
      <c r="L834" s="54">
        <f>J834/K834</f>
        <v>0.041709955052984984</v>
      </c>
      <c r="M834" s="33">
        <v>263.899</v>
      </c>
      <c r="N834" s="33">
        <f>L834*M834</f>
        <v>11.007215428527685</v>
      </c>
      <c r="O834" s="33">
        <f>L834*1000*60</f>
        <v>2502.597303179099</v>
      </c>
      <c r="P834" s="55">
        <f>N834*60</f>
        <v>660.4329257116611</v>
      </c>
    </row>
    <row r="835" spans="1:16" ht="12.75" customHeight="1">
      <c r="A835" s="212"/>
      <c r="B835" s="178" t="s">
        <v>589</v>
      </c>
      <c r="C835" s="41">
        <v>6</v>
      </c>
      <c r="D835" s="41">
        <v>1959</v>
      </c>
      <c r="E835" s="234">
        <v>14.185</v>
      </c>
      <c r="F835" s="89">
        <v>0.51</v>
      </c>
      <c r="G835" s="89">
        <v>0.66</v>
      </c>
      <c r="H835" s="234">
        <v>11.922</v>
      </c>
      <c r="I835" s="83">
        <v>311.52</v>
      </c>
      <c r="J835" s="234">
        <v>9.075</v>
      </c>
      <c r="K835" s="83">
        <v>217.22</v>
      </c>
      <c r="L835" s="77">
        <f>J835/K835</f>
        <v>0.041777921001749374</v>
      </c>
      <c r="M835" s="42">
        <v>300</v>
      </c>
      <c r="N835" s="78">
        <f>L835*M835</f>
        <v>12.533376300524813</v>
      </c>
      <c r="O835" s="78">
        <f>L835*60*1000</f>
        <v>2506.6752601049625</v>
      </c>
      <c r="P835" s="79">
        <f>O835*M835/1000</f>
        <v>752.0025780314887</v>
      </c>
    </row>
    <row r="836" spans="1:16" ht="12.75" customHeight="1">
      <c r="A836" s="212"/>
      <c r="B836" s="80" t="s">
        <v>868</v>
      </c>
      <c r="C836" s="41">
        <v>4</v>
      </c>
      <c r="D836" s="41">
        <v>1912</v>
      </c>
      <c r="E836" s="89">
        <v>5.559</v>
      </c>
      <c r="F836" s="89"/>
      <c r="G836" s="89"/>
      <c r="H836" s="89">
        <v>5.559</v>
      </c>
      <c r="I836" s="83">
        <v>133</v>
      </c>
      <c r="J836" s="89">
        <v>5.559</v>
      </c>
      <c r="K836" s="83">
        <v>133</v>
      </c>
      <c r="L836" s="77">
        <f>J836/K836</f>
        <v>0.041796992481203006</v>
      </c>
      <c r="M836" s="42">
        <v>254.2</v>
      </c>
      <c r="N836" s="78">
        <f>L836*M836</f>
        <v>10.624795488721803</v>
      </c>
      <c r="O836" s="78">
        <f>L836*60*1000</f>
        <v>2507.8195488721803</v>
      </c>
      <c r="P836" s="79">
        <f>O836*M836/1000</f>
        <v>637.4877293233083</v>
      </c>
    </row>
    <row r="837" spans="1:16" ht="12.75" customHeight="1">
      <c r="A837" s="212"/>
      <c r="B837" s="80" t="s">
        <v>331</v>
      </c>
      <c r="C837" s="41">
        <v>2</v>
      </c>
      <c r="D837" s="41">
        <v>1935</v>
      </c>
      <c r="E837" s="89">
        <v>7.066</v>
      </c>
      <c r="F837" s="89">
        <v>0</v>
      </c>
      <c r="G837" s="89">
        <v>0</v>
      </c>
      <c r="H837" s="89">
        <v>7.066</v>
      </c>
      <c r="I837" s="83">
        <v>168.86</v>
      </c>
      <c r="J837" s="89">
        <v>3.45</v>
      </c>
      <c r="K837" s="83">
        <v>82.33</v>
      </c>
      <c r="L837" s="77">
        <f>J837/K837</f>
        <v>0.04190453054779546</v>
      </c>
      <c r="M837" s="42">
        <v>337.137</v>
      </c>
      <c r="N837" s="78">
        <f>L837*M837</f>
        <v>14.127567715292116</v>
      </c>
      <c r="O837" s="78">
        <f>L837*60*1000</f>
        <v>2514.2718328677274</v>
      </c>
      <c r="P837" s="79">
        <f>O837*M837/1000</f>
        <v>847.6540629175271</v>
      </c>
    </row>
    <row r="838" spans="1:16" ht="12.75" customHeight="1">
      <c r="A838" s="212"/>
      <c r="B838" s="255" t="s">
        <v>222</v>
      </c>
      <c r="C838" s="203">
        <v>5</v>
      </c>
      <c r="D838" s="41">
        <v>1961</v>
      </c>
      <c r="E838" s="89">
        <f>F838+G838+H838</f>
        <v>9.378241000000001</v>
      </c>
      <c r="F838" s="200">
        <v>0</v>
      </c>
      <c r="G838" s="200">
        <v>0</v>
      </c>
      <c r="H838" s="200">
        <v>9.378241000000001</v>
      </c>
      <c r="I838" s="201">
        <v>362.23</v>
      </c>
      <c r="J838" s="200">
        <v>9.378241000000001</v>
      </c>
      <c r="K838" s="201">
        <v>223.64000000000001</v>
      </c>
      <c r="L838" s="77">
        <f>J838/K838</f>
        <v>0.04193454212126632</v>
      </c>
      <c r="M838" s="42">
        <v>314.465</v>
      </c>
      <c r="N838" s="78">
        <f>L838*M838</f>
        <v>13.186945788164012</v>
      </c>
      <c r="O838" s="78">
        <f>L838*60*1000</f>
        <v>2516.072527275979</v>
      </c>
      <c r="P838" s="79">
        <f>O838*M838/1000</f>
        <v>791.2167472898407</v>
      </c>
    </row>
    <row r="839" spans="1:16" ht="12.75" customHeight="1">
      <c r="A839" s="212"/>
      <c r="B839" s="207" t="s">
        <v>455</v>
      </c>
      <c r="C839" s="135">
        <v>9</v>
      </c>
      <c r="D839" s="135" t="s">
        <v>436</v>
      </c>
      <c r="E839" s="136">
        <v>10.7</v>
      </c>
      <c r="F839" s="136">
        <v>0</v>
      </c>
      <c r="G839" s="136">
        <v>0</v>
      </c>
      <c r="H839" s="136">
        <v>10.7</v>
      </c>
      <c r="I839" s="137">
        <v>255.12</v>
      </c>
      <c r="J839" s="136">
        <v>10.7</v>
      </c>
      <c r="K839" s="137">
        <v>255.1</v>
      </c>
      <c r="L839" s="138">
        <v>0.041944335554684437</v>
      </c>
      <c r="M839" s="132">
        <v>215.8</v>
      </c>
      <c r="N839" s="132">
        <v>9.051587612700901</v>
      </c>
      <c r="O839" s="132">
        <f>L839*60*1000</f>
        <v>2516.660133281066</v>
      </c>
      <c r="P839" s="345">
        <v>543.0952567620541</v>
      </c>
    </row>
    <row r="840" spans="1:16" ht="12.75" customHeight="1">
      <c r="A840" s="212"/>
      <c r="B840" s="53" t="s">
        <v>162</v>
      </c>
      <c r="C840" s="26">
        <v>5</v>
      </c>
      <c r="D840" s="26" t="s">
        <v>24</v>
      </c>
      <c r="E840" s="90">
        <f>F840+G840+H840</f>
        <v>13.2741</v>
      </c>
      <c r="F840" s="90">
        <v>0.5045</v>
      </c>
      <c r="G840" s="90">
        <v>0.8</v>
      </c>
      <c r="H840" s="90">
        <v>11.9696</v>
      </c>
      <c r="I840" s="44">
        <v>285.14</v>
      </c>
      <c r="J840" s="90">
        <v>11.9696</v>
      </c>
      <c r="K840" s="44">
        <v>285.14</v>
      </c>
      <c r="L840" s="54">
        <f>J840/K840</f>
        <v>0.04197797573121975</v>
      </c>
      <c r="M840" s="33">
        <v>210</v>
      </c>
      <c r="N840" s="33">
        <f>L840*M840</f>
        <v>8.815374903556148</v>
      </c>
      <c r="O840" s="33">
        <f>L840*1000*60</f>
        <v>2518.678543873185</v>
      </c>
      <c r="P840" s="55">
        <f>N840*60</f>
        <v>528.9224942133689</v>
      </c>
    </row>
    <row r="841" spans="1:16" ht="12.75" customHeight="1">
      <c r="A841" s="212"/>
      <c r="B841" s="80" t="s">
        <v>806</v>
      </c>
      <c r="C841" s="41">
        <v>4</v>
      </c>
      <c r="D841" s="41">
        <v>1988</v>
      </c>
      <c r="E841" s="89">
        <v>12.2</v>
      </c>
      <c r="F841" s="89">
        <v>0.2</v>
      </c>
      <c r="G841" s="89">
        <v>0.6</v>
      </c>
      <c r="H841" s="89">
        <v>11.4</v>
      </c>
      <c r="I841" s="83">
        <v>270.9</v>
      </c>
      <c r="J841" s="89">
        <v>11.4</v>
      </c>
      <c r="K841" s="83">
        <v>270.9</v>
      </c>
      <c r="L841" s="77">
        <f>J841/K841</f>
        <v>0.04208194905869325</v>
      </c>
      <c r="M841" s="42">
        <v>216.9</v>
      </c>
      <c r="N841" s="78">
        <f>L841*M841</f>
        <v>9.127574750830567</v>
      </c>
      <c r="O841" s="78">
        <f>L841*60*1000</f>
        <v>2524.9169435215954</v>
      </c>
      <c r="P841" s="79">
        <f>O841*M841/1000</f>
        <v>547.654485049834</v>
      </c>
    </row>
    <row r="842" spans="1:16" ht="12.75" customHeight="1">
      <c r="A842" s="212"/>
      <c r="B842" s="80" t="s">
        <v>211</v>
      </c>
      <c r="C842" s="41">
        <v>83</v>
      </c>
      <c r="D842" s="41">
        <v>1963</v>
      </c>
      <c r="E842" s="89">
        <v>62.492998</v>
      </c>
      <c r="F842" s="89">
        <v>0</v>
      </c>
      <c r="G842" s="89">
        <v>0</v>
      </c>
      <c r="H842" s="89">
        <v>62.492998</v>
      </c>
      <c r="I842" s="83">
        <v>1484.32</v>
      </c>
      <c r="J842" s="89">
        <v>59.434279</v>
      </c>
      <c r="K842" s="83">
        <v>1411.67</v>
      </c>
      <c r="L842" s="77">
        <v>0.042102</v>
      </c>
      <c r="M842" s="42">
        <v>302.37</v>
      </c>
      <c r="N842" s="78">
        <f>M842*L842</f>
        <v>12.73038174</v>
      </c>
      <c r="O842" s="78">
        <f>L842*60*1000</f>
        <v>2526.1200000000003</v>
      </c>
      <c r="P842" s="79">
        <f>N842*60</f>
        <v>763.8229044</v>
      </c>
    </row>
    <row r="843" spans="1:16" ht="12.75" customHeight="1">
      <c r="A843" s="212"/>
      <c r="B843" s="80" t="s">
        <v>727</v>
      </c>
      <c r="C843" s="41">
        <v>20</v>
      </c>
      <c r="D843" s="41">
        <v>1982</v>
      </c>
      <c r="E843" s="89">
        <v>48</v>
      </c>
      <c r="F843" s="89">
        <v>1.63</v>
      </c>
      <c r="G843" s="89">
        <v>3.2</v>
      </c>
      <c r="H843" s="89">
        <v>43.2</v>
      </c>
      <c r="I843" s="264"/>
      <c r="J843" s="89">
        <f>H843</f>
        <v>43.2</v>
      </c>
      <c r="K843" s="83">
        <v>1024</v>
      </c>
      <c r="L843" s="77">
        <f>J843/K843</f>
        <v>0.0421875</v>
      </c>
      <c r="M843" s="42">
        <v>187.7</v>
      </c>
      <c r="N843" s="78">
        <f>L843*M843</f>
        <v>7.91859375</v>
      </c>
      <c r="O843" s="78">
        <f>L843*60*1000</f>
        <v>2531.25</v>
      </c>
      <c r="P843" s="79">
        <f>O843*M843/1000</f>
        <v>475.115625</v>
      </c>
    </row>
    <row r="844" spans="1:16" ht="13.5" customHeight="1">
      <c r="A844" s="212"/>
      <c r="B844" s="80" t="s">
        <v>520</v>
      </c>
      <c r="C844" s="41">
        <v>6</v>
      </c>
      <c r="D844" s="41">
        <v>1930</v>
      </c>
      <c r="E844" s="89">
        <v>12.721</v>
      </c>
      <c r="F844" s="89">
        <v>1.1728</v>
      </c>
      <c r="G844" s="89">
        <v>0.06</v>
      </c>
      <c r="H844" s="89">
        <f>E844-F844-G844</f>
        <v>11.488199999999999</v>
      </c>
      <c r="I844" s="83">
        <v>272.06</v>
      </c>
      <c r="J844" s="89">
        <f>H844</f>
        <v>11.488199999999999</v>
      </c>
      <c r="K844" s="83">
        <f>I844</f>
        <v>272.06</v>
      </c>
      <c r="L844" s="77">
        <f>J844/K844</f>
        <v>0.0422267146952878</v>
      </c>
      <c r="M844" s="42">
        <v>279.476</v>
      </c>
      <c r="N844" s="78">
        <f>L844*M844</f>
        <v>11.801353316180252</v>
      </c>
      <c r="O844" s="78">
        <f>L844*60*1000</f>
        <v>2533.602881717268</v>
      </c>
      <c r="P844" s="79">
        <f>O844*M844/1000</f>
        <v>708.0811989708152</v>
      </c>
    </row>
    <row r="845" spans="1:16" ht="13.5" customHeight="1">
      <c r="A845" s="212"/>
      <c r="B845" s="53" t="s">
        <v>188</v>
      </c>
      <c r="C845" s="26">
        <v>19</v>
      </c>
      <c r="D845" s="26">
        <v>1959</v>
      </c>
      <c r="E845" s="90">
        <v>44.66</v>
      </c>
      <c r="F845" s="90">
        <v>2.13</v>
      </c>
      <c r="G845" s="90"/>
      <c r="H845" s="90">
        <f>E845-F845-G845</f>
        <v>42.529999999999994</v>
      </c>
      <c r="I845" s="44">
        <v>1005.8</v>
      </c>
      <c r="J845" s="90">
        <f>H845/I845*K845</f>
        <v>42.538456949691785</v>
      </c>
      <c r="K845" s="26">
        <v>1006</v>
      </c>
      <c r="L845" s="54">
        <f>J845/K845</f>
        <v>0.042284748458938155</v>
      </c>
      <c r="M845" s="33">
        <v>323.29400000000004</v>
      </c>
      <c r="N845" s="33">
        <f>L845*M845</f>
        <v>13.670405468283954</v>
      </c>
      <c r="O845" s="33">
        <f>L845*60*1000</f>
        <v>2537.0849075362894</v>
      </c>
      <c r="P845" s="55">
        <f>O845*M845/1000</f>
        <v>820.2243280970373</v>
      </c>
    </row>
    <row r="846" spans="1:16" ht="12.75" customHeight="1">
      <c r="A846" s="212"/>
      <c r="B846" s="80" t="s">
        <v>332</v>
      </c>
      <c r="C846" s="41">
        <v>18</v>
      </c>
      <c r="D846" s="41">
        <v>1961</v>
      </c>
      <c r="E846" s="89">
        <v>39.178</v>
      </c>
      <c r="F846" s="89">
        <v>1.173</v>
      </c>
      <c r="G846" s="89">
        <v>0.21</v>
      </c>
      <c r="H846" s="89">
        <v>37.795</v>
      </c>
      <c r="I846" s="83">
        <v>889.91</v>
      </c>
      <c r="J846" s="89">
        <v>29.24</v>
      </c>
      <c r="K846" s="83">
        <v>688.37</v>
      </c>
      <c r="L846" s="77">
        <f>J846/K846</f>
        <v>0.04247715618054244</v>
      </c>
      <c r="M846" s="41">
        <v>337.137</v>
      </c>
      <c r="N846" s="78">
        <f>L846*M846</f>
        <v>14.320621003239536</v>
      </c>
      <c r="O846" s="78">
        <f>L846*60*1000</f>
        <v>2548.629370832546</v>
      </c>
      <c r="P846" s="79">
        <f>O846*M846/1000</f>
        <v>859.2372601943722</v>
      </c>
    </row>
    <row r="847" spans="1:16" ht="12.75" customHeight="1">
      <c r="A847" s="212"/>
      <c r="B847" s="207" t="s">
        <v>453</v>
      </c>
      <c r="C847" s="135">
        <v>12</v>
      </c>
      <c r="D847" s="135">
        <v>1962</v>
      </c>
      <c r="E847" s="136">
        <v>25.5</v>
      </c>
      <c r="F847" s="136">
        <v>0.7</v>
      </c>
      <c r="G847" s="136">
        <v>1.8</v>
      </c>
      <c r="H847" s="136">
        <v>23</v>
      </c>
      <c r="I847" s="137">
        <v>538</v>
      </c>
      <c r="J847" s="136">
        <v>19.3</v>
      </c>
      <c r="K847" s="137">
        <v>451.7</v>
      </c>
      <c r="L847" s="138">
        <v>0.04272747398715962</v>
      </c>
      <c r="M847" s="132">
        <v>215.8</v>
      </c>
      <c r="N847" s="132">
        <v>9.220588886429047</v>
      </c>
      <c r="O847" s="132">
        <f>L847*60*1000</f>
        <v>2563.6484392295774</v>
      </c>
      <c r="P847" s="345">
        <v>553.2353331857428</v>
      </c>
    </row>
    <row r="848" spans="1:16" ht="12.75" customHeight="1">
      <c r="A848" s="212"/>
      <c r="B848" s="95" t="s">
        <v>182</v>
      </c>
      <c r="C848" s="41">
        <v>9</v>
      </c>
      <c r="D848" s="41" t="s">
        <v>24</v>
      </c>
      <c r="E848" s="89">
        <f>F848+G848+H848</f>
        <v>19.809</v>
      </c>
      <c r="F848" s="89">
        <v>0.81</v>
      </c>
      <c r="G848" s="89">
        <v>1.6</v>
      </c>
      <c r="H848" s="89">
        <v>17.399</v>
      </c>
      <c r="I848" s="83">
        <v>407.19</v>
      </c>
      <c r="J848" s="89">
        <v>15.227</v>
      </c>
      <c r="K848" s="83">
        <v>356.36</v>
      </c>
      <c r="L848" s="77">
        <f>J848/K848</f>
        <v>0.04272926254349534</v>
      </c>
      <c r="M848" s="41">
        <v>350.76</v>
      </c>
      <c r="N848" s="78">
        <f>L848*M848</f>
        <v>14.987716129756427</v>
      </c>
      <c r="O848" s="78">
        <f>L848*60*1000</f>
        <v>2563.7557526097207</v>
      </c>
      <c r="P848" s="79">
        <f>O848*M848/1000</f>
        <v>899.2629677853856</v>
      </c>
    </row>
    <row r="849" spans="1:16" ht="12.75" customHeight="1">
      <c r="A849" s="212"/>
      <c r="B849" s="80" t="s">
        <v>486</v>
      </c>
      <c r="C849" s="41">
        <v>20</v>
      </c>
      <c r="D849" s="41">
        <v>1982</v>
      </c>
      <c r="E849" s="89">
        <v>49.5</v>
      </c>
      <c r="F849" s="89">
        <v>2.4</v>
      </c>
      <c r="G849" s="89">
        <v>3.2</v>
      </c>
      <c r="H849" s="89">
        <v>43.9</v>
      </c>
      <c r="I849" s="264"/>
      <c r="J849" s="89">
        <f>H849</f>
        <v>43.9</v>
      </c>
      <c r="K849" s="83">
        <v>1027</v>
      </c>
      <c r="L849" s="77">
        <f>J849/K849</f>
        <v>0.0427458617332035</v>
      </c>
      <c r="M849" s="42">
        <v>187.7</v>
      </c>
      <c r="N849" s="78">
        <f>L849*M849</f>
        <v>8.023398247322296</v>
      </c>
      <c r="O849" s="78">
        <f>L849*60*1000</f>
        <v>2564.75170399221</v>
      </c>
      <c r="P849" s="79">
        <f>O849*M849/1000</f>
        <v>481.4038948393378</v>
      </c>
    </row>
    <row r="850" spans="1:16" ht="12.75" customHeight="1">
      <c r="A850" s="212"/>
      <c r="B850" s="80" t="s">
        <v>292</v>
      </c>
      <c r="C850" s="41">
        <v>4</v>
      </c>
      <c r="D850" s="41" t="s">
        <v>24</v>
      </c>
      <c r="E850" s="89">
        <v>8</v>
      </c>
      <c r="F850" s="89">
        <f>17*0.051</f>
        <v>0.867</v>
      </c>
      <c r="G850" s="89">
        <f>4*0.16</f>
        <v>0.64</v>
      </c>
      <c r="H850" s="89">
        <f>+E850-F850-G850</f>
        <v>6.493</v>
      </c>
      <c r="I850" s="264"/>
      <c r="J850" s="89">
        <f>+H850</f>
        <v>6.493</v>
      </c>
      <c r="K850" s="83">
        <v>151.85</v>
      </c>
      <c r="L850" s="77">
        <f>J850/K850</f>
        <v>0.04275930194270662</v>
      </c>
      <c r="M850" s="42">
        <f>+M846</f>
        <v>337.137</v>
      </c>
      <c r="N850" s="78">
        <f>L850*M850</f>
        <v>14.415742779058283</v>
      </c>
      <c r="O850" s="78">
        <f>L850*60*1000</f>
        <v>2565.558116562397</v>
      </c>
      <c r="P850" s="79">
        <f>O850*M850/1000</f>
        <v>864.9445667434969</v>
      </c>
    </row>
    <row r="851" spans="1:16" ht="12.75" customHeight="1">
      <c r="A851" s="212"/>
      <c r="B851" s="53" t="s">
        <v>176</v>
      </c>
      <c r="C851" s="26">
        <v>9</v>
      </c>
      <c r="D851" s="26">
        <v>1961</v>
      </c>
      <c r="E851" s="90">
        <v>16.8</v>
      </c>
      <c r="F851" s="90"/>
      <c r="G851" s="90"/>
      <c r="H851" s="90">
        <v>16.8</v>
      </c>
      <c r="I851" s="44">
        <v>391.38</v>
      </c>
      <c r="J851" s="90">
        <v>16.8</v>
      </c>
      <c r="K851" s="44">
        <v>391.38</v>
      </c>
      <c r="L851" s="54">
        <f>J851/K851</f>
        <v>0.04292503449333129</v>
      </c>
      <c r="M851" s="33">
        <v>263.899</v>
      </c>
      <c r="N851" s="33">
        <f>L851*M851</f>
        <v>11.327873677755635</v>
      </c>
      <c r="O851" s="33">
        <f>L851*1000*60</f>
        <v>2575.502069599878</v>
      </c>
      <c r="P851" s="55">
        <f>N851*60</f>
        <v>679.6724206653381</v>
      </c>
    </row>
    <row r="852" spans="1:16" ht="12.75" customHeight="1">
      <c r="A852" s="212"/>
      <c r="B852" s="53" t="s">
        <v>239</v>
      </c>
      <c r="C852" s="26">
        <v>5</v>
      </c>
      <c r="D852" s="26" t="s">
        <v>24</v>
      </c>
      <c r="E852" s="90">
        <f>F852+G852+H852</f>
        <v>9.2441</v>
      </c>
      <c r="F852" s="90">
        <v>0.1682</v>
      </c>
      <c r="G852" s="90">
        <v>0.8</v>
      </c>
      <c r="H852" s="90">
        <v>8.2759</v>
      </c>
      <c r="I852" s="44">
        <v>192.6</v>
      </c>
      <c r="J852" s="90">
        <v>8.2759</v>
      </c>
      <c r="K852" s="44">
        <v>192.6</v>
      </c>
      <c r="L852" s="54">
        <f>J852/K852</f>
        <v>0.04296936656282451</v>
      </c>
      <c r="M852" s="33">
        <v>210</v>
      </c>
      <c r="N852" s="33">
        <f>L852*M852</f>
        <v>9.023566978193147</v>
      </c>
      <c r="O852" s="33">
        <f>L852*1000*60</f>
        <v>2578.161993769471</v>
      </c>
      <c r="P852" s="55">
        <f>N852*60</f>
        <v>541.4140186915888</v>
      </c>
    </row>
    <row r="853" spans="1:16" ht="12.75" customHeight="1">
      <c r="A853" s="212"/>
      <c r="B853" s="53" t="s">
        <v>42</v>
      </c>
      <c r="C853" s="26">
        <v>13</v>
      </c>
      <c r="D853" s="26">
        <v>1961</v>
      </c>
      <c r="E853" s="90">
        <v>26.2621</v>
      </c>
      <c r="F853" s="90">
        <v>0.665948</v>
      </c>
      <c r="G853" s="90">
        <v>0.13</v>
      </c>
      <c r="H853" s="90">
        <v>25.466152</v>
      </c>
      <c r="I853" s="44">
        <v>591.36</v>
      </c>
      <c r="J853" s="90">
        <v>21.377684</v>
      </c>
      <c r="K853" s="44">
        <v>496.42</v>
      </c>
      <c r="L853" s="54">
        <f>J853/K853</f>
        <v>0.043063704121510005</v>
      </c>
      <c r="M853" s="26">
        <v>296.48</v>
      </c>
      <c r="N853" s="33">
        <f>L853*M853</f>
        <v>12.767526997945287</v>
      </c>
      <c r="O853" s="33">
        <f>L853*60*1000</f>
        <v>2583.8222472906</v>
      </c>
      <c r="P853" s="55">
        <f>O853*M853/1000</f>
        <v>766.0516198767172</v>
      </c>
    </row>
    <row r="854" spans="1:16" ht="12.75" customHeight="1">
      <c r="A854" s="212"/>
      <c r="B854" s="232" t="s">
        <v>521</v>
      </c>
      <c r="C854" s="41">
        <v>21</v>
      </c>
      <c r="D854" s="41">
        <v>1957</v>
      </c>
      <c r="E854" s="89">
        <v>53.08369</v>
      </c>
      <c r="F854" s="89">
        <v>1.693</v>
      </c>
      <c r="G854" s="89">
        <v>1.9</v>
      </c>
      <c r="H854" s="89">
        <f>E854-F854-G854</f>
        <v>49.49069</v>
      </c>
      <c r="I854" s="83">
        <v>1139.85</v>
      </c>
      <c r="J854" s="89">
        <f>H854</f>
        <v>49.49069</v>
      </c>
      <c r="K854" s="83">
        <f>I854</f>
        <v>1139.85</v>
      </c>
      <c r="L854" s="77">
        <f>J854/K854</f>
        <v>0.04341859893845682</v>
      </c>
      <c r="M854" s="42">
        <v>279.476</v>
      </c>
      <c r="N854" s="78">
        <f>L854*M854</f>
        <v>12.134456356924158</v>
      </c>
      <c r="O854" s="78">
        <f>L854*60*1000</f>
        <v>2605.1159363074094</v>
      </c>
      <c r="P854" s="79">
        <f>O854*M854/1000</f>
        <v>728.0673814154495</v>
      </c>
    </row>
    <row r="855" spans="1:16" ht="12.75" customHeight="1">
      <c r="A855" s="212"/>
      <c r="B855" s="207" t="s">
        <v>459</v>
      </c>
      <c r="C855" s="135">
        <v>6</v>
      </c>
      <c r="D855" s="135" t="s">
        <v>436</v>
      </c>
      <c r="E855" s="136">
        <v>12.2</v>
      </c>
      <c r="F855" s="136">
        <v>0.3</v>
      </c>
      <c r="G855" s="136">
        <v>0.9</v>
      </c>
      <c r="H855" s="136">
        <v>11</v>
      </c>
      <c r="I855" s="137">
        <v>252.5</v>
      </c>
      <c r="J855" s="136">
        <v>11</v>
      </c>
      <c r="K855" s="137">
        <v>252.5</v>
      </c>
      <c r="L855" s="138">
        <v>0.04356435643564356</v>
      </c>
      <c r="M855" s="132">
        <v>215.8</v>
      </c>
      <c r="N855" s="132">
        <v>9.40118811881188</v>
      </c>
      <c r="O855" s="132">
        <f>L855*60*1000</f>
        <v>2613.8613861386134</v>
      </c>
      <c r="P855" s="345">
        <v>564.0712871287128</v>
      </c>
    </row>
    <row r="856" spans="1:16" ht="12.75" customHeight="1">
      <c r="A856" s="212"/>
      <c r="B856" s="80" t="s">
        <v>474</v>
      </c>
      <c r="C856" s="41">
        <v>24</v>
      </c>
      <c r="D856" s="41" t="s">
        <v>158</v>
      </c>
      <c r="E856" s="89">
        <f>+F856+G856+H856</f>
        <v>50.349593</v>
      </c>
      <c r="F856" s="89">
        <v>1.986705</v>
      </c>
      <c r="G856" s="89">
        <v>1.66</v>
      </c>
      <c r="H856" s="89">
        <v>46.702888</v>
      </c>
      <c r="I856" s="83">
        <v>1071.29</v>
      </c>
      <c r="J856" s="89">
        <v>46.702888</v>
      </c>
      <c r="K856" s="83">
        <v>1071.29</v>
      </c>
      <c r="L856" s="77">
        <f>J856/K856</f>
        <v>0.043595000420054326</v>
      </c>
      <c r="M856" s="42">
        <v>283.618</v>
      </c>
      <c r="N856" s="78">
        <f>L856*M856</f>
        <v>12.364326829134967</v>
      </c>
      <c r="O856" s="78">
        <f>L856*60*1000</f>
        <v>2615.7000252032594</v>
      </c>
      <c r="P856" s="79">
        <f>O856*M856/1000</f>
        <v>741.859609748098</v>
      </c>
    </row>
    <row r="857" spans="1:16" ht="12.75" customHeight="1">
      <c r="A857" s="212"/>
      <c r="B857" s="53" t="s">
        <v>85</v>
      </c>
      <c r="C857" s="26">
        <v>11</v>
      </c>
      <c r="D857" s="26">
        <v>1910</v>
      </c>
      <c r="E857" s="90">
        <v>24.7983</v>
      </c>
      <c r="F857" s="90">
        <v>1.053221</v>
      </c>
      <c r="G857" s="90">
        <v>0</v>
      </c>
      <c r="H857" s="90">
        <v>23.745079</v>
      </c>
      <c r="I857" s="44">
        <v>542.57</v>
      </c>
      <c r="J857" s="90">
        <v>19.722722</v>
      </c>
      <c r="K857" s="44">
        <v>450.66</v>
      </c>
      <c r="L857" s="54">
        <f>J857/K857</f>
        <v>0.04376408378822172</v>
      </c>
      <c r="M857" s="26">
        <v>296.48</v>
      </c>
      <c r="N857" s="33">
        <f>L857*M857</f>
        <v>12.975175561531977</v>
      </c>
      <c r="O857" s="33">
        <f>L857*60*1000</f>
        <v>2625.8450272933032</v>
      </c>
      <c r="P857" s="55">
        <f>O857*M857/1000</f>
        <v>778.5105336919186</v>
      </c>
    </row>
    <row r="858" spans="1:16" ht="12.75" customHeight="1">
      <c r="A858" s="212"/>
      <c r="B858" s="53" t="s">
        <v>178</v>
      </c>
      <c r="C858" s="26">
        <v>16</v>
      </c>
      <c r="D858" s="26">
        <v>1964</v>
      </c>
      <c r="E858" s="90">
        <v>26.56</v>
      </c>
      <c r="F858" s="90"/>
      <c r="G858" s="90"/>
      <c r="H858" s="90">
        <v>26.56</v>
      </c>
      <c r="I858" s="44">
        <v>606.77</v>
      </c>
      <c r="J858" s="90">
        <v>26.56</v>
      </c>
      <c r="K858" s="44">
        <v>606.77</v>
      </c>
      <c r="L858" s="54">
        <f>J858/K858</f>
        <v>0.04377276397976169</v>
      </c>
      <c r="M858" s="33">
        <v>263.899</v>
      </c>
      <c r="N858" s="33">
        <f>L858*M858</f>
        <v>11.55158864149513</v>
      </c>
      <c r="O858" s="33">
        <f>L858*1000*60</f>
        <v>2626.3658387857013</v>
      </c>
      <c r="P858" s="55">
        <f>N858*60</f>
        <v>693.0953184897078</v>
      </c>
    </row>
    <row r="859" spans="1:16" ht="12.75" customHeight="1">
      <c r="A859" s="212"/>
      <c r="B859" s="80" t="s">
        <v>346</v>
      </c>
      <c r="C859" s="41">
        <v>4</v>
      </c>
      <c r="D859" s="41">
        <v>1870</v>
      </c>
      <c r="E859" s="89">
        <v>8.169001</v>
      </c>
      <c r="F859" s="89">
        <v>0.4335</v>
      </c>
      <c r="G859" s="89">
        <v>0.64</v>
      </c>
      <c r="H859" s="89">
        <v>7.095501</v>
      </c>
      <c r="I859" s="83">
        <v>160.97</v>
      </c>
      <c r="J859" s="89">
        <v>7.095501</v>
      </c>
      <c r="K859" s="83">
        <v>160.97</v>
      </c>
      <c r="L859" s="77">
        <v>0.044079</v>
      </c>
      <c r="M859" s="42">
        <v>302.37</v>
      </c>
      <c r="N859" s="78">
        <f>M859*L859</f>
        <v>13.32816723</v>
      </c>
      <c r="O859" s="78">
        <f>L859*60*1000</f>
        <v>2644.7400000000002</v>
      </c>
      <c r="P859" s="79">
        <f>N859*60</f>
        <v>799.6900338</v>
      </c>
    </row>
    <row r="860" spans="1:16" ht="12.75" customHeight="1">
      <c r="A860" s="212"/>
      <c r="B860" s="178" t="s">
        <v>303</v>
      </c>
      <c r="C860" s="233">
        <v>7</v>
      </c>
      <c r="D860" s="41">
        <v>1925</v>
      </c>
      <c r="E860" s="234">
        <v>16.543</v>
      </c>
      <c r="F860" s="89">
        <v>0.153</v>
      </c>
      <c r="G860" s="89">
        <v>0.06</v>
      </c>
      <c r="H860" s="234">
        <f>E860-F860-G860</f>
        <v>16.330000000000002</v>
      </c>
      <c r="I860" s="83">
        <v>368.39</v>
      </c>
      <c r="J860" s="234">
        <v>5.54455</v>
      </c>
      <c r="K860" s="83">
        <v>125.08</v>
      </c>
      <c r="L860" s="77">
        <f>J860/K860</f>
        <v>0.044328030060761116</v>
      </c>
      <c r="M860" s="42">
        <v>300</v>
      </c>
      <c r="N860" s="78">
        <f>L860*M860</f>
        <v>13.298409018228334</v>
      </c>
      <c r="O860" s="78">
        <f>L860*60*1000</f>
        <v>2659.681803645667</v>
      </c>
      <c r="P860" s="79">
        <f>O860*M860/1000</f>
        <v>797.9045410937001</v>
      </c>
    </row>
    <row r="861" spans="1:16" ht="12.75" customHeight="1">
      <c r="A861" s="212"/>
      <c r="B861" s="207" t="s">
        <v>458</v>
      </c>
      <c r="C861" s="135">
        <v>8</v>
      </c>
      <c r="D861" s="135">
        <v>1959</v>
      </c>
      <c r="E861" s="136">
        <v>13.4</v>
      </c>
      <c r="F861" s="136">
        <v>0</v>
      </c>
      <c r="G861" s="136">
        <v>0</v>
      </c>
      <c r="H861" s="136">
        <v>13.4</v>
      </c>
      <c r="I861" s="137">
        <v>303.83</v>
      </c>
      <c r="J861" s="136">
        <v>11.4</v>
      </c>
      <c r="K861" s="137">
        <v>256.9</v>
      </c>
      <c r="L861" s="138">
        <v>0.044375243285325036</v>
      </c>
      <c r="M861" s="132">
        <v>215.8</v>
      </c>
      <c r="N861" s="132">
        <v>9.576177500973143</v>
      </c>
      <c r="O861" s="132">
        <f>L861*60*1000</f>
        <v>2662.514597119502</v>
      </c>
      <c r="P861" s="345">
        <v>574.5706500583887</v>
      </c>
    </row>
    <row r="862" spans="1:16" ht="12.75" customHeight="1">
      <c r="A862" s="212"/>
      <c r="B862" s="80" t="s">
        <v>869</v>
      </c>
      <c r="C862" s="41">
        <v>11</v>
      </c>
      <c r="D862" s="41">
        <v>1890</v>
      </c>
      <c r="E862" s="89">
        <v>13.95</v>
      </c>
      <c r="F862" s="89"/>
      <c r="G862" s="89"/>
      <c r="H862" s="89">
        <v>13.95</v>
      </c>
      <c r="I862" s="83">
        <v>314</v>
      </c>
      <c r="J862" s="89">
        <v>13.95</v>
      </c>
      <c r="K862" s="83">
        <v>314</v>
      </c>
      <c r="L862" s="77">
        <f>J862/K862</f>
        <v>0.044426751592356685</v>
      </c>
      <c r="M862" s="42">
        <v>254.2</v>
      </c>
      <c r="N862" s="78">
        <f>L862*M862</f>
        <v>11.293280254777068</v>
      </c>
      <c r="O862" s="78">
        <f>L862*60*1000</f>
        <v>2665.605095541401</v>
      </c>
      <c r="P862" s="79">
        <f>O862*M862/1000</f>
        <v>677.5968152866242</v>
      </c>
    </row>
    <row r="863" spans="1:16" ht="12.75" customHeight="1">
      <c r="A863" s="212"/>
      <c r="B863" s="232" t="s">
        <v>522</v>
      </c>
      <c r="C863" s="41">
        <v>28</v>
      </c>
      <c r="D863" s="41">
        <v>1961</v>
      </c>
      <c r="E863" s="89">
        <v>51.833</v>
      </c>
      <c r="F863" s="89">
        <v>4.55</v>
      </c>
      <c r="G863" s="89">
        <v>0.28</v>
      </c>
      <c r="H863" s="89">
        <f>E863-F863-G863</f>
        <v>47.003</v>
      </c>
      <c r="I863" s="83">
        <v>1052.91</v>
      </c>
      <c r="J863" s="89">
        <f>H863</f>
        <v>47.003</v>
      </c>
      <c r="K863" s="83">
        <f>I863</f>
        <v>1052.91</v>
      </c>
      <c r="L863" s="77">
        <f>J863/K863</f>
        <v>0.044641042444273485</v>
      </c>
      <c r="M863" s="42">
        <v>279.476</v>
      </c>
      <c r="N863" s="78">
        <f>L863*M863</f>
        <v>12.476099978155776</v>
      </c>
      <c r="O863" s="78">
        <f>L863*60*1000</f>
        <v>2678.4625466564094</v>
      </c>
      <c r="P863" s="79">
        <f>O863*M863/1000</f>
        <v>748.5659986893468</v>
      </c>
    </row>
    <row r="864" spans="1:16" ht="11.25">
      <c r="A864" s="212"/>
      <c r="B864" s="53" t="s">
        <v>236</v>
      </c>
      <c r="C864" s="26">
        <v>4</v>
      </c>
      <c r="D864" s="26" t="s">
        <v>24</v>
      </c>
      <c r="E864" s="258">
        <f>F864+G864+H864</f>
        <v>8.001</v>
      </c>
      <c r="F864" s="90">
        <v>0.3363</v>
      </c>
      <c r="G864" s="90">
        <v>0.64</v>
      </c>
      <c r="H864" s="90">
        <v>7.0247</v>
      </c>
      <c r="I864" s="44">
        <v>156.81</v>
      </c>
      <c r="J864" s="90">
        <v>7.0247</v>
      </c>
      <c r="K864" s="44">
        <v>156.81</v>
      </c>
      <c r="L864" s="54">
        <f>J864/K864</f>
        <v>0.04479752566800587</v>
      </c>
      <c r="M864" s="33">
        <v>210</v>
      </c>
      <c r="N864" s="33">
        <f>L864*M864</f>
        <v>9.407480390281233</v>
      </c>
      <c r="O864" s="33">
        <f>L864*1000*60</f>
        <v>2687.851540080352</v>
      </c>
      <c r="P864" s="55">
        <f>N864*60</f>
        <v>564.448823416874</v>
      </c>
    </row>
    <row r="865" spans="1:16" ht="11.25">
      <c r="A865" s="212"/>
      <c r="B865" s="80" t="s">
        <v>291</v>
      </c>
      <c r="C865" s="41">
        <v>16</v>
      </c>
      <c r="D865" s="41" t="s">
        <v>24</v>
      </c>
      <c r="E865" s="89">
        <v>24</v>
      </c>
      <c r="F865" s="89">
        <f>21*0.051</f>
        <v>1.071</v>
      </c>
      <c r="G865" s="89">
        <f>16*0.01</f>
        <v>0.16</v>
      </c>
      <c r="H865" s="89">
        <f>+E865-F865-G865</f>
        <v>22.769</v>
      </c>
      <c r="I865" s="210"/>
      <c r="J865" s="89">
        <f>+H865</f>
        <v>22.769</v>
      </c>
      <c r="K865" s="83">
        <v>507.62</v>
      </c>
      <c r="L865" s="77">
        <f>J865/K865</f>
        <v>0.044854418659627276</v>
      </c>
      <c r="M865" s="42">
        <f>+M864</f>
        <v>210</v>
      </c>
      <c r="N865" s="78">
        <f>L865*M865</f>
        <v>9.419427918521729</v>
      </c>
      <c r="O865" s="78">
        <f>L865*60*1000</f>
        <v>2691.2651195776366</v>
      </c>
      <c r="P865" s="79">
        <f>O865*M865/1000</f>
        <v>565.1656751113037</v>
      </c>
    </row>
    <row r="866" spans="1:16" ht="11.25">
      <c r="A866" s="212"/>
      <c r="B866" s="53" t="s">
        <v>387</v>
      </c>
      <c r="C866" s="26">
        <v>8</v>
      </c>
      <c r="D866" s="26">
        <v>1958</v>
      </c>
      <c r="E866" s="90">
        <f>SUM(F866:H866)</f>
        <v>9.626099</v>
      </c>
      <c r="F866" s="90"/>
      <c r="G866" s="90"/>
      <c r="H866" s="90">
        <v>9.626099</v>
      </c>
      <c r="I866" s="44">
        <v>214.11</v>
      </c>
      <c r="J866" s="90">
        <v>6.48797</v>
      </c>
      <c r="K866" s="44">
        <v>144.31</v>
      </c>
      <c r="L866" s="54">
        <f>J866/K866</f>
        <v>0.04495856143025431</v>
      </c>
      <c r="M866" s="33">
        <v>284.9</v>
      </c>
      <c r="N866" s="33">
        <f>L866*M866*1.09</f>
        <v>13.961476625112605</v>
      </c>
      <c r="O866" s="33">
        <f>L866*60*1000</f>
        <v>2697.5136858152587</v>
      </c>
      <c r="P866" s="55">
        <f>N866*60</f>
        <v>837.6885975067563</v>
      </c>
    </row>
    <row r="867" spans="1:16" ht="11.25">
      <c r="A867" s="212"/>
      <c r="B867" s="80" t="s">
        <v>613</v>
      </c>
      <c r="C867" s="41">
        <v>32</v>
      </c>
      <c r="D867" s="41">
        <v>1917</v>
      </c>
      <c r="E867" s="89">
        <v>50.999002</v>
      </c>
      <c r="F867" s="89">
        <v>1.02</v>
      </c>
      <c r="G867" s="89">
        <v>0.8</v>
      </c>
      <c r="H867" s="89">
        <v>41.798</v>
      </c>
      <c r="I867" s="83">
        <v>929.58</v>
      </c>
      <c r="J867" s="89">
        <v>33.912429</v>
      </c>
      <c r="K867" s="83">
        <v>929.58</v>
      </c>
      <c r="L867" s="77">
        <v>0.04496439252135373</v>
      </c>
      <c r="M867" s="42">
        <v>302.373</v>
      </c>
      <c r="N867" s="78">
        <f>L867*M867</f>
        <v>13.59601825985929</v>
      </c>
      <c r="O867" s="78">
        <f>L867*60*1000</f>
        <v>2697.863551281224</v>
      </c>
      <c r="P867" s="79">
        <f>N867*60</f>
        <v>815.7610955915575</v>
      </c>
    </row>
    <row r="868" spans="1:16" ht="11.25">
      <c r="A868" s="212"/>
      <c r="B868" s="53" t="s">
        <v>388</v>
      </c>
      <c r="C868" s="26">
        <v>17</v>
      </c>
      <c r="D868" s="26">
        <v>1968</v>
      </c>
      <c r="E868" s="90">
        <f>SUM(F868:H868)</f>
        <v>25.71</v>
      </c>
      <c r="F868" s="90"/>
      <c r="G868" s="90"/>
      <c r="H868" s="90">
        <v>25.71</v>
      </c>
      <c r="I868" s="44">
        <v>569.32</v>
      </c>
      <c r="J868" s="90">
        <v>25.71</v>
      </c>
      <c r="K868" s="44">
        <v>569.32</v>
      </c>
      <c r="L868" s="54">
        <f>J868/K868</f>
        <v>0.04515913721632825</v>
      </c>
      <c r="M868" s="33">
        <v>284.9</v>
      </c>
      <c r="N868" s="33">
        <f>L868*M868*1.09</f>
        <v>14.023763630295791</v>
      </c>
      <c r="O868" s="33">
        <f>L868*60*1000</f>
        <v>2709.548232979695</v>
      </c>
      <c r="P868" s="55">
        <f>N868*60</f>
        <v>841.4258178177474</v>
      </c>
    </row>
    <row r="869" spans="1:16" ht="11.25">
      <c r="A869" s="212"/>
      <c r="B869" s="95" t="s">
        <v>341</v>
      </c>
      <c r="C869" s="41">
        <v>7</v>
      </c>
      <c r="D869" s="41">
        <v>1963</v>
      </c>
      <c r="E869" s="89">
        <v>15.172464</v>
      </c>
      <c r="F869" s="89">
        <v>0.816</v>
      </c>
      <c r="G869" s="89">
        <v>0.06</v>
      </c>
      <c r="H869" s="89">
        <v>14.638793</v>
      </c>
      <c r="I869" s="83">
        <v>334.67</v>
      </c>
      <c r="J869" s="89">
        <v>6.293386</v>
      </c>
      <c r="K869" s="83">
        <v>139.31</v>
      </c>
      <c r="L869" s="77">
        <v>0.045175</v>
      </c>
      <c r="M869" s="42">
        <v>302.37</v>
      </c>
      <c r="N869" s="78">
        <f>M869*L869</f>
        <v>13.65956475</v>
      </c>
      <c r="O869" s="78">
        <f>L869*60*1000</f>
        <v>2710.5</v>
      </c>
      <c r="P869" s="79">
        <f>N869*60</f>
        <v>819.573885</v>
      </c>
    </row>
    <row r="870" spans="1:16" ht="11.25">
      <c r="A870" s="212"/>
      <c r="B870" s="80" t="s">
        <v>405</v>
      </c>
      <c r="C870" s="233">
        <v>13</v>
      </c>
      <c r="D870" s="233">
        <v>1940</v>
      </c>
      <c r="E870" s="234">
        <v>18.73</v>
      </c>
      <c r="F870" s="234" t="s">
        <v>156</v>
      </c>
      <c r="G870" s="234" t="s">
        <v>156</v>
      </c>
      <c r="H870" s="234">
        <v>18.73</v>
      </c>
      <c r="I870" s="235">
        <v>414.47</v>
      </c>
      <c r="J870" s="89">
        <v>18.73</v>
      </c>
      <c r="K870" s="235">
        <v>414.47</v>
      </c>
      <c r="L870" s="236">
        <f>J870/K870</f>
        <v>0.04519024296088981</v>
      </c>
      <c r="M870" s="237">
        <v>328.199</v>
      </c>
      <c r="N870" s="238">
        <f>L870*M870</f>
        <v>14.831392549521075</v>
      </c>
      <c r="O870" s="238">
        <f>L870*60*1000</f>
        <v>2711.4145776533887</v>
      </c>
      <c r="P870" s="239">
        <f>O870*M870/1000</f>
        <v>889.8835529712646</v>
      </c>
    </row>
    <row r="871" spans="1:16" ht="11.25">
      <c r="A871" s="212"/>
      <c r="B871" s="80" t="s">
        <v>435</v>
      </c>
      <c r="C871" s="41">
        <v>6</v>
      </c>
      <c r="D871" s="41">
        <v>1936</v>
      </c>
      <c r="E871" s="89">
        <v>12.638</v>
      </c>
      <c r="F871" s="89">
        <v>0.48</v>
      </c>
      <c r="G871" s="89">
        <v>0.06</v>
      </c>
      <c r="H871" s="89">
        <v>12.09</v>
      </c>
      <c r="I871" s="83">
        <v>266.57</v>
      </c>
      <c r="J871" s="89">
        <f>H871</f>
        <v>12.09</v>
      </c>
      <c r="K871" s="83">
        <f>I871</f>
        <v>266.57</v>
      </c>
      <c r="L871" s="77">
        <f>J871/K871</f>
        <v>0.045353940803541284</v>
      </c>
      <c r="M871" s="42">
        <v>206.88</v>
      </c>
      <c r="N871" s="78">
        <f>L871*M871</f>
        <v>9.382823273436621</v>
      </c>
      <c r="O871" s="78">
        <f>L871*60*1000</f>
        <v>2721.236448212477</v>
      </c>
      <c r="P871" s="79">
        <f>O871*M871/1000</f>
        <v>562.9693964061972</v>
      </c>
    </row>
    <row r="872" spans="1:16" ht="11.25">
      <c r="A872" s="212"/>
      <c r="B872" s="80" t="s">
        <v>898</v>
      </c>
      <c r="C872" s="41">
        <v>14</v>
      </c>
      <c r="D872" s="41" t="s">
        <v>158</v>
      </c>
      <c r="E872" s="89">
        <f>+F872+G872+H872</f>
        <v>22.545398</v>
      </c>
      <c r="F872" s="89">
        <v>0</v>
      </c>
      <c r="G872" s="89">
        <v>0</v>
      </c>
      <c r="H872" s="89">
        <v>22.545398</v>
      </c>
      <c r="I872" s="83">
        <v>496.54</v>
      </c>
      <c r="J872" s="89">
        <v>22.545398</v>
      </c>
      <c r="K872" s="83">
        <v>496.54</v>
      </c>
      <c r="L872" s="77">
        <f>J872/K872</f>
        <v>0.04540499859024449</v>
      </c>
      <c r="M872" s="42">
        <v>283.618</v>
      </c>
      <c r="N872" s="78">
        <f>L872*M872</f>
        <v>12.877674890167961</v>
      </c>
      <c r="O872" s="78">
        <f>L872*60*1000</f>
        <v>2724.299915414669</v>
      </c>
      <c r="P872" s="79">
        <f>O872*M872/1000</f>
        <v>772.6604934100776</v>
      </c>
    </row>
    <row r="873" spans="1:16" ht="11.25">
      <c r="A873" s="212"/>
      <c r="B873" s="232" t="s">
        <v>523</v>
      </c>
      <c r="C873" s="41">
        <v>14</v>
      </c>
      <c r="D873" s="41">
        <v>1959</v>
      </c>
      <c r="E873" s="89">
        <v>25.454</v>
      </c>
      <c r="F873" s="89">
        <v>1.2</v>
      </c>
      <c r="G873" s="89">
        <v>0</v>
      </c>
      <c r="H873" s="89">
        <f>E873-F873-G873</f>
        <v>24.254</v>
      </c>
      <c r="I873" s="83">
        <v>533.41</v>
      </c>
      <c r="J873" s="89">
        <f>H873</f>
        <v>24.254</v>
      </c>
      <c r="K873" s="83">
        <f>I873</f>
        <v>533.41</v>
      </c>
      <c r="L873" s="77">
        <f>J873/K873</f>
        <v>0.04546971372865151</v>
      </c>
      <c r="M873" s="42">
        <v>279.476</v>
      </c>
      <c r="N873" s="78">
        <f>L873*M873</f>
        <v>12.70769371402861</v>
      </c>
      <c r="O873" s="78">
        <f>L873*60*1000</f>
        <v>2728.1828237190907</v>
      </c>
      <c r="P873" s="79">
        <f>O873*M873/1000</f>
        <v>762.4616228417166</v>
      </c>
    </row>
    <row r="874" spans="1:16" ht="11.25">
      <c r="A874" s="212"/>
      <c r="B874" s="259" t="s">
        <v>794</v>
      </c>
      <c r="C874" s="26">
        <v>4</v>
      </c>
      <c r="D874" s="260" t="s">
        <v>24</v>
      </c>
      <c r="E874" s="90">
        <f>SUM(F874:H874)</f>
        <v>12.95</v>
      </c>
      <c r="F874" s="209">
        <v>0.5</v>
      </c>
      <c r="G874" s="209">
        <v>0.6</v>
      </c>
      <c r="H874" s="209">
        <v>11.85</v>
      </c>
      <c r="I874" s="261">
        <v>258.86</v>
      </c>
      <c r="J874" s="90">
        <v>11.85</v>
      </c>
      <c r="K874" s="261">
        <v>258.86</v>
      </c>
      <c r="L874" s="77">
        <f>J874/K874</f>
        <v>0.04577764042339488</v>
      </c>
      <c r="M874" s="42">
        <v>204.4</v>
      </c>
      <c r="N874" s="78">
        <f>L874*M874</f>
        <v>9.356949702541915</v>
      </c>
      <c r="O874" s="78">
        <f>L874*60*1000</f>
        <v>2746.658425403693</v>
      </c>
      <c r="P874" s="79">
        <f>O874*M874/1000</f>
        <v>561.4169821525148</v>
      </c>
    </row>
    <row r="875" spans="1:16" ht="11.25">
      <c r="A875" s="212"/>
      <c r="B875" s="80" t="s">
        <v>899</v>
      </c>
      <c r="C875" s="41">
        <v>24</v>
      </c>
      <c r="D875" s="41" t="s">
        <v>158</v>
      </c>
      <c r="E875" s="89">
        <f>+F875+G875+H875</f>
        <v>52.250355</v>
      </c>
      <c r="F875" s="89">
        <v>1.087065</v>
      </c>
      <c r="G875" s="89">
        <v>2.08</v>
      </c>
      <c r="H875" s="89">
        <v>49.08329</v>
      </c>
      <c r="I875" s="83">
        <v>1067.26</v>
      </c>
      <c r="J875" s="89">
        <v>49.08329</v>
      </c>
      <c r="K875" s="83">
        <v>1067.26</v>
      </c>
      <c r="L875" s="77">
        <f>J875/K875</f>
        <v>0.04599000243614489</v>
      </c>
      <c r="M875" s="42">
        <v>283.618</v>
      </c>
      <c r="N875" s="78">
        <f>L875*M875</f>
        <v>13.043592510934541</v>
      </c>
      <c r="O875" s="78">
        <f>L875*60*1000</f>
        <v>2759.4001461686935</v>
      </c>
      <c r="P875" s="79">
        <f>O875*M875/1000</f>
        <v>782.6155506560724</v>
      </c>
    </row>
    <row r="876" spans="1:16" ht="11.25">
      <c r="A876" s="212"/>
      <c r="B876" s="80" t="s">
        <v>759</v>
      </c>
      <c r="C876" s="41">
        <v>8</v>
      </c>
      <c r="D876" s="41">
        <v>1960</v>
      </c>
      <c r="E876" s="89">
        <v>18.34</v>
      </c>
      <c r="F876" s="89">
        <v>0.9</v>
      </c>
      <c r="G876" s="89">
        <v>1.28</v>
      </c>
      <c r="H876" s="89">
        <v>16.62</v>
      </c>
      <c r="I876" s="83">
        <v>358.27</v>
      </c>
      <c r="J876" s="89">
        <v>16.62</v>
      </c>
      <c r="K876" s="83">
        <v>358.27</v>
      </c>
      <c r="L876" s="77">
        <f>J876/K876</f>
        <v>0.04638959443994753</v>
      </c>
      <c r="M876" s="42">
        <v>220.9</v>
      </c>
      <c r="N876" s="78">
        <f>L876*M876</f>
        <v>10.247461411784409</v>
      </c>
      <c r="O876" s="78">
        <f>L876*60*1000</f>
        <v>2783.375666396852</v>
      </c>
      <c r="P876" s="79">
        <f>O876*M876/1000</f>
        <v>614.8476847070647</v>
      </c>
    </row>
    <row r="877" spans="1:16" ht="11.25">
      <c r="A877" s="212"/>
      <c r="B877" s="80" t="s">
        <v>288</v>
      </c>
      <c r="C877" s="41">
        <v>8</v>
      </c>
      <c r="D877" s="41" t="s">
        <v>24</v>
      </c>
      <c r="E877" s="89">
        <v>18.5</v>
      </c>
      <c r="F877" s="89">
        <f>6*0.051</f>
        <v>0.306</v>
      </c>
      <c r="G877" s="89">
        <v>1.2</v>
      </c>
      <c r="H877" s="89">
        <f>+E877-F877-G877</f>
        <v>16.994</v>
      </c>
      <c r="I877" s="210"/>
      <c r="J877" s="89">
        <f>+H877</f>
        <v>16.994</v>
      </c>
      <c r="K877" s="83">
        <v>365.77</v>
      </c>
      <c r="L877" s="77">
        <f>J877/K877</f>
        <v>0.046460890723678816</v>
      </c>
      <c r="M877" s="42">
        <f>+M872</f>
        <v>283.618</v>
      </c>
      <c r="N877" s="78">
        <f>L877*M877</f>
        <v>13.177144905268339</v>
      </c>
      <c r="O877" s="78">
        <f>L877*60*1000</f>
        <v>2787.653443420729</v>
      </c>
      <c r="P877" s="79">
        <f>O877*M877/1000</f>
        <v>790.6286943161003</v>
      </c>
    </row>
    <row r="878" spans="1:16" ht="11.25">
      <c r="A878" s="212"/>
      <c r="B878" s="232" t="s">
        <v>524</v>
      </c>
      <c r="C878" s="41">
        <v>15</v>
      </c>
      <c r="D878" s="41">
        <v>1978</v>
      </c>
      <c r="E878" s="89">
        <v>46.7</v>
      </c>
      <c r="F878" s="89">
        <v>2.245</v>
      </c>
      <c r="G878" s="89">
        <v>0.13</v>
      </c>
      <c r="H878" s="89">
        <f>E878-F878-G878</f>
        <v>44.325</v>
      </c>
      <c r="I878" s="83">
        <v>946.44</v>
      </c>
      <c r="J878" s="89">
        <f>H878</f>
        <v>44.325</v>
      </c>
      <c r="K878" s="83">
        <f>I878</f>
        <v>946.44</v>
      </c>
      <c r="L878" s="77">
        <f>J878/K878</f>
        <v>0.04683339672879422</v>
      </c>
      <c r="M878" s="42">
        <v>279.476</v>
      </c>
      <c r="N878" s="78">
        <f>L878*M878</f>
        <v>13.088810384176494</v>
      </c>
      <c r="O878" s="78">
        <f>L878*60*1000</f>
        <v>2810.0038037276536</v>
      </c>
      <c r="P878" s="79">
        <f>O878*M878/1000</f>
        <v>785.3286230505897</v>
      </c>
    </row>
    <row r="879" spans="1:16" ht="11.25">
      <c r="A879" s="212"/>
      <c r="B879" s="255" t="s">
        <v>263</v>
      </c>
      <c r="C879" s="203">
        <v>6</v>
      </c>
      <c r="D879" s="41">
        <v>1961</v>
      </c>
      <c r="E879" s="89">
        <f>F879+G879+H879</f>
        <v>17.068</v>
      </c>
      <c r="F879" s="200">
        <v>0</v>
      </c>
      <c r="G879" s="200">
        <v>0</v>
      </c>
      <c r="H879" s="200">
        <v>17.068</v>
      </c>
      <c r="I879" s="201">
        <v>362.24</v>
      </c>
      <c r="J879" s="200">
        <v>17.068</v>
      </c>
      <c r="K879" s="201">
        <v>362.24</v>
      </c>
      <c r="L879" s="77">
        <f>J879/K879</f>
        <v>0.04711793286219081</v>
      </c>
      <c r="M879" s="42">
        <v>314.465</v>
      </c>
      <c r="N879" s="78">
        <f>L879*M879</f>
        <v>14.816940757508833</v>
      </c>
      <c r="O879" s="78">
        <f>L879*60*1000</f>
        <v>2827.075971731449</v>
      </c>
      <c r="P879" s="79">
        <f>O879*M879/1000</f>
        <v>889.01644545053</v>
      </c>
    </row>
    <row r="880" spans="1:16" ht="11.25">
      <c r="A880" s="212"/>
      <c r="B880" s="80" t="s">
        <v>290</v>
      </c>
      <c r="C880" s="233">
        <v>5</v>
      </c>
      <c r="D880" s="233" t="s">
        <v>24</v>
      </c>
      <c r="E880" s="234">
        <v>11.4</v>
      </c>
      <c r="F880" s="234">
        <f>3.1*0.051</f>
        <v>0.1581</v>
      </c>
      <c r="G880" s="234">
        <f>5*0.16</f>
        <v>0.8</v>
      </c>
      <c r="H880" s="234">
        <f>+E880-F880-G880</f>
        <v>10.4419</v>
      </c>
      <c r="I880" s="210"/>
      <c r="J880" s="234">
        <f>+H880</f>
        <v>10.4419</v>
      </c>
      <c r="K880" s="235">
        <v>220.11</v>
      </c>
      <c r="L880" s="236">
        <f>J880/K880</f>
        <v>0.04743946208713825</v>
      </c>
      <c r="M880" s="237">
        <f>+M877</f>
        <v>283.618</v>
      </c>
      <c r="N880" s="238">
        <f>L880*M880</f>
        <v>13.454685358229975</v>
      </c>
      <c r="O880" s="238">
        <f>L880*60*1000</f>
        <v>2846.367725228295</v>
      </c>
      <c r="P880" s="239">
        <f>O880*M880/1000</f>
        <v>807.2811214937985</v>
      </c>
    </row>
    <row r="881" spans="1:16" ht="11.25">
      <c r="A881" s="212"/>
      <c r="B881" s="255" t="s">
        <v>373</v>
      </c>
      <c r="C881" s="203">
        <v>6</v>
      </c>
      <c r="D881" s="41">
        <v>1968</v>
      </c>
      <c r="E881" s="89">
        <f>F881+G881+H881</f>
        <v>11.976998000000002</v>
      </c>
      <c r="F881" s="200">
        <v>0</v>
      </c>
      <c r="G881" s="200">
        <v>0</v>
      </c>
      <c r="H881" s="200">
        <v>11.976998000000002</v>
      </c>
      <c r="I881" s="201">
        <v>252.14000000000001</v>
      </c>
      <c r="J881" s="200">
        <v>11.976998000000002</v>
      </c>
      <c r="K881" s="201">
        <v>252.14000000000001</v>
      </c>
      <c r="L881" s="77">
        <f>J881/K881</f>
        <v>0.047501380185611175</v>
      </c>
      <c r="M881" s="42">
        <v>314.465</v>
      </c>
      <c r="N881" s="78">
        <f>L881*M881</f>
        <v>14.937521520068216</v>
      </c>
      <c r="O881" s="78">
        <f>L881*60*1000</f>
        <v>2850.0828111366704</v>
      </c>
      <c r="P881" s="79">
        <f>O881*M881/1000</f>
        <v>896.251291204093</v>
      </c>
    </row>
    <row r="882" spans="1:16" ht="11.25">
      <c r="A882" s="212"/>
      <c r="B882" s="80" t="s">
        <v>900</v>
      </c>
      <c r="C882" s="41">
        <v>8</v>
      </c>
      <c r="D882" s="41" t="s">
        <v>158</v>
      </c>
      <c r="E882" s="89">
        <f>+F882+G882+H882</f>
        <v>17.770384</v>
      </c>
      <c r="F882" s="89">
        <v>0.3927</v>
      </c>
      <c r="G882" s="89">
        <v>0.88</v>
      </c>
      <c r="H882" s="89">
        <v>16.497684</v>
      </c>
      <c r="I882" s="83">
        <v>347.21</v>
      </c>
      <c r="J882" s="89">
        <v>16.497684</v>
      </c>
      <c r="K882" s="83">
        <v>347.21</v>
      </c>
      <c r="L882" s="77">
        <f>J882/K882</f>
        <v>0.04751500244808617</v>
      </c>
      <c r="M882" s="42">
        <v>283.618</v>
      </c>
      <c r="N882" s="78">
        <f>L882*M882</f>
        <v>13.476109964321305</v>
      </c>
      <c r="O882" s="78">
        <f>L882*60*1000</f>
        <v>2850.9001468851707</v>
      </c>
      <c r="P882" s="79">
        <f>O882*M882/1000</f>
        <v>808.5665978592783</v>
      </c>
    </row>
    <row r="883" spans="1:16" ht="11.25">
      <c r="A883" s="212"/>
      <c r="B883" s="232" t="s">
        <v>525</v>
      </c>
      <c r="C883" s="41">
        <v>7</v>
      </c>
      <c r="D883" s="41">
        <v>1958</v>
      </c>
      <c r="E883" s="89">
        <v>20.629</v>
      </c>
      <c r="F883" s="89">
        <v>0.459</v>
      </c>
      <c r="G883" s="89">
        <v>0.07</v>
      </c>
      <c r="H883" s="89">
        <f>E883-F883-G883</f>
        <v>20.1</v>
      </c>
      <c r="I883" s="83">
        <v>422.6</v>
      </c>
      <c r="J883" s="89">
        <f>H883</f>
        <v>20.1</v>
      </c>
      <c r="K883" s="42">
        <f>I883</f>
        <v>422.6</v>
      </c>
      <c r="L883" s="77">
        <f>J883/K883</f>
        <v>0.047562707051585426</v>
      </c>
      <c r="M883" s="42">
        <v>279.476</v>
      </c>
      <c r="N883" s="78">
        <f>L883*M883</f>
        <v>13.292635115948888</v>
      </c>
      <c r="O883" s="78">
        <f>L883*60*1000</f>
        <v>2853.7624230951255</v>
      </c>
      <c r="P883" s="79">
        <f>O883*M883/1000</f>
        <v>797.5581069569333</v>
      </c>
    </row>
    <row r="884" spans="1:16" ht="11.25">
      <c r="A884" s="212"/>
      <c r="B884" s="53" t="s">
        <v>189</v>
      </c>
      <c r="C884" s="26">
        <v>25</v>
      </c>
      <c r="D884" s="26">
        <v>1957</v>
      </c>
      <c r="E884" s="90">
        <v>74.55</v>
      </c>
      <c r="F884" s="90"/>
      <c r="G884" s="90"/>
      <c r="H884" s="90">
        <f>E884-F884-G884</f>
        <v>74.55</v>
      </c>
      <c r="I884" s="44">
        <v>1561.5</v>
      </c>
      <c r="J884" s="90">
        <f>H884/I884*K884</f>
        <v>74.57387127761767</v>
      </c>
      <c r="K884" s="26">
        <v>1562</v>
      </c>
      <c r="L884" s="54">
        <f>J884/K884</f>
        <v>0.04774255523535062</v>
      </c>
      <c r="M884" s="33">
        <v>323.29400000000004</v>
      </c>
      <c r="N884" s="33">
        <f>L884*M884</f>
        <v>15.434881652257445</v>
      </c>
      <c r="O884" s="33">
        <f>L884*60*1000</f>
        <v>2864.553314121037</v>
      </c>
      <c r="P884" s="55">
        <f>O884*M884/1000</f>
        <v>926.0928991354466</v>
      </c>
    </row>
    <row r="885" spans="1:16" ht="11.25">
      <c r="A885" s="212"/>
      <c r="B885" s="80" t="s">
        <v>870</v>
      </c>
      <c r="C885" s="41">
        <v>5</v>
      </c>
      <c r="D885" s="41">
        <v>1920</v>
      </c>
      <c r="E885" s="89">
        <v>12.398</v>
      </c>
      <c r="F885" s="89">
        <v>0.385</v>
      </c>
      <c r="G885" s="89">
        <v>0.72</v>
      </c>
      <c r="H885" s="89">
        <v>11.293</v>
      </c>
      <c r="I885" s="83">
        <v>236</v>
      </c>
      <c r="J885" s="89">
        <v>11.293</v>
      </c>
      <c r="K885" s="83">
        <v>236</v>
      </c>
      <c r="L885" s="77">
        <f>J885/K885</f>
        <v>0.047851694915254234</v>
      </c>
      <c r="M885" s="42">
        <v>254.2</v>
      </c>
      <c r="N885" s="78">
        <f>L885*M885</f>
        <v>12.163900847457626</v>
      </c>
      <c r="O885" s="78">
        <f>L885*60*1000</f>
        <v>2871.101694915254</v>
      </c>
      <c r="P885" s="79">
        <f>O885*M885/1000</f>
        <v>729.8340508474574</v>
      </c>
    </row>
    <row r="886" spans="1:16" ht="11.25">
      <c r="A886" s="212"/>
      <c r="B886" s="80" t="s">
        <v>118</v>
      </c>
      <c r="C886" s="41">
        <v>5</v>
      </c>
      <c r="D886" s="41">
        <v>1938</v>
      </c>
      <c r="E886" s="89">
        <v>7.837999</v>
      </c>
      <c r="F886" s="89">
        <v>0.459</v>
      </c>
      <c r="G886" s="89">
        <v>0.04</v>
      </c>
      <c r="H886" s="89">
        <v>7.338999</v>
      </c>
      <c r="I886" s="83">
        <v>152.85</v>
      </c>
      <c r="J886" s="89">
        <v>7.338999</v>
      </c>
      <c r="K886" s="83">
        <v>152.85</v>
      </c>
      <c r="L886" s="77">
        <v>0.048014</v>
      </c>
      <c r="M886" s="42">
        <v>302.37</v>
      </c>
      <c r="N886" s="78">
        <f>M886*L886</f>
        <v>14.517993180000001</v>
      </c>
      <c r="O886" s="78">
        <f>L886*60*1000</f>
        <v>2880.84</v>
      </c>
      <c r="P886" s="79">
        <f>N886*60</f>
        <v>871.0795908000001</v>
      </c>
    </row>
    <row r="887" spans="1:16" ht="11.25">
      <c r="A887" s="212"/>
      <c r="B887" s="178" t="s">
        <v>304</v>
      </c>
      <c r="C887" s="41">
        <v>6</v>
      </c>
      <c r="D887" s="41">
        <v>1953</v>
      </c>
      <c r="E887" s="89">
        <v>9.775</v>
      </c>
      <c r="F887" s="89">
        <v>0.182</v>
      </c>
      <c r="G887" s="89">
        <v>0.02</v>
      </c>
      <c r="H887" s="89">
        <f>E887-F887-G887</f>
        <v>9.573</v>
      </c>
      <c r="I887" s="83">
        <v>272.16</v>
      </c>
      <c r="J887" s="89">
        <v>6.939</v>
      </c>
      <c r="K887" s="83">
        <v>142.96</v>
      </c>
      <c r="L887" s="77">
        <f>J887/K887</f>
        <v>0.048538052602126465</v>
      </c>
      <c r="M887" s="42">
        <v>300</v>
      </c>
      <c r="N887" s="78">
        <f>L887*M887</f>
        <v>14.56141578063794</v>
      </c>
      <c r="O887" s="78">
        <f>L887*60*1000</f>
        <v>2912.2831561275875</v>
      </c>
      <c r="P887" s="79">
        <f>O887*M887/1000</f>
        <v>873.6849468382762</v>
      </c>
    </row>
    <row r="888" spans="1:16" ht="11.25">
      <c r="A888" s="212"/>
      <c r="B888" s="80" t="s">
        <v>434</v>
      </c>
      <c r="C888" s="41">
        <v>4</v>
      </c>
      <c r="D888" s="41">
        <v>1940</v>
      </c>
      <c r="E888" s="89">
        <v>7.9</v>
      </c>
      <c r="F888" s="89"/>
      <c r="G888" s="89"/>
      <c r="H888" s="89">
        <v>7.9</v>
      </c>
      <c r="I888" s="83">
        <v>161.63</v>
      </c>
      <c r="J888" s="89">
        <f>H888</f>
        <v>7.9</v>
      </c>
      <c r="K888" s="83">
        <f>I888</f>
        <v>161.63</v>
      </c>
      <c r="L888" s="77">
        <f>J888/K888</f>
        <v>0.04887706490131783</v>
      </c>
      <c r="M888" s="42">
        <v>206.88</v>
      </c>
      <c r="N888" s="78">
        <f>L888*M888</f>
        <v>10.111687186784632</v>
      </c>
      <c r="O888" s="78">
        <f>L888*60*1000</f>
        <v>2932.62389407907</v>
      </c>
      <c r="P888" s="79">
        <f>O888*M888/1000</f>
        <v>606.701231207078</v>
      </c>
    </row>
    <row r="889" spans="1:16" ht="11.25">
      <c r="A889" s="212"/>
      <c r="B889" s="53" t="s">
        <v>430</v>
      </c>
      <c r="C889" s="26">
        <v>10</v>
      </c>
      <c r="D889" s="26">
        <v>1938</v>
      </c>
      <c r="E889" s="90">
        <v>14.9</v>
      </c>
      <c r="F889" s="90"/>
      <c r="G889" s="90"/>
      <c r="H889" s="90">
        <v>14.9</v>
      </c>
      <c r="I889" s="44">
        <v>304.82</v>
      </c>
      <c r="J889" s="90">
        <v>14.9</v>
      </c>
      <c r="K889" s="44">
        <v>304.82</v>
      </c>
      <c r="L889" s="54">
        <f>J889/K889</f>
        <v>0.04888130700085296</v>
      </c>
      <c r="M889" s="33">
        <v>263.899</v>
      </c>
      <c r="N889" s="33">
        <f>L889*M889</f>
        <v>12.899728036218097</v>
      </c>
      <c r="O889" s="33">
        <f>L889*1000*60</f>
        <v>2932.8784200511777</v>
      </c>
      <c r="P889" s="55">
        <f>N889*60</f>
        <v>773.9836821730858</v>
      </c>
    </row>
    <row r="890" spans="1:16" ht="11.25">
      <c r="A890" s="212"/>
      <c r="B890" s="53" t="s">
        <v>795</v>
      </c>
      <c r="C890" s="26">
        <v>4</v>
      </c>
      <c r="D890" s="26" t="s">
        <v>24</v>
      </c>
      <c r="E890" s="90">
        <f>SUM(F890:H890)</f>
        <v>7.08</v>
      </c>
      <c r="F890" s="90">
        <v>0.1</v>
      </c>
      <c r="G890" s="90">
        <v>0.04</v>
      </c>
      <c r="H890" s="90">
        <v>6.94</v>
      </c>
      <c r="I890" s="44">
        <v>141.88</v>
      </c>
      <c r="J890" s="90">
        <v>6.94</v>
      </c>
      <c r="K890" s="44">
        <v>141.88</v>
      </c>
      <c r="L890" s="236">
        <f>J890/K890</f>
        <v>0.04891457569777277</v>
      </c>
      <c r="M890" s="237">
        <v>204.4</v>
      </c>
      <c r="N890" s="238">
        <f>L890*M890</f>
        <v>9.998139272624755</v>
      </c>
      <c r="O890" s="238">
        <f>L890*60*1000</f>
        <v>2934.874541866366</v>
      </c>
      <c r="P890" s="239">
        <f>O890*M890/1000</f>
        <v>599.8883563574852</v>
      </c>
    </row>
    <row r="891" spans="1:16" ht="11.25">
      <c r="A891" s="212"/>
      <c r="B891" s="95" t="s">
        <v>369</v>
      </c>
      <c r="C891" s="41">
        <v>7</v>
      </c>
      <c r="D891" s="41">
        <v>1964</v>
      </c>
      <c r="E891" s="89">
        <f>F891+G891+H891</f>
        <v>14.56</v>
      </c>
      <c r="F891" s="89">
        <v>0</v>
      </c>
      <c r="G891" s="89">
        <v>0</v>
      </c>
      <c r="H891" s="89">
        <v>14.56</v>
      </c>
      <c r="I891" s="83">
        <v>1329.57</v>
      </c>
      <c r="J891" s="89">
        <v>14.56</v>
      </c>
      <c r="K891" s="83">
        <v>296.86</v>
      </c>
      <c r="L891" s="77">
        <f>J891/K891</f>
        <v>0.0490466886747962</v>
      </c>
      <c r="M891" s="42">
        <v>314.9</v>
      </c>
      <c r="N891" s="78">
        <f>L891*M891</f>
        <v>15.444802263693322</v>
      </c>
      <c r="O891" s="78">
        <f>L891*60*1000</f>
        <v>2942.801320487772</v>
      </c>
      <c r="P891" s="79">
        <f>O891*M891/1000</f>
        <v>926.6881358215994</v>
      </c>
    </row>
    <row r="892" spans="1:16" ht="11.25">
      <c r="A892" s="212"/>
      <c r="B892" s="80" t="s">
        <v>274</v>
      </c>
      <c r="C892" s="233">
        <v>10</v>
      </c>
      <c r="D892" s="233"/>
      <c r="E892" s="234">
        <v>13.8</v>
      </c>
      <c r="F892" s="234">
        <v>0.4</v>
      </c>
      <c r="G892" s="234">
        <v>0</v>
      </c>
      <c r="H892" s="234">
        <v>13.4</v>
      </c>
      <c r="I892" s="235">
        <v>273.29</v>
      </c>
      <c r="J892" s="234">
        <v>13.443</v>
      </c>
      <c r="K892" s="235">
        <v>273.29</v>
      </c>
      <c r="L892" s="236">
        <f>J892/K892</f>
        <v>0.04918950565333528</v>
      </c>
      <c r="M892" s="42">
        <v>220.9</v>
      </c>
      <c r="N892" s="238">
        <f>L892*M892</f>
        <v>10.865961798821765</v>
      </c>
      <c r="O892" s="238">
        <f>L892*60*1000</f>
        <v>2951.370339200117</v>
      </c>
      <c r="P892" s="239">
        <f>O892*M892/1000</f>
        <v>651.9577079293058</v>
      </c>
    </row>
    <row r="893" spans="1:16" ht="11.25">
      <c r="A893" s="212"/>
      <c r="B893" s="53" t="s">
        <v>184</v>
      </c>
      <c r="C893" s="26">
        <v>6</v>
      </c>
      <c r="D893" s="26">
        <v>1958</v>
      </c>
      <c r="E893" s="90">
        <v>15.736</v>
      </c>
      <c r="F893" s="90">
        <v>0.37485</v>
      </c>
      <c r="G893" s="90">
        <v>0.06</v>
      </c>
      <c r="H893" s="90">
        <v>15.30115</v>
      </c>
      <c r="I893" s="44">
        <v>310.34</v>
      </c>
      <c r="J893" s="90">
        <v>15.30115</v>
      </c>
      <c r="K893" s="44">
        <v>310.34</v>
      </c>
      <c r="L893" s="54">
        <f>J893/K893</f>
        <v>0.04930447251401689</v>
      </c>
      <c r="M893" s="26">
        <v>296.48</v>
      </c>
      <c r="N893" s="33">
        <f>L893*M893</f>
        <v>14.617790010955728</v>
      </c>
      <c r="O893" s="33">
        <f>L893*60*1000</f>
        <v>2958.268350841013</v>
      </c>
      <c r="P893" s="55">
        <f>O893*M893/1000</f>
        <v>877.0674006573437</v>
      </c>
    </row>
    <row r="894" spans="1:16" ht="11.25">
      <c r="A894" s="212"/>
      <c r="B894" s="80" t="s">
        <v>901</v>
      </c>
      <c r="C894" s="41">
        <v>7</v>
      </c>
      <c r="D894" s="41" t="s">
        <v>158</v>
      </c>
      <c r="E894" s="89">
        <f>+F894+G894+H894</f>
        <v>18.699009</v>
      </c>
      <c r="F894" s="89">
        <v>0</v>
      </c>
      <c r="G894" s="89">
        <v>0</v>
      </c>
      <c r="H894" s="89">
        <v>18.699009</v>
      </c>
      <c r="I894" s="83">
        <v>378.81</v>
      </c>
      <c r="J894" s="89">
        <v>18.699009</v>
      </c>
      <c r="K894" s="83">
        <v>378.81</v>
      </c>
      <c r="L894" s="77">
        <f>J894/K894</f>
        <v>0.04936250098994219</v>
      </c>
      <c r="M894" s="42">
        <v>283.618</v>
      </c>
      <c r="N894" s="78">
        <f>L894*M894</f>
        <v>14.000093805765424</v>
      </c>
      <c r="O894" s="78">
        <f>L894*60*1000</f>
        <v>2961.750059396531</v>
      </c>
      <c r="P894" s="79">
        <f>O894*M894/1000</f>
        <v>840.0056283459254</v>
      </c>
    </row>
    <row r="895" spans="1:16" ht="11.25">
      <c r="A895" s="212"/>
      <c r="B895" s="232" t="s">
        <v>946</v>
      </c>
      <c r="C895" s="233">
        <v>12</v>
      </c>
      <c r="D895" s="233">
        <v>1980</v>
      </c>
      <c r="E895" s="234">
        <v>29.1</v>
      </c>
      <c r="F895" s="234">
        <v>0.357</v>
      </c>
      <c r="G895" s="234">
        <v>1.92</v>
      </c>
      <c r="H895" s="234">
        <v>26.78</v>
      </c>
      <c r="I895" s="235">
        <v>539</v>
      </c>
      <c r="J895" s="234">
        <v>26.78</v>
      </c>
      <c r="K895" s="235">
        <v>539</v>
      </c>
      <c r="L895" s="236">
        <f>J895/K895</f>
        <v>0.04968460111317254</v>
      </c>
      <c r="M895" s="237">
        <v>227.81</v>
      </c>
      <c r="N895" s="238">
        <f>L895*M895</f>
        <v>11.318648979591837</v>
      </c>
      <c r="O895" s="238">
        <f>L895*60*1000</f>
        <v>2981.076066790353</v>
      </c>
      <c r="P895" s="239">
        <f>O895*M895/1000</f>
        <v>679.1189387755103</v>
      </c>
    </row>
    <row r="896" spans="1:16" ht="11.25">
      <c r="A896" s="212"/>
      <c r="B896" s="207" t="s">
        <v>460</v>
      </c>
      <c r="C896" s="135">
        <v>12</v>
      </c>
      <c r="D896" s="135">
        <v>1960</v>
      </c>
      <c r="E896" s="136">
        <v>28.9</v>
      </c>
      <c r="F896" s="136">
        <v>0.6</v>
      </c>
      <c r="G896" s="136">
        <v>1.9</v>
      </c>
      <c r="H896" s="136">
        <v>26.4</v>
      </c>
      <c r="I896" s="137">
        <v>531.53</v>
      </c>
      <c r="J896" s="136">
        <v>24.3</v>
      </c>
      <c r="K896" s="137">
        <v>488.5</v>
      </c>
      <c r="L896" s="138">
        <v>0.049744114636642786</v>
      </c>
      <c r="M896" s="132">
        <v>215.8</v>
      </c>
      <c r="N896" s="132">
        <v>10.734779938587513</v>
      </c>
      <c r="O896" s="132">
        <f>L896*60*1000</f>
        <v>2984.6468781985673</v>
      </c>
      <c r="P896" s="345">
        <v>644.0867963152508</v>
      </c>
    </row>
    <row r="897" spans="1:16" ht="11.25">
      <c r="A897" s="212"/>
      <c r="B897" s="95" t="s">
        <v>125</v>
      </c>
      <c r="C897" s="41">
        <v>7</v>
      </c>
      <c r="D897" s="41">
        <v>1973</v>
      </c>
      <c r="E897" s="89">
        <f>F897+G897+H897</f>
        <v>12.27</v>
      </c>
      <c r="F897" s="89">
        <v>0</v>
      </c>
      <c r="G897" s="89">
        <v>0</v>
      </c>
      <c r="H897" s="89">
        <v>12.27</v>
      </c>
      <c r="I897" s="83">
        <v>246.04</v>
      </c>
      <c r="J897" s="89">
        <v>12.27</v>
      </c>
      <c r="K897" s="83">
        <v>246.04</v>
      </c>
      <c r="L897" s="77">
        <f>J897/K897</f>
        <v>0.04986993984717932</v>
      </c>
      <c r="M897" s="42">
        <v>314.9</v>
      </c>
      <c r="N897" s="78">
        <f>L897*M897</f>
        <v>15.704044057876768</v>
      </c>
      <c r="O897" s="78">
        <f>L897*60*1000</f>
        <v>2992.1963908307594</v>
      </c>
      <c r="P897" s="79">
        <f>O897*M897/1000</f>
        <v>942.2426434726061</v>
      </c>
    </row>
    <row r="898" spans="1:16" ht="11.25">
      <c r="A898" s="212"/>
      <c r="B898" s="53" t="s">
        <v>389</v>
      </c>
      <c r="C898" s="26">
        <v>4</v>
      </c>
      <c r="D898" s="26">
        <v>1961</v>
      </c>
      <c r="E898" s="90">
        <f>SUM(F898:H898)</f>
        <v>6.061</v>
      </c>
      <c r="F898" s="90"/>
      <c r="G898" s="90"/>
      <c r="H898" s="90">
        <v>6.061</v>
      </c>
      <c r="I898" s="44">
        <v>120.27</v>
      </c>
      <c r="J898" s="90">
        <v>6.061</v>
      </c>
      <c r="K898" s="44">
        <v>120.27</v>
      </c>
      <c r="L898" s="54">
        <f>J898/K898</f>
        <v>0.05039494470774092</v>
      </c>
      <c r="M898" s="33">
        <v>284.9</v>
      </c>
      <c r="N898" s="33">
        <f>L898*M898*1.09</f>
        <v>15.649696524486572</v>
      </c>
      <c r="O898" s="33">
        <f>L898*60*1000</f>
        <v>3023.696682464455</v>
      </c>
      <c r="P898" s="55">
        <f>N898*60</f>
        <v>938.9817914691944</v>
      </c>
    </row>
    <row r="899" spans="1:16" ht="11.25">
      <c r="A899" s="212"/>
      <c r="B899" s="256" t="s">
        <v>181</v>
      </c>
      <c r="C899" s="233">
        <v>7</v>
      </c>
      <c r="D899" s="233" t="s">
        <v>24</v>
      </c>
      <c r="E899" s="89">
        <f>F899+G899+H899</f>
        <v>20.055999999999997</v>
      </c>
      <c r="F899" s="89">
        <v>0.297</v>
      </c>
      <c r="G899" s="89">
        <v>1.28</v>
      </c>
      <c r="H899" s="89">
        <v>18.479</v>
      </c>
      <c r="I899" s="235">
        <v>364.99</v>
      </c>
      <c r="J899" s="89">
        <v>16.01</v>
      </c>
      <c r="K899" s="235">
        <v>316.21</v>
      </c>
      <c r="L899" s="236">
        <f>J899/K899</f>
        <v>0.05063090983839854</v>
      </c>
      <c r="M899" s="233">
        <v>350.76</v>
      </c>
      <c r="N899" s="238">
        <f>L899*M899</f>
        <v>17.75929793491667</v>
      </c>
      <c r="O899" s="238">
        <f>L899*60*1000</f>
        <v>3037.854590303912</v>
      </c>
      <c r="P899" s="239">
        <f>O899*M899/1000</f>
        <v>1065.5578760950002</v>
      </c>
    </row>
    <row r="900" spans="1:16" ht="11.25">
      <c r="A900" s="212"/>
      <c r="B900" s="53" t="s">
        <v>46</v>
      </c>
      <c r="C900" s="26">
        <v>7</v>
      </c>
      <c r="D900" s="26" t="s">
        <v>24</v>
      </c>
      <c r="E900" s="90">
        <v>18.69</v>
      </c>
      <c r="F900" s="90">
        <v>0.598903</v>
      </c>
      <c r="G900" s="90">
        <v>0</v>
      </c>
      <c r="H900" s="90">
        <v>18.091097</v>
      </c>
      <c r="I900" s="44">
        <v>355.81</v>
      </c>
      <c r="J900" s="90">
        <v>16.216958</v>
      </c>
      <c r="K900" s="44">
        <v>318.95</v>
      </c>
      <c r="L900" s="54">
        <f>J900/K900</f>
        <v>0.05084482834300048</v>
      </c>
      <c r="M900" s="26">
        <v>296.48</v>
      </c>
      <c r="N900" s="33">
        <f>L900*M900</f>
        <v>15.074474707132783</v>
      </c>
      <c r="O900" s="33">
        <f>L900*60*1000</f>
        <v>3050.6897005800283</v>
      </c>
      <c r="P900" s="55">
        <f>O900*M900/1000</f>
        <v>904.4684824279669</v>
      </c>
    </row>
    <row r="901" spans="1:16" ht="11.25">
      <c r="A901" s="212"/>
      <c r="B901" s="80" t="s">
        <v>475</v>
      </c>
      <c r="C901" s="41">
        <v>12</v>
      </c>
      <c r="D901" s="41" t="s">
        <v>158</v>
      </c>
      <c r="E901" s="89">
        <f>+F901+G901+H901</f>
        <v>28.516574000000002</v>
      </c>
      <c r="F901" s="89">
        <v>0.519435</v>
      </c>
      <c r="G901" s="89">
        <v>1.04</v>
      </c>
      <c r="H901" s="89">
        <v>26.957139</v>
      </c>
      <c r="I901" s="83">
        <v>529.87</v>
      </c>
      <c r="J901" s="89">
        <v>26.957139</v>
      </c>
      <c r="K901" s="83">
        <v>529.87</v>
      </c>
      <c r="L901" s="77">
        <f>J901/K901</f>
        <v>0.050875005189952256</v>
      </c>
      <c r="M901" s="42">
        <v>283.618</v>
      </c>
      <c r="N901" s="78">
        <f>L901*M901</f>
        <v>14.429067221963878</v>
      </c>
      <c r="O901" s="78">
        <f>L901*60*1000</f>
        <v>3052.500311397135</v>
      </c>
      <c r="P901" s="79">
        <f>O901*M901/1000</f>
        <v>865.7440333178326</v>
      </c>
    </row>
    <row r="902" spans="1:16" ht="11.25">
      <c r="A902" s="212"/>
      <c r="B902" s="252" t="s">
        <v>566</v>
      </c>
      <c r="C902" s="169">
        <v>8</v>
      </c>
      <c r="D902" s="170" t="s">
        <v>24</v>
      </c>
      <c r="E902" s="171">
        <v>18.44</v>
      </c>
      <c r="F902" s="171">
        <v>0.46</v>
      </c>
      <c r="G902" s="172">
        <v>0.07</v>
      </c>
      <c r="H902" s="171">
        <v>17.91</v>
      </c>
      <c r="I902" s="173">
        <v>351.41</v>
      </c>
      <c r="J902" s="171">
        <v>17.91</v>
      </c>
      <c r="K902" s="174">
        <v>351.41</v>
      </c>
      <c r="L902" s="77">
        <f>J902/K902</f>
        <v>0.05096610796505506</v>
      </c>
      <c r="M902" s="42">
        <v>266.83</v>
      </c>
      <c r="N902" s="78">
        <f>L902*M902</f>
        <v>13.59928658831564</v>
      </c>
      <c r="O902" s="78">
        <f>L902*60*1000</f>
        <v>3057.9664779033037</v>
      </c>
      <c r="P902" s="79">
        <f>O902*M902/1000</f>
        <v>815.9571952989385</v>
      </c>
    </row>
    <row r="903" spans="1:16" ht="11.25">
      <c r="A903" s="212"/>
      <c r="B903" s="178" t="s">
        <v>96</v>
      </c>
      <c r="C903" s="41">
        <v>6</v>
      </c>
      <c r="D903" s="41">
        <v>1955</v>
      </c>
      <c r="E903" s="89">
        <v>13.122</v>
      </c>
      <c r="F903" s="89">
        <v>0.204</v>
      </c>
      <c r="G903" s="89">
        <v>0.06</v>
      </c>
      <c r="H903" s="89">
        <f>E903-F903-G903</f>
        <v>12.857999999999999</v>
      </c>
      <c r="I903" s="83">
        <v>249.66</v>
      </c>
      <c r="J903" s="89">
        <v>10.634</v>
      </c>
      <c r="K903" s="83">
        <v>206.48</v>
      </c>
      <c r="L903" s="77">
        <f>J903/K903</f>
        <v>0.05150135606354127</v>
      </c>
      <c r="M903" s="42">
        <v>300</v>
      </c>
      <c r="N903" s="78">
        <f>L903*M903</f>
        <v>15.45040681906238</v>
      </c>
      <c r="O903" s="78">
        <f>L903*60*1000</f>
        <v>3090.0813638124764</v>
      </c>
      <c r="P903" s="79">
        <f>O903*M903/1000</f>
        <v>927.0244091437429</v>
      </c>
    </row>
    <row r="904" spans="1:16" ht="11.25">
      <c r="A904" s="212"/>
      <c r="B904" s="53" t="s">
        <v>70</v>
      </c>
      <c r="C904" s="26">
        <v>63</v>
      </c>
      <c r="D904" s="26">
        <v>1960</v>
      </c>
      <c r="E904" s="90">
        <v>53.21</v>
      </c>
      <c r="F904" s="90">
        <v>4.85</v>
      </c>
      <c r="G904" s="90"/>
      <c r="H904" s="90">
        <f>E904-F904-G904</f>
        <v>48.36</v>
      </c>
      <c r="I904" s="44">
        <v>924</v>
      </c>
      <c r="J904" s="90">
        <f>H904/I904*K904</f>
        <v>47.627272727272725</v>
      </c>
      <c r="K904" s="26">
        <v>910</v>
      </c>
      <c r="L904" s="54">
        <f>J904/K904</f>
        <v>0.052337662337662336</v>
      </c>
      <c r="M904" s="33">
        <v>323.29400000000004</v>
      </c>
      <c r="N904" s="33">
        <f>L904*M904</f>
        <v>16.92045220779221</v>
      </c>
      <c r="O904" s="33">
        <f>L904*60*1000</f>
        <v>3140.2597402597403</v>
      </c>
      <c r="P904" s="55">
        <f>O904*M904/1000</f>
        <v>1015.2271324675327</v>
      </c>
    </row>
    <row r="905" spans="1:16" ht="11.25">
      <c r="A905" s="212"/>
      <c r="B905" s="178" t="s">
        <v>305</v>
      </c>
      <c r="C905" s="41">
        <v>23</v>
      </c>
      <c r="D905" s="41">
        <v>1963</v>
      </c>
      <c r="E905" s="89">
        <v>26.383</v>
      </c>
      <c r="F905" s="89"/>
      <c r="G905" s="89"/>
      <c r="H905" s="89">
        <f>E905-F905-G905</f>
        <v>26.383</v>
      </c>
      <c r="I905" s="83">
        <v>502.6</v>
      </c>
      <c r="J905" s="89">
        <v>26.383</v>
      </c>
      <c r="K905" s="83">
        <v>502.6</v>
      </c>
      <c r="L905" s="77">
        <f>J905/K905</f>
        <v>0.05249303621169916</v>
      </c>
      <c r="M905" s="42">
        <v>300</v>
      </c>
      <c r="N905" s="78">
        <f>L905*M905</f>
        <v>15.747910863509748</v>
      </c>
      <c r="O905" s="78">
        <f>L905*60*1000</f>
        <v>3149.5821727019493</v>
      </c>
      <c r="P905" s="79">
        <f>O905*M905/1000</f>
        <v>944.8746518105849</v>
      </c>
    </row>
    <row r="906" spans="1:16" ht="11.25">
      <c r="A906" s="212"/>
      <c r="B906" s="53" t="s">
        <v>155</v>
      </c>
      <c r="C906" s="26">
        <v>13</v>
      </c>
      <c r="D906" s="26">
        <v>1958</v>
      </c>
      <c r="E906" s="90">
        <f>SUM(F906:H906)</f>
        <v>20.344199</v>
      </c>
      <c r="F906" s="90"/>
      <c r="G906" s="90"/>
      <c r="H906" s="90">
        <v>20.344199</v>
      </c>
      <c r="I906" s="44">
        <v>653.78</v>
      </c>
      <c r="J906" s="90">
        <v>23.3791</v>
      </c>
      <c r="K906" s="44">
        <v>444.31</v>
      </c>
      <c r="L906" s="54">
        <f>J906/K906</f>
        <v>0.052618892214895005</v>
      </c>
      <c r="M906" s="33">
        <v>284.9</v>
      </c>
      <c r="N906" s="33">
        <f>L906*M906*1.09</f>
        <v>16.34032340730571</v>
      </c>
      <c r="O906" s="33">
        <f>L906*60*1000</f>
        <v>3157.1335328937002</v>
      </c>
      <c r="P906" s="55">
        <f>N906*60</f>
        <v>980.4194044383427</v>
      </c>
    </row>
    <row r="907" spans="1:16" ht="11.25">
      <c r="A907" s="212"/>
      <c r="B907" s="80" t="s">
        <v>476</v>
      </c>
      <c r="C907" s="41">
        <v>5</v>
      </c>
      <c r="D907" s="41" t="s">
        <v>158</v>
      </c>
      <c r="E907" s="89">
        <f>+F907+G907+H907</f>
        <v>9.279947</v>
      </c>
      <c r="F907" s="89">
        <v>0</v>
      </c>
      <c r="G907" s="89">
        <v>0</v>
      </c>
      <c r="H907" s="89">
        <v>9.279947</v>
      </c>
      <c r="I907" s="83">
        <v>176.04</v>
      </c>
      <c r="J907" s="89">
        <v>9.279947</v>
      </c>
      <c r="K907" s="83">
        <v>176.04</v>
      </c>
      <c r="L907" s="77">
        <f>J907/K907</f>
        <v>0.052714990911156556</v>
      </c>
      <c r="M907" s="42">
        <v>283.618</v>
      </c>
      <c r="N907" s="78">
        <f>L907*M907</f>
        <v>14.9509202922404</v>
      </c>
      <c r="O907" s="78">
        <f>L907*60*1000</f>
        <v>3162.899454669393</v>
      </c>
      <c r="P907" s="79">
        <f>O907*M907/1000</f>
        <v>897.055217534424</v>
      </c>
    </row>
    <row r="908" spans="1:16" ht="11.25">
      <c r="A908" s="212"/>
      <c r="B908" s="53" t="s">
        <v>187</v>
      </c>
      <c r="C908" s="26">
        <v>8</v>
      </c>
      <c r="D908" s="26">
        <v>1901</v>
      </c>
      <c r="E908" s="90">
        <v>17.6</v>
      </c>
      <c r="F908" s="90"/>
      <c r="G908" s="90"/>
      <c r="H908" s="90">
        <f>E908</f>
        <v>17.6</v>
      </c>
      <c r="I908" s="44">
        <v>330</v>
      </c>
      <c r="J908" s="90">
        <f>H908/I908*K908</f>
        <v>17.6</v>
      </c>
      <c r="K908" s="26">
        <v>330</v>
      </c>
      <c r="L908" s="54">
        <f>J908/K908</f>
        <v>0.05333333333333334</v>
      </c>
      <c r="M908" s="33">
        <v>323.29400000000004</v>
      </c>
      <c r="N908" s="33">
        <f>L908*M908</f>
        <v>17.24234666666667</v>
      </c>
      <c r="O908" s="33">
        <f>L908*60*1000</f>
        <v>3200</v>
      </c>
      <c r="P908" s="55">
        <f>O908*M908/1000</f>
        <v>1034.5408000000002</v>
      </c>
    </row>
    <row r="909" spans="1:16" ht="11.25">
      <c r="A909" s="212"/>
      <c r="B909" s="53" t="s">
        <v>153</v>
      </c>
      <c r="C909" s="26">
        <v>5</v>
      </c>
      <c r="D909" s="26">
        <v>1961</v>
      </c>
      <c r="E909" s="90">
        <f>SUM(F909:H909)</f>
        <v>9.938999</v>
      </c>
      <c r="F909" s="90"/>
      <c r="G909" s="90"/>
      <c r="H909" s="90">
        <v>9.938999</v>
      </c>
      <c r="I909" s="44">
        <v>186.3</v>
      </c>
      <c r="J909" s="90">
        <v>9.938999</v>
      </c>
      <c r="K909" s="44">
        <v>186.3</v>
      </c>
      <c r="L909" s="54">
        <f>J909/K909</f>
        <v>0.05334943102522813</v>
      </c>
      <c r="M909" s="33">
        <v>284.9</v>
      </c>
      <c r="N909" s="33">
        <f>L909*M909*1.09</f>
        <v>16.567185660005368</v>
      </c>
      <c r="O909" s="33">
        <f>L909*60*1000</f>
        <v>3200.9658615136877</v>
      </c>
      <c r="P909" s="55">
        <f>N909*60</f>
        <v>994.031139600322</v>
      </c>
    </row>
    <row r="910" spans="1:16" ht="11.25">
      <c r="A910" s="212"/>
      <c r="B910" s="232" t="s">
        <v>526</v>
      </c>
      <c r="C910" s="41">
        <v>15</v>
      </c>
      <c r="D910" s="41">
        <v>1957</v>
      </c>
      <c r="E910" s="89">
        <v>42.324</v>
      </c>
      <c r="F910" s="89">
        <v>2</v>
      </c>
      <c r="G910" s="89">
        <v>0.14</v>
      </c>
      <c r="H910" s="89">
        <f>E910-F910-G910</f>
        <v>40.184</v>
      </c>
      <c r="I910" s="83">
        <v>740.71</v>
      </c>
      <c r="J910" s="89">
        <f>H910</f>
        <v>40.184</v>
      </c>
      <c r="K910" s="42">
        <f>I910</f>
        <v>740.71</v>
      </c>
      <c r="L910" s="77">
        <f>J910/K910</f>
        <v>0.05425065140203318</v>
      </c>
      <c r="M910" s="42">
        <v>279.476</v>
      </c>
      <c r="N910" s="78">
        <f>L910*M910</f>
        <v>15.161755051234625</v>
      </c>
      <c r="O910" s="78">
        <f>L910*60*1000</f>
        <v>3255.0390841219905</v>
      </c>
      <c r="P910" s="79">
        <f>O910*M910/1000</f>
        <v>909.7053030740775</v>
      </c>
    </row>
    <row r="911" spans="1:16" ht="11.25">
      <c r="A911" s="212"/>
      <c r="B911" s="232" t="s">
        <v>947</v>
      </c>
      <c r="C911" s="233">
        <v>12</v>
      </c>
      <c r="D911" s="233">
        <v>1986</v>
      </c>
      <c r="E911" s="234">
        <v>32.7</v>
      </c>
      <c r="F911" s="234">
        <v>1.122</v>
      </c>
      <c r="G911" s="234">
        <v>1.92</v>
      </c>
      <c r="H911" s="234">
        <v>29.66</v>
      </c>
      <c r="I911" s="235">
        <v>540</v>
      </c>
      <c r="J911" s="234">
        <v>29.66</v>
      </c>
      <c r="K911" s="235">
        <v>540</v>
      </c>
      <c r="L911" s="236">
        <f>J911/K911</f>
        <v>0.05492592592592593</v>
      </c>
      <c r="M911" s="237">
        <v>227.81</v>
      </c>
      <c r="N911" s="238">
        <f>L911*M911</f>
        <v>12.512675185185186</v>
      </c>
      <c r="O911" s="238">
        <f>L911*60*1000</f>
        <v>3295.5555555555557</v>
      </c>
      <c r="P911" s="239">
        <f>O911*M911/1000</f>
        <v>750.7605111111111</v>
      </c>
    </row>
    <row r="912" spans="1:16" ht="11.25">
      <c r="A912" s="212"/>
      <c r="B912" s="80" t="s">
        <v>739</v>
      </c>
      <c r="C912" s="41">
        <v>4</v>
      </c>
      <c r="D912" s="41">
        <v>1960</v>
      </c>
      <c r="E912" s="89">
        <v>9.732</v>
      </c>
      <c r="F912" s="89">
        <v>0.54</v>
      </c>
      <c r="G912" s="89">
        <v>0.573</v>
      </c>
      <c r="H912" s="89">
        <v>9.1</v>
      </c>
      <c r="I912" s="83">
        <v>161.66</v>
      </c>
      <c r="J912" s="89">
        <f>H912</f>
        <v>9.1</v>
      </c>
      <c r="K912" s="83">
        <f>I912</f>
        <v>161.66</v>
      </c>
      <c r="L912" s="77">
        <f>J912/K912</f>
        <v>0.05629098107138439</v>
      </c>
      <c r="M912" s="42">
        <v>206.88</v>
      </c>
      <c r="N912" s="78">
        <f>L912*M912</f>
        <v>11.645478164048003</v>
      </c>
      <c r="O912" s="78">
        <f>L912*60*1000</f>
        <v>3377.458864283063</v>
      </c>
      <c r="P912" s="79">
        <f>O912*M912/1000</f>
        <v>698.7286898428802</v>
      </c>
    </row>
    <row r="913" spans="1:16" ht="11.25">
      <c r="A913" s="212"/>
      <c r="B913" s="252" t="s">
        <v>567</v>
      </c>
      <c r="C913" s="169">
        <v>4</v>
      </c>
      <c r="D913" s="170" t="s">
        <v>24</v>
      </c>
      <c r="E913" s="171">
        <v>11.39</v>
      </c>
      <c r="F913" s="171">
        <v>0.08</v>
      </c>
      <c r="G913" s="172">
        <v>0.4</v>
      </c>
      <c r="H913" s="171">
        <v>10.91</v>
      </c>
      <c r="I913" s="173">
        <v>191.55</v>
      </c>
      <c r="J913" s="171">
        <v>10.91</v>
      </c>
      <c r="K913" s="174">
        <v>191.55</v>
      </c>
      <c r="L913" s="236">
        <f>J913/K913</f>
        <v>0.05695640824849908</v>
      </c>
      <c r="M913" s="237">
        <v>266.83</v>
      </c>
      <c r="N913" s="238">
        <f>L913*M913</f>
        <v>15.19767841294701</v>
      </c>
      <c r="O913" s="238">
        <f>L913*60*1000</f>
        <v>3417.384494909945</v>
      </c>
      <c r="P913" s="239">
        <f>O913*M913/1000</f>
        <v>911.8607047768205</v>
      </c>
    </row>
    <row r="914" spans="1:16" ht="11.25">
      <c r="A914" s="212"/>
      <c r="B914" s="80" t="s">
        <v>740</v>
      </c>
      <c r="C914" s="41">
        <v>6</v>
      </c>
      <c r="D914" s="41">
        <v>1912</v>
      </c>
      <c r="E914" s="89">
        <v>12</v>
      </c>
      <c r="F914" s="89">
        <v>14.746</v>
      </c>
      <c r="G914" s="89">
        <v>0.269</v>
      </c>
      <c r="H914" s="89">
        <v>13.717</v>
      </c>
      <c r="I914" s="83">
        <v>301.4</v>
      </c>
      <c r="J914" s="89">
        <f>H914</f>
        <v>13.717</v>
      </c>
      <c r="K914" s="83">
        <v>238.51</v>
      </c>
      <c r="L914" s="77">
        <f>J914/K914</f>
        <v>0.05751121546266404</v>
      </c>
      <c r="M914" s="42">
        <v>206.88</v>
      </c>
      <c r="N914" s="78">
        <f>L914*M914</f>
        <v>11.897920254915936</v>
      </c>
      <c r="O914" s="78">
        <f>L914*60*1000</f>
        <v>3450.672927759843</v>
      </c>
      <c r="P914" s="79">
        <f>O914*M914/1000</f>
        <v>713.8752152949562</v>
      </c>
    </row>
    <row r="915" spans="1:16" ht="11.25">
      <c r="A915" s="212"/>
      <c r="B915" s="53" t="s">
        <v>47</v>
      </c>
      <c r="C915" s="26">
        <v>4</v>
      </c>
      <c r="D915" s="26">
        <v>1963</v>
      </c>
      <c r="E915" s="90">
        <v>9.15</v>
      </c>
      <c r="F915" s="90">
        <v>0.26775</v>
      </c>
      <c r="G915" s="90">
        <v>0.04</v>
      </c>
      <c r="H915" s="90">
        <v>8.84225</v>
      </c>
      <c r="I915" s="44">
        <v>150.99</v>
      </c>
      <c r="J915" s="90">
        <v>8.84225</v>
      </c>
      <c r="K915" s="44">
        <v>150.99</v>
      </c>
      <c r="L915" s="54">
        <f>J915/K915</f>
        <v>0.058561825286442805</v>
      </c>
      <c r="M915" s="26">
        <v>296.48</v>
      </c>
      <c r="N915" s="33">
        <f>L915*M915</f>
        <v>17.362409960924563</v>
      </c>
      <c r="O915" s="33">
        <f>L915*60*1000</f>
        <v>3513.709517186568</v>
      </c>
      <c r="P915" s="55">
        <f>O915*M915/1000</f>
        <v>1041.7445976554739</v>
      </c>
    </row>
    <row r="916" spans="1:16" ht="11.25">
      <c r="A916" s="212"/>
      <c r="B916" s="232" t="s">
        <v>948</v>
      </c>
      <c r="C916" s="233">
        <v>6</v>
      </c>
      <c r="D916" s="233">
        <v>1984</v>
      </c>
      <c r="E916" s="234">
        <v>18.07</v>
      </c>
      <c r="F916" s="234">
        <v>0.153</v>
      </c>
      <c r="G916" s="234">
        <v>0.96</v>
      </c>
      <c r="H916" s="234">
        <v>16.945</v>
      </c>
      <c r="I916" s="235">
        <v>281</v>
      </c>
      <c r="J916" s="234">
        <v>16.945</v>
      </c>
      <c r="K916" s="235">
        <v>281</v>
      </c>
      <c r="L916" s="236">
        <f>J916/K916</f>
        <v>0.06030249110320285</v>
      </c>
      <c r="M916" s="237">
        <v>227.81</v>
      </c>
      <c r="N916" s="238">
        <f>L916*M916</f>
        <v>13.737510498220642</v>
      </c>
      <c r="O916" s="238">
        <f>L916*60*1000</f>
        <v>3618.149466192171</v>
      </c>
      <c r="P916" s="239">
        <f>O916*M916/1000</f>
        <v>824.2506298932385</v>
      </c>
    </row>
    <row r="917" spans="1:16" ht="11.25">
      <c r="A917" s="212"/>
      <c r="B917" s="178" t="s">
        <v>590</v>
      </c>
      <c r="C917" s="41">
        <v>6</v>
      </c>
      <c r="D917" s="41">
        <v>1926</v>
      </c>
      <c r="E917" s="89">
        <v>16.583</v>
      </c>
      <c r="F917" s="89">
        <v>0.408</v>
      </c>
      <c r="G917" s="89">
        <v>0.8</v>
      </c>
      <c r="H917" s="89">
        <f>E917-F917-G917</f>
        <v>15.374999999999996</v>
      </c>
      <c r="I917" s="83">
        <v>254.15</v>
      </c>
      <c r="J917" s="89">
        <v>11.753</v>
      </c>
      <c r="K917" s="83">
        <v>194.28</v>
      </c>
      <c r="L917" s="77">
        <f>J917/K917</f>
        <v>0.06049516162240066</v>
      </c>
      <c r="M917" s="42">
        <v>300</v>
      </c>
      <c r="N917" s="78">
        <f>L917*M917</f>
        <v>18.1485484867202</v>
      </c>
      <c r="O917" s="78">
        <f>L917*60*1000</f>
        <v>3629.7096973440393</v>
      </c>
      <c r="P917" s="79">
        <f>O917*M917/1000</f>
        <v>1088.9129092032117</v>
      </c>
    </row>
    <row r="918" spans="1:16" ht="11.25">
      <c r="A918" s="212"/>
      <c r="B918" s="178" t="s">
        <v>306</v>
      </c>
      <c r="C918" s="233">
        <v>6</v>
      </c>
      <c r="D918" s="233">
        <v>1959</v>
      </c>
      <c r="E918" s="234">
        <v>12.56</v>
      </c>
      <c r="F918" s="234">
        <v>0.612</v>
      </c>
      <c r="G918" s="234">
        <v>0.06</v>
      </c>
      <c r="H918" s="234">
        <f>E918-F918-G918</f>
        <v>11.888</v>
      </c>
      <c r="I918" s="235">
        <v>225.86</v>
      </c>
      <c r="J918" s="234">
        <v>9.17464</v>
      </c>
      <c r="K918" s="235">
        <v>149.18</v>
      </c>
      <c r="L918" s="236">
        <f>J918/K918</f>
        <v>0.061500469231800504</v>
      </c>
      <c r="M918" s="237">
        <v>300</v>
      </c>
      <c r="N918" s="238">
        <f>L918*M918</f>
        <v>18.450140769540152</v>
      </c>
      <c r="O918" s="238">
        <f>L918*60*1000</f>
        <v>3690.02815390803</v>
      </c>
      <c r="P918" s="239">
        <f>O918*M918/1000</f>
        <v>1107.008446172409</v>
      </c>
    </row>
    <row r="919" spans="1:16" ht="11.25">
      <c r="A919" s="212"/>
      <c r="B919" s="232" t="s">
        <v>949</v>
      </c>
      <c r="C919" s="233">
        <v>6</v>
      </c>
      <c r="D919" s="233">
        <v>1984</v>
      </c>
      <c r="E919" s="234">
        <v>25</v>
      </c>
      <c r="F919" s="234">
        <v>0.408</v>
      </c>
      <c r="G919" s="234">
        <v>0.96</v>
      </c>
      <c r="H919" s="234">
        <v>23.63</v>
      </c>
      <c r="I919" s="235">
        <v>361</v>
      </c>
      <c r="J919" s="234">
        <v>23.63</v>
      </c>
      <c r="K919" s="235">
        <v>361</v>
      </c>
      <c r="L919" s="236">
        <f>J919/K919</f>
        <v>0.06545706371191136</v>
      </c>
      <c r="M919" s="237">
        <v>227.81</v>
      </c>
      <c r="N919" s="238">
        <f>L919*M919</f>
        <v>14.911773684210527</v>
      </c>
      <c r="O919" s="238">
        <f>L919*60*1000</f>
        <v>3927.4238227146816</v>
      </c>
      <c r="P919" s="239">
        <f>O919*M919/1000</f>
        <v>894.7064210526315</v>
      </c>
    </row>
    <row r="920" spans="1:16" ht="11.25">
      <c r="A920" s="212"/>
      <c r="B920" s="53" t="s">
        <v>44</v>
      </c>
      <c r="C920" s="26">
        <v>4</v>
      </c>
      <c r="D920" s="26">
        <v>1963</v>
      </c>
      <c r="E920" s="90">
        <v>11.006</v>
      </c>
      <c r="F920" s="90">
        <v>0.58905</v>
      </c>
      <c r="G920" s="90">
        <v>0</v>
      </c>
      <c r="H920" s="90">
        <v>10.41695</v>
      </c>
      <c r="I920" s="44">
        <v>146.98</v>
      </c>
      <c r="J920" s="90">
        <v>10.416949</v>
      </c>
      <c r="K920" s="44">
        <v>146.98</v>
      </c>
      <c r="L920" s="54">
        <f>J920/K920</f>
        <v>0.07087324125731392</v>
      </c>
      <c r="M920" s="26">
        <v>296.48</v>
      </c>
      <c r="N920" s="33">
        <f>L920*M920</f>
        <v>21.012498567968432</v>
      </c>
      <c r="O920" s="33">
        <f>L920*60*1000</f>
        <v>4252.394475438836</v>
      </c>
      <c r="P920" s="55">
        <f>O920*M920/1000</f>
        <v>1260.7499140781063</v>
      </c>
    </row>
    <row r="921" spans="1:16" ht="12" thickBot="1">
      <c r="A921" s="347"/>
      <c r="B921" s="134"/>
      <c r="C921" s="184"/>
      <c r="D921" s="184"/>
      <c r="E921" s="185"/>
      <c r="F921" s="106"/>
      <c r="G921" s="106"/>
      <c r="H921" s="106"/>
      <c r="I921" s="107"/>
      <c r="J921" s="106"/>
      <c r="K921" s="107"/>
      <c r="L921" s="186"/>
      <c r="M921" s="197"/>
      <c r="N921" s="187"/>
      <c r="O921" s="187"/>
      <c r="P921" s="188"/>
    </row>
  </sheetData>
  <sheetProtection/>
  <mergeCells count="19">
    <mergeCell ref="A141:A354"/>
    <mergeCell ref="A7:A140"/>
    <mergeCell ref="A355:A686"/>
    <mergeCell ref="A687:A921"/>
    <mergeCell ref="B1:P1"/>
    <mergeCell ref="K3:K4"/>
    <mergeCell ref="L3:L4"/>
    <mergeCell ref="M3:M4"/>
    <mergeCell ref="O3:O4"/>
    <mergeCell ref="B2:P2"/>
    <mergeCell ref="P3:P4"/>
    <mergeCell ref="N3:N4"/>
    <mergeCell ref="C3:C4"/>
    <mergeCell ref="E3:H3"/>
    <mergeCell ref="I3:I4"/>
    <mergeCell ref="J3:J4"/>
    <mergeCell ref="A3:A5"/>
    <mergeCell ref="D3:D4"/>
    <mergeCell ref="B3:B5"/>
  </mergeCells>
  <printOptions/>
  <pageMargins left="0.27" right="0.15748031496062992" top="0.1968503937007874" bottom="0.196850393700787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LŠTA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Ramunė Kmieliauskaitė</dc:creator>
  <cp:keywords/>
  <dc:description/>
  <cp:lastModifiedBy>MPaulauskas</cp:lastModifiedBy>
  <cp:lastPrinted>2011-05-24T08:20:03Z</cp:lastPrinted>
  <dcterms:created xsi:type="dcterms:W3CDTF">2007-12-03T08:09:16Z</dcterms:created>
  <dcterms:modified xsi:type="dcterms:W3CDTF">2012-03-15T11:30:38Z</dcterms:modified>
  <cp:category/>
  <cp:version/>
  <cp:contentType/>
  <cp:contentStatus/>
</cp:coreProperties>
</file>