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8810" windowHeight="6090" activeTab="0"/>
  </bookViews>
  <sheets>
    <sheet name="2012_kovas" sheetId="1" r:id="rId1"/>
  </sheets>
  <definedNames/>
  <calcPr fullCalcOnLoad="1"/>
</workbook>
</file>

<file path=xl/sharedStrings.xml><?xml version="1.0" encoding="utf-8"?>
<sst xmlns="http://schemas.openxmlformats.org/spreadsheetml/2006/main" count="2585" uniqueCount="1118">
  <si>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</si>
  <si>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</si>
  <si>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</si>
  <si>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</si>
  <si>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</si>
  <si>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</si>
  <si>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</si>
  <si>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</si>
  <si>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</si>
  <si>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</si>
  <si>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</si>
  <si>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</si>
  <si>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</si>
  <si>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</si>
  <si>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</si>
  <si>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</si>
  <si>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</si>
  <si>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</si>
  <si>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</si>
  <si>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</si>
  <si>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</si>
  <si>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</si>
  <si>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</si>
  <si>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</si>
  <si>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</si>
  <si>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</si>
  <si>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</si>
  <si>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</si>
  <si>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</si>
  <si>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</si>
  <si>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</si>
  <si>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Vilnius (UAB "Vilniaus energija")</t>
  </si>
  <si>
    <t>Karšto vandens temp. Palaikymui</t>
  </si>
  <si>
    <r>
      <rPr>
        <b/>
        <sz val="8"/>
        <rFont val="Arial"/>
        <family val="2"/>
      </rPr>
      <t xml:space="preserve">II.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</si>
  <si>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IV. </t>
    </r>
    <r>
      <rPr>
        <sz val="8"/>
        <rFont val="Arial"/>
        <family val="2"/>
      </rPr>
      <t>Daugiaubučiai suvartojantys labai daug šilumos (senos statybos, labai prastos šiluminės izoliacijos namai)</t>
    </r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</si>
  <si>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</si>
  <si>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</si>
  <si>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</si>
  <si>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</si>
  <si>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</si>
  <si>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Utena (UAB "Utenos šilumos tinklai")</t>
  </si>
  <si>
    <t>Staty-bos metai</t>
  </si>
  <si>
    <t>Radviliškis (UAB "Radviliškio šiluma")</t>
  </si>
  <si>
    <t>....</t>
  </si>
  <si>
    <t xml:space="preserve">Iš viso 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</si>
  <si>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</si>
  <si>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</si>
  <si>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r>
      <rPr>
        <b/>
        <sz val="8"/>
        <rFont val="Arial"/>
        <family val="2"/>
      </rPr>
      <t xml:space="preserve">III. </t>
    </r>
    <r>
      <rPr>
        <sz val="8"/>
        <rFont val="Arial"/>
        <family val="2"/>
      </rPr>
      <t>Daugiabučiai suvartojantys daug šilumos (senos statybos nerenovuoti namai)</t>
    </r>
  </si>
  <si>
    <t>I. Daugiabučiai suvartojantys mažiausiai šilumos (naujos statybos, kokybiški namai)</t>
  </si>
  <si>
    <t>IV. Daugiaubučiai suvartojantys labai daug šilumos (senos statybos, labai prastos šiluminės izoliacijos namai)</t>
  </si>
  <si>
    <t>Prienai (UAB „Prienų energija“)</t>
  </si>
  <si>
    <t>Plungė (UAB"Plungės šilumos tinklai")</t>
  </si>
  <si>
    <t>Varėna (UAB "Varėnos šiluma")</t>
  </si>
  <si>
    <t>Klaipėda (AB "Klaipėdos energija")</t>
  </si>
  <si>
    <t>Ignalina (UAB „Ignalinos šilumos tinklai")</t>
  </si>
  <si>
    <t>Alytus (UAB „Litesko“ filialas "Alytaus energija")</t>
  </si>
  <si>
    <t>Biržai (UAB „Litesko“ filialas "Biržų šiluma")</t>
  </si>
  <si>
    <t>Kelmė  (UAB „Litesko“ filialas "Kelmės šiluma")</t>
  </si>
  <si>
    <t>Telšiai  (UAB „Litesko“ filialas "Telšių šiluma")</t>
  </si>
  <si>
    <t>Palanga (UAB „Litesko“ filialas "Palangos šiluma")</t>
  </si>
  <si>
    <t>Druskininkai (UAB „Litesko“ filialas "Druskininkų šiluma")</t>
  </si>
  <si>
    <t>Pavilnionių g. 31</t>
  </si>
  <si>
    <t>Sviliškių g. 4,6</t>
  </si>
  <si>
    <t>Bajorų kelias 3</t>
  </si>
  <si>
    <t>iki 1992</t>
  </si>
  <si>
    <t>Perkūnkiemio g. 45</t>
  </si>
  <si>
    <t>Fizikų g. 6</t>
  </si>
  <si>
    <t>J.Franko g. 4</t>
  </si>
  <si>
    <t>J. Kubiliaus g. 4</t>
  </si>
  <si>
    <t>Laisvės pr. 85</t>
  </si>
  <si>
    <t>Pajautos g. 13</t>
  </si>
  <si>
    <t>P.Smuglevičiaus g. 6</t>
  </si>
  <si>
    <t>Karaliaučiaus g. 16a</t>
  </si>
  <si>
    <t>Bitininkų g. 4C</t>
  </si>
  <si>
    <t>Karaliaučiaus g. 16C</t>
  </si>
  <si>
    <t>Bitėnų g. 10</t>
  </si>
  <si>
    <t>Sviliškių g. 3,5,7</t>
  </si>
  <si>
    <t>Ūmedžių g. 96</t>
  </si>
  <si>
    <t>Ūmėdžių g. 80, 82</t>
  </si>
  <si>
    <t>Naugarduko g. 50A</t>
  </si>
  <si>
    <t>Rygos g. 34, 36, 38</t>
  </si>
  <si>
    <t>Ukmergės g. 228</t>
  </si>
  <si>
    <t>Musninkų g. 20</t>
  </si>
  <si>
    <t>Šeškinės g. 63</t>
  </si>
  <si>
    <t>Žemynos g. 9</t>
  </si>
  <si>
    <t>Taikos g. 126, 124</t>
  </si>
  <si>
    <t>Linksmoji g. 77</t>
  </si>
  <si>
    <t>S.Stanevičiaus g. 8</t>
  </si>
  <si>
    <t>Filaretų g. 18, 20</t>
  </si>
  <si>
    <t>A.Domaševičiaus g. 3</t>
  </si>
  <si>
    <t>Sėlių g. 43</t>
  </si>
  <si>
    <t>V.Grybo g. 24</t>
  </si>
  <si>
    <t>Rinktinės g. 36</t>
  </si>
  <si>
    <t>Popieriaus g. 82</t>
  </si>
  <si>
    <t>Tramvajų g. 4</t>
  </si>
  <si>
    <t>Parko g. 18</t>
  </si>
  <si>
    <t>P.Vileišio g. 16</t>
  </si>
  <si>
    <t>Arklių g. 16</t>
  </si>
  <si>
    <t>Agrastų g. 8</t>
  </si>
  <si>
    <t>J.Tiškevičiaus g. 6</t>
  </si>
  <si>
    <t>Ašmenos II-oji 37</t>
  </si>
  <si>
    <t>Geležinio Vilko 1A</t>
  </si>
  <si>
    <t>Radvilėnų  5</t>
  </si>
  <si>
    <t>Archyvo 48</t>
  </si>
  <si>
    <t>Krėvės 82B</t>
  </si>
  <si>
    <t>Naujakurių 116A</t>
  </si>
  <si>
    <t>Karaliaus Mindaugo 7</t>
  </si>
  <si>
    <t>Aušros 20</t>
  </si>
  <si>
    <t>Pašilės 59</t>
  </si>
  <si>
    <t>Saulės 3</t>
  </si>
  <si>
    <t>Šiaurės 101</t>
  </si>
  <si>
    <t>Partizanų 198</t>
  </si>
  <si>
    <t>Lukšio 64</t>
  </si>
  <si>
    <t>Pašilės 96</t>
  </si>
  <si>
    <t>Taikos 39</t>
  </si>
  <si>
    <t>Gravrogkų 17</t>
  </si>
  <si>
    <t>Vievio 54</t>
  </si>
  <si>
    <t>Partizanų 20</t>
  </si>
  <si>
    <t>Baltų 2</t>
  </si>
  <si>
    <t>Baršausko 80</t>
  </si>
  <si>
    <t>Baršausko 77</t>
  </si>
  <si>
    <t>Baršausko 75</t>
  </si>
  <si>
    <t>Taikos 41</t>
  </si>
  <si>
    <t>Draugystės 6</t>
  </si>
  <si>
    <t>Juozapavičiaus 48 A</t>
  </si>
  <si>
    <t>Masiulio 6</t>
  </si>
  <si>
    <t>Sąjungos a. 10</t>
  </si>
  <si>
    <t>Trakai (UAB „Prienų energija“ Trakų padalinys)</t>
  </si>
  <si>
    <t>Savanorių 204(bt.1-49; 66-92)</t>
  </si>
  <si>
    <t>Jonažolių g. 13 (bt. 1-58)</t>
  </si>
  <si>
    <t>Žirmūnų g. 3</t>
  </si>
  <si>
    <t>MWh/m²/mėn.</t>
  </si>
  <si>
    <t>Lt/m²/mėn.</t>
  </si>
  <si>
    <t>M.Marcinkevičiaus g. 29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</si>
  <si>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</si>
  <si>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</si>
  <si>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</si>
  <si>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</si>
  <si>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</si>
  <si>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</si>
  <si>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</si>
  <si>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</si>
  <si>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</si>
  <si>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Lukšos-Daumanto 2</t>
  </si>
  <si>
    <t>Šiaurės 1 (KVT)</t>
  </si>
  <si>
    <t>MWh/m²/mėn</t>
  </si>
  <si>
    <t>Lt/m²/mėn</t>
  </si>
  <si>
    <t>Sodų 6</t>
  </si>
  <si>
    <t>Ežero g. 14</t>
  </si>
  <si>
    <t>Ežero g. 15</t>
  </si>
  <si>
    <t>Dariaus ir Girėno 6B Alytus</t>
  </si>
  <si>
    <t>PUTINŲ 2 Alytus</t>
  </si>
  <si>
    <t>BIRUTĖS 14 Alytus</t>
  </si>
  <si>
    <t>Statybininkų 46 Alytus</t>
  </si>
  <si>
    <t>LAUKO 17 Alytus</t>
  </si>
  <si>
    <t>ALYVŲ TAKAS 13 Alytus</t>
  </si>
  <si>
    <t>Statybininkų 43 Alytus</t>
  </si>
  <si>
    <t>ŽIBURIO 12 Alytus</t>
  </si>
  <si>
    <t>Rinkuškių 49</t>
  </si>
  <si>
    <t>Vilniaus 4</t>
  </si>
  <si>
    <t>Rinkuškių 47a</t>
  </si>
  <si>
    <t>Vytauto 24</t>
  </si>
  <si>
    <t>Vilniaus 39a</t>
  </si>
  <si>
    <t>Respublikos 58</t>
  </si>
  <si>
    <t>Vilniaus 77b</t>
  </si>
  <si>
    <t>Rinkuškių 51</t>
  </si>
  <si>
    <t>Vytauto 14a</t>
  </si>
  <si>
    <t>Vilniaus 93a</t>
  </si>
  <si>
    <t>Vilniaus 92</t>
  </si>
  <si>
    <t>Rotušės 24</t>
  </si>
  <si>
    <t>Kilučių 11</t>
  </si>
  <si>
    <t>Basanavičiaus 18</t>
  </si>
  <si>
    <t>Vytauto 33</t>
  </si>
  <si>
    <t>Rotušės 19</t>
  </si>
  <si>
    <t>Rotušės 7</t>
  </si>
  <si>
    <t>Rotušės 17</t>
  </si>
  <si>
    <t>Rotušės 5</t>
  </si>
  <si>
    <t>Vytauto 8</t>
  </si>
  <si>
    <t>Kęstučio 2</t>
  </si>
  <si>
    <t>Rotušės 1</t>
  </si>
  <si>
    <t>Vytauto 6</t>
  </si>
  <si>
    <t>Vytauto 7</t>
  </si>
  <si>
    <t>A.Civinsko 7</t>
  </si>
  <si>
    <t>Gėlių 14</t>
  </si>
  <si>
    <t>Vytauto 13</t>
  </si>
  <si>
    <t>Bažnyčios 15</t>
  </si>
  <si>
    <t>A.Civinsko 25</t>
  </si>
  <si>
    <t>P.Kriaučiūno 3</t>
  </si>
  <si>
    <t>P.Butlerienės sk. 5</t>
  </si>
  <si>
    <t>Kauno 18</t>
  </si>
  <si>
    <t>Mackevičiaus   29</t>
  </si>
  <si>
    <t>Vytauto Didžiojo   45</t>
  </si>
  <si>
    <t>Vilties   18</t>
  </si>
  <si>
    <t>Vytauto Didžiojo   61</t>
  </si>
  <si>
    <t>Vilties   14</t>
  </si>
  <si>
    <r>
      <t>II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</si>
  <si>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I. </t>
    </r>
    <r>
      <rPr>
        <sz val="8"/>
        <rFont val="Arial"/>
        <family val="2"/>
      </rPr>
      <t>Daugiabučiai suvartojantys mažiausiai šilumos (naujos statybos, kokybiški namai)</t>
    </r>
  </si>
  <si>
    <t>Jakšto 8</t>
  </si>
  <si>
    <t>Vilniaus g. 202 (renov.)</t>
  </si>
  <si>
    <t>Gegužių g. 73 (renov.)</t>
  </si>
  <si>
    <t>Gegužių g. 19 (renov.)</t>
  </si>
  <si>
    <t>Grinkevičiaus g. 8 (renov.)</t>
  </si>
  <si>
    <t>Klevų g. 13 (renov.)</t>
  </si>
  <si>
    <t>NAUJOJI 26 Alytus</t>
  </si>
  <si>
    <t>VINGIO 1 Alytus</t>
  </si>
  <si>
    <t>Statybininkų 30 Alytus</t>
  </si>
  <si>
    <t>KAŠTONŲ 12 Alytus</t>
  </si>
  <si>
    <t>NAUJOJI 68 Alytus</t>
  </si>
  <si>
    <t>Aukštakalnio 14 Alytus</t>
  </si>
  <si>
    <t>Statybininkų 107 Alytus</t>
  </si>
  <si>
    <t>BAŽNYČIOS 2 Alytus</t>
  </si>
  <si>
    <t>ALYVŲ TAKAS 22 Alytus</t>
  </si>
  <si>
    <t>Vėjo 26b</t>
  </si>
  <si>
    <t>Rinkuškių 47</t>
  </si>
  <si>
    <t>Rinkuškių 22</t>
  </si>
  <si>
    <t>V.Kudirkos 1</t>
  </si>
  <si>
    <t>Kosmonautų 12</t>
  </si>
  <si>
    <t>Kosmonautų 28</t>
  </si>
  <si>
    <t>Dariaus ir Girėno 9</t>
  </si>
  <si>
    <t>R.Juknevičiaus 100</t>
  </si>
  <si>
    <t>P.Butlerienės 7</t>
  </si>
  <si>
    <t>Draugystės 13</t>
  </si>
  <si>
    <r>
      <rPr>
        <b/>
        <sz val="8"/>
        <rFont val="Arial"/>
        <family val="2"/>
      </rPr>
      <t>I</t>
    </r>
    <r>
      <rPr>
        <sz val="8"/>
        <rFont val="Arial"/>
        <family val="2"/>
      </rPr>
      <t>. Daugiabučiai suvartojantys mažiausiai šilumos (naujos statybos, kokybiški namai)</t>
    </r>
  </si>
  <si>
    <r>
      <rPr>
        <b/>
        <sz val="8"/>
        <rFont val="Arial"/>
        <family val="2"/>
      </rPr>
      <t>III</t>
    </r>
    <r>
      <rPr>
        <sz val="8"/>
        <rFont val="Arial"/>
        <family val="2"/>
      </rPr>
      <t>. Daugiabučiai suvartojantys daug šilumos (senos statybos nerenovuoti namai)</t>
    </r>
  </si>
  <si>
    <t>10.</t>
  </si>
  <si>
    <t>Aido g. 17 (renov.)</t>
  </si>
  <si>
    <t>Putinų g. 10</t>
  </si>
  <si>
    <t>KALNIŠKĖS 25 Alytus</t>
  </si>
  <si>
    <t>MAIRONIO 1 Alytus</t>
  </si>
  <si>
    <t>Lietuvininkų 7</t>
  </si>
  <si>
    <t>Mokolų 9</t>
  </si>
  <si>
    <t>Dariaus ir Girėno 11</t>
  </si>
  <si>
    <t>Aušros 42A</t>
  </si>
  <si>
    <t>Žiedo 7</t>
  </si>
  <si>
    <t>Raseinių   5A</t>
  </si>
  <si>
    <t>Vilkaviškis (UAB „Litesko“ filialas "Vilkaviškio šiluma"</t>
  </si>
  <si>
    <t>`</t>
  </si>
  <si>
    <t>Pakruojis (UAB „Pakruojo šiluma“)</t>
  </si>
  <si>
    <t>Kviečių g. 56 (renov.)</t>
  </si>
  <si>
    <t>A. Mickevičiaus g. 38</t>
  </si>
  <si>
    <t>Vilniaus g. 213A</t>
  </si>
  <si>
    <t>UŽUOLANKOS 24A Alytus</t>
  </si>
  <si>
    <t>Vandens takas 6 Alytus</t>
  </si>
  <si>
    <t>Vilniaus 56</t>
  </si>
  <si>
    <t>Kęstučio 4</t>
  </si>
  <si>
    <t>Vilniaus 91a</t>
  </si>
  <si>
    <t>Vilniaus 6</t>
  </si>
  <si>
    <t>Marijampolė  (UAB „Litesko“ filialas "Marijampolės šiluma"</t>
  </si>
  <si>
    <t>Draugystės 3</t>
  </si>
  <si>
    <t>Draugystės 20</t>
  </si>
  <si>
    <t>Akmenė (UAB „Akmenės energija")</t>
  </si>
  <si>
    <t>Raseiniai (UAB "Raseinių šilumos tinklai")</t>
  </si>
  <si>
    <t>Elektrėnai (UAB "Elektrėnų komunalinis ūkis")</t>
  </si>
  <si>
    <t>Dainų g. 4 (renov.)</t>
  </si>
  <si>
    <t>Žeimių g. 6B</t>
  </si>
  <si>
    <t>Draugystės pr. 13</t>
  </si>
  <si>
    <t>Dvaro g. 52</t>
  </si>
  <si>
    <t>P. Višinskio g. 37</t>
  </si>
  <si>
    <t>Mokolų 51</t>
  </si>
  <si>
    <t>Vytauto 12</t>
  </si>
  <si>
    <t>P.Butlerienės 11</t>
  </si>
  <si>
    <t>P.Butlerienės 20</t>
  </si>
  <si>
    <t>Birutës   2</t>
  </si>
  <si>
    <t>Maironio   4A</t>
  </si>
  <si>
    <t>Žemaitės   51</t>
  </si>
  <si>
    <t>Dariaus ir Girėno    2A</t>
  </si>
  <si>
    <t>Dariaus ir Girėno    2</t>
  </si>
  <si>
    <t>Dariaus ir Girėno    4B</t>
  </si>
  <si>
    <t>Dariaus ir Girėno    4</t>
  </si>
  <si>
    <t>Dariaus ir Girėno 15, Telšiai</t>
  </si>
  <si>
    <t>Masčio 54, Telšiai</t>
  </si>
  <si>
    <t>Dariaus ir Girėno 13, Telšiai</t>
  </si>
  <si>
    <t>Lygumų 49, Telšiai</t>
  </si>
  <si>
    <t>Kęstučio 19, Telšiai</t>
  </si>
  <si>
    <t>Beržų 2, Telšiai</t>
  </si>
  <si>
    <t>Birutės 12, Telšiai</t>
  </si>
  <si>
    <t>Luokės 83, Telšiai</t>
  </si>
  <si>
    <t>Kauno 17, Telšiai</t>
  </si>
  <si>
    <t>Masčio 58, Telšiai</t>
  </si>
  <si>
    <t>Vilniaus 36 , Telšiai</t>
  </si>
  <si>
    <t>Vilniaus 26, Telšiai</t>
  </si>
  <si>
    <t>Birutės 32, Telšiai</t>
  </si>
  <si>
    <t>Vilniaus 14, Telšiai</t>
  </si>
  <si>
    <t>Vilniaus 34, Telšiai</t>
  </si>
  <si>
    <t>Luokės 73, Telšiai</t>
  </si>
  <si>
    <t>Kęstučio 25, Telšiai</t>
  </si>
  <si>
    <t>Stoties 33, Telšiai</t>
  </si>
  <si>
    <t>Respublikos 20, Telšiai</t>
  </si>
  <si>
    <t>Šviesos 31, Telšiai</t>
  </si>
  <si>
    <t>Luokės 33, Telšiai</t>
  </si>
  <si>
    <t>Stoties 12, Telšiai</t>
  </si>
  <si>
    <t>Šviesos 27, Telšiai</t>
  </si>
  <si>
    <t>Birutės 24, Telšiai</t>
  </si>
  <si>
    <t>Stoties 16, Telšiai</t>
  </si>
  <si>
    <t>Sinagogos 4, Telšiai</t>
  </si>
  <si>
    <t>Šviesos 25, Telšiai</t>
  </si>
  <si>
    <t>Daukanto 14, Telšiai</t>
  </si>
  <si>
    <t>Sedos 3, Telšiai</t>
  </si>
  <si>
    <t>Kęstučio 21, Telšiai</t>
  </si>
  <si>
    <t>Šviesos 29, Telšiai</t>
  </si>
  <si>
    <t>Lauko 48 Vilkaviškis</t>
  </si>
  <si>
    <t>Birutės 6 Vilkaviškis</t>
  </si>
  <si>
    <t>Vienybės 72 Vilkaviškis</t>
  </si>
  <si>
    <t>Aušros 10 Vilkaviškis</t>
  </si>
  <si>
    <t>Aušros 4 Vilkaviškis</t>
  </si>
  <si>
    <t>Lauko 44 Vilkaviškis</t>
  </si>
  <si>
    <t>Statybininkų 4 Vilkaviškis</t>
  </si>
  <si>
    <t>Pilviškių 27 Vilkaviškis</t>
  </si>
  <si>
    <t>Aušros 8 Vilkaviškis</t>
  </si>
  <si>
    <t>Nepriklausomybės 72 Vilkaviškis</t>
  </si>
  <si>
    <t>Birutės 4 Vilkaviškis</t>
  </si>
  <si>
    <t>Aušros 2 Vilkaviškis</t>
  </si>
  <si>
    <t>Birutės 2 Vilkaviškis</t>
  </si>
  <si>
    <t>Statybininkų 6 Vilkaviškis</t>
  </si>
  <si>
    <t>Vienybės 70 Vilkaviškis</t>
  </si>
  <si>
    <t>Nepriklausomybės 66 Vilkaviškis</t>
  </si>
  <si>
    <t>Kęstučio 2 Vilkaviškis</t>
  </si>
  <si>
    <t>Statybininkų 8 Vilkaviškis</t>
  </si>
  <si>
    <t>Kęstučio 7 Vilkaviškis</t>
  </si>
  <si>
    <t>K.Naumiesčio 11 Kybartai</t>
  </si>
  <si>
    <t>Vištyčio 7 Virbalis</t>
  </si>
  <si>
    <t>Basanavičiaus a. 4 Vilkaviškis</t>
  </si>
  <si>
    <t>Tarybų 7 Kybartai</t>
  </si>
  <si>
    <t>Darvino 28 Kybartai</t>
  </si>
  <si>
    <t>Vilniaus 4 Vilkaviškis</t>
  </si>
  <si>
    <t>Dvaro 9 Paežeriai</t>
  </si>
  <si>
    <t>K.Naumiesčio 9A Kybartai</t>
  </si>
  <si>
    <t>Dariaus ir Girėno 2A Kybartai</t>
  </si>
  <si>
    <t>Mokyklos 3 Pilviškiai</t>
  </si>
  <si>
    <t>Vasario 16-ios 10 Pilviškiai</t>
  </si>
  <si>
    <t>Vasario 16-ios 12 Pilviškiai</t>
  </si>
  <si>
    <t>Vasario 16-ios 4 Pilviškiai</t>
  </si>
  <si>
    <t>Druskininkų 7a</t>
  </si>
  <si>
    <t>Janonio 28</t>
  </si>
  <si>
    <t>Oškinio 8</t>
  </si>
  <si>
    <t>Biliūno 3</t>
  </si>
  <si>
    <t>Valančiaus 8</t>
  </si>
  <si>
    <t>Ganyklų 59</t>
  </si>
  <si>
    <t>Ganyklų 29</t>
  </si>
  <si>
    <t>Vytauto 77</t>
  </si>
  <si>
    <t>Biliūno 9</t>
  </si>
  <si>
    <t>Vytauto 148</t>
  </si>
  <si>
    <t>Taikos 10</t>
  </si>
  <si>
    <t>Kretingos 33</t>
  </si>
  <si>
    <t>Sodų 39</t>
  </si>
  <si>
    <t>Saulėtekio 8/6</t>
  </si>
  <si>
    <t>Druskininkų 16</t>
  </si>
  <si>
    <t>Klaipėdos 46</t>
  </si>
  <si>
    <t>Vytauto 81</t>
  </si>
  <si>
    <t>Sodų 21</t>
  </si>
  <si>
    <t>Medvalakio 15</t>
  </si>
  <si>
    <t>Taikos 14</t>
  </si>
  <si>
    <t>Sodų 1</t>
  </si>
  <si>
    <t>Valančiaus 6</t>
  </si>
  <si>
    <t>S.neries 5</t>
  </si>
  <si>
    <t>Medžiotojų 10</t>
  </si>
  <si>
    <t>Vytauto 65</t>
  </si>
  <si>
    <t>Biliūno 6</t>
  </si>
  <si>
    <t>Kretingos 6</t>
  </si>
  <si>
    <t>Vytauto 120</t>
  </si>
  <si>
    <t>Kretingos 7</t>
  </si>
  <si>
    <t>DRUSKININKŲ 23</t>
  </si>
  <si>
    <t>GARDINO 56A</t>
  </si>
  <si>
    <t>NERAVŲ 39C</t>
  </si>
  <si>
    <t>ŠILTNAMIŲ 18</t>
  </si>
  <si>
    <t>LIEPŲ 2A</t>
  </si>
  <si>
    <t>KOSCIUŠKOS 12</t>
  </si>
  <si>
    <t>ŠILTNAMIŲ 22</t>
  </si>
  <si>
    <t>DRUSKININKŲ 9</t>
  </si>
  <si>
    <t>-</t>
  </si>
  <si>
    <t>VEISIEJŲ 22</t>
  </si>
  <si>
    <t>VEISIEJŲ 16</t>
  </si>
  <si>
    <t>VEISIEJŲ 12</t>
  </si>
  <si>
    <t>KLONIO 18A</t>
  </si>
  <si>
    <t>DRUSKININKŲ 8</t>
  </si>
  <si>
    <t>JAUNYSTĖS 2</t>
  </si>
  <si>
    <t>ANTAKALNIO 16</t>
  </si>
  <si>
    <t>MELIORATORIŲ 10</t>
  </si>
  <si>
    <t>LIEPŲ 10</t>
  </si>
  <si>
    <t>FONBERGO 6</t>
  </si>
  <si>
    <t>MELIORATORIŲ 12</t>
  </si>
  <si>
    <t>VERPĖJŲ 18</t>
  </si>
  <si>
    <t>ANTAKALNIO 14</t>
  </si>
  <si>
    <t>ALĖJOS 22</t>
  </si>
  <si>
    <t>MIZARŲ 1</t>
  </si>
  <si>
    <t>ŠV.JOKŪBO 15</t>
  </si>
  <si>
    <t>P.Vileišio 4 (renov.)</t>
  </si>
  <si>
    <t>Skuodo 15B</t>
  </si>
  <si>
    <t>Laisvės 27 (renov.)</t>
  </si>
  <si>
    <t>Pavasario 14</t>
  </si>
  <si>
    <t>Naftininkų 14</t>
  </si>
  <si>
    <t>Pavenčių 19</t>
  </si>
  <si>
    <t>Sodų 11</t>
  </si>
  <si>
    <t>P.Vileišio 6</t>
  </si>
  <si>
    <t>Žemaitijos 18</t>
  </si>
  <si>
    <t>V.Burbos 5</t>
  </si>
  <si>
    <t>Vasario 16-sios 8</t>
  </si>
  <si>
    <t>S.Daukanto 8 (Viekšniai)</t>
  </si>
  <si>
    <t>Laisvės 32</t>
  </si>
  <si>
    <t>Mažeikių 3 (Viekšniai)</t>
  </si>
  <si>
    <t>Aušros g. 99(renov.), Utena</t>
  </si>
  <si>
    <t>iki1992</t>
  </si>
  <si>
    <t>Kudirkos g. 22, Utena</t>
  </si>
  <si>
    <t>Basanavičiaus g. 117, Utena</t>
  </si>
  <si>
    <t>Aušros g. 83, Utena</t>
  </si>
  <si>
    <t>Aukštakalnio g. 116, Utena</t>
  </si>
  <si>
    <t>Vaižganto g. 52, Utena</t>
  </si>
  <si>
    <t>Vaižganto g. 56, Utena</t>
  </si>
  <si>
    <t>Taikos g. 24, Utena</t>
  </si>
  <si>
    <t>Taikos g .14, Utena</t>
  </si>
  <si>
    <t>Vaižganto g. 46, Utena</t>
  </si>
  <si>
    <t>Aukštakalnio g. 10,12, Utena</t>
  </si>
  <si>
    <t>Kęstučio g. 4, Utena</t>
  </si>
  <si>
    <t>Utenio a. 5, Utena</t>
  </si>
  <si>
    <t>Basanavičiaus g. 110a, Utena</t>
  </si>
  <si>
    <t>Donelaičio g. 12, Utena</t>
  </si>
  <si>
    <t>Basanavičiaus g. 108, Utena</t>
  </si>
  <si>
    <t>Maironio g. 17,Utena</t>
  </si>
  <si>
    <t>Tauragnų g. 4, Utena</t>
  </si>
  <si>
    <t>Utenio a. 10, Utena</t>
  </si>
  <si>
    <t>Kęstučio g. 6, Utena</t>
  </si>
  <si>
    <t>Kauno g. 27, Utena</t>
  </si>
  <si>
    <t>Kęstučio g. 9, Utena</t>
  </si>
  <si>
    <t>Bažnyčios g. 4, Utena</t>
  </si>
  <si>
    <t>Vaišvilos 25 ( renov.)</t>
  </si>
  <si>
    <t>Vaišvilos 9 ( renov.)</t>
  </si>
  <si>
    <t>Jucio 30 ( renov.)</t>
  </si>
  <si>
    <t>Vaišvilos 31( renov.)</t>
  </si>
  <si>
    <t>Vaižganto 96( renov.)</t>
  </si>
  <si>
    <t>Končiaus 7(skaitikliai butuose)</t>
  </si>
  <si>
    <t>Vaišvilos 23( renov.)</t>
  </si>
  <si>
    <t>Mačernio 12(dal.renovuot.)</t>
  </si>
  <si>
    <t>Jucio 14 (dalinai renovuotas)</t>
  </si>
  <si>
    <t>Končiaus 7A(skaitikliai butuose)</t>
  </si>
  <si>
    <t>Mačernio 53</t>
  </si>
  <si>
    <t>Jucio 12</t>
  </si>
  <si>
    <t>Mačernio 51</t>
  </si>
  <si>
    <t>Mačernio 10</t>
  </si>
  <si>
    <t>Gandingos 10</t>
  </si>
  <si>
    <t>Mačernio 47</t>
  </si>
  <si>
    <t>Jucio 22</t>
  </si>
  <si>
    <t>Jucio 10</t>
  </si>
  <si>
    <t>Vaižganto 85</t>
  </si>
  <si>
    <t>Mačernio 8</t>
  </si>
  <si>
    <t>Mačernio 6</t>
  </si>
  <si>
    <t>A.Jucio 28</t>
  </si>
  <si>
    <t>Gandingos 12</t>
  </si>
  <si>
    <t>Lentpjūvės 6</t>
  </si>
  <si>
    <t>Telšių 21</t>
  </si>
  <si>
    <t>Senamiesčio 2</t>
  </si>
  <si>
    <t>Dariaus ir Girėno 51</t>
  </si>
  <si>
    <t>Dariaus Ir Girėno 35</t>
  </si>
  <si>
    <t>Vytauto 27</t>
  </si>
  <si>
    <t>Dariaus Ir Girėno 33</t>
  </si>
  <si>
    <t>S. Neries 4</t>
  </si>
  <si>
    <t>Jaunystės 35 (renovuotas)</t>
  </si>
  <si>
    <t>Laisvės al. 36 (renovuotas)</t>
  </si>
  <si>
    <t>Vaižganto 60 (renovuotas)</t>
  </si>
  <si>
    <t>Vaižganto 30c</t>
  </si>
  <si>
    <t>Kražių 12</t>
  </si>
  <si>
    <t>Bernotėno 1</t>
  </si>
  <si>
    <t>Ateities 19</t>
  </si>
  <si>
    <t>Vytauto Didžiojo 41</t>
  </si>
  <si>
    <t>Vytauto Didžiojo 31</t>
  </si>
  <si>
    <t>Algirdo 27</t>
  </si>
  <si>
    <t>Algirdo 25</t>
  </si>
  <si>
    <t>Rytų 4</t>
  </si>
  <si>
    <t>Algirdo 29</t>
  </si>
  <si>
    <t>Dubysos 16</t>
  </si>
  <si>
    <t>Vaižganto 5A</t>
  </si>
  <si>
    <t>Stonų 3</t>
  </si>
  <si>
    <t>Dariaus ir Girėno 23</t>
  </si>
  <si>
    <t>Dubysos 3</t>
  </si>
  <si>
    <t>Dariaus ir Girėno 28</t>
  </si>
  <si>
    <t>Dubysos 1</t>
  </si>
  <si>
    <t>Rytų 2</t>
  </si>
  <si>
    <t>Muziejaus 6</t>
  </si>
  <si>
    <t>V.Kudirkos 11</t>
  </si>
  <si>
    <t>Jaunimo 12</t>
  </si>
  <si>
    <t xml:space="preserve">Jaunimo 14 </t>
  </si>
  <si>
    <t>Vytauto Didžiojo 3</t>
  </si>
  <si>
    <t>iki1960</t>
  </si>
  <si>
    <t>Vaižganto 1</t>
  </si>
  <si>
    <t>Dariaus ir Girėno 26</t>
  </si>
  <si>
    <t>Dominikonų 4</t>
  </si>
  <si>
    <t>V.Kudirkos 9</t>
  </si>
  <si>
    <t>Naujųjų Valkininkų 2</t>
  </si>
  <si>
    <t>Renov.</t>
  </si>
  <si>
    <t>Marcinkonių g. 2</t>
  </si>
  <si>
    <t>J.Basanavičiaus g. 21</t>
  </si>
  <si>
    <t>Dzūkų g. 38</t>
  </si>
  <si>
    <t>Vasario 16-osios g. 10</t>
  </si>
  <si>
    <t>Vytauto g. 7</t>
  </si>
  <si>
    <t>Sporto g. 14</t>
  </si>
  <si>
    <t>V.Krėvės g. 4</t>
  </si>
  <si>
    <t>Birutės 4, Prienai</t>
  </si>
  <si>
    <t>Vytauto 22, Prienai</t>
  </si>
  <si>
    <t>Jaunimo 13, Balbieriškis</t>
  </si>
  <si>
    <t>Janonio 3, Prienai</t>
  </si>
  <si>
    <t>Statybininkų 11, Prienai</t>
  </si>
  <si>
    <t>Stadiono 20  3L.,Prienai</t>
  </si>
  <si>
    <t>Vytauto 4A, Prienai</t>
  </si>
  <si>
    <t>Kęstučio 77, Prienai</t>
  </si>
  <si>
    <t>Brundzos 10, Prienai</t>
  </si>
  <si>
    <t>Brundzos 8, Prienai</t>
  </si>
  <si>
    <t>Vytauto 25, Prienai</t>
  </si>
  <si>
    <t>Brundzos 7, Prienai</t>
  </si>
  <si>
    <t>Pergalės 4, Pakruojis</t>
  </si>
  <si>
    <t>P.Mašioto 59, Pakruojis</t>
  </si>
  <si>
    <t>V.Didžiojo 72, Pakruojis</t>
  </si>
  <si>
    <t>Dariaus ir Girėno 51, Pakruojis</t>
  </si>
  <si>
    <t>L.Giros 1, Pakruojis</t>
  </si>
  <si>
    <t>Ušinsko 31a, Pakruojis</t>
  </si>
  <si>
    <t>Basanavičiaus 2a, Pakruojis</t>
  </si>
  <si>
    <t>Joniškėlio 8, Linkuva</t>
  </si>
  <si>
    <t>P.Mašioto 55, Pakruojis</t>
  </si>
  <si>
    <t>Joniškėlio 2, Linkuva</t>
  </si>
  <si>
    <t>Vasario 16-osios 15,Pakruojis</t>
  </si>
  <si>
    <t>Vilniaus 34, Pakruojis</t>
  </si>
  <si>
    <t>Vilniaus 28, Pakruojis</t>
  </si>
  <si>
    <t>Taikos 24a, Pakruojis</t>
  </si>
  <si>
    <t>Taikos 24, Pakruojis</t>
  </si>
  <si>
    <t>l.Giros 8, Pakruojis</t>
  </si>
  <si>
    <t>Taikos 26, Pakruojis</t>
  </si>
  <si>
    <t>S.Ušinsko 22, Pakruojis</t>
  </si>
  <si>
    <t>Vasario 16-osios 13,Pakruojis</t>
  </si>
  <si>
    <t>Mažoji 1, Pakruojo k.</t>
  </si>
  <si>
    <t>Kęstučio 8, Pakruojis</t>
  </si>
  <si>
    <t>Birutės 29, Trakai</t>
  </si>
  <si>
    <t xml:space="preserve">        -</t>
  </si>
  <si>
    <t>Mindaugo 22, Trakai</t>
  </si>
  <si>
    <t>Ežero 10, Lentvaris</t>
  </si>
  <si>
    <t>Trakų 14, Trakai</t>
  </si>
  <si>
    <t xml:space="preserve">      -</t>
  </si>
  <si>
    <t>Vytauto 72, Trakai</t>
  </si>
  <si>
    <t>Technikumo 9, Aukštadvaris</t>
  </si>
  <si>
    <t>Lauko 12A, Lentvaris</t>
  </si>
  <si>
    <t>Mindaugo 20, Trakai</t>
  </si>
  <si>
    <t>Trakų 27, Trakai</t>
  </si>
  <si>
    <t>Bažnyčios 21, Lentvaris</t>
  </si>
  <si>
    <t>Pakalnės 23, Lentvaris</t>
  </si>
  <si>
    <t>Respublikos 8 Naujoji Akmenė</t>
  </si>
  <si>
    <t>Laižuvos 10 Akmenė</t>
  </si>
  <si>
    <t>V.Kudirkos 2 Naujoji Akmenė</t>
  </si>
  <si>
    <t>Ventos 16 Venta</t>
  </si>
  <si>
    <t>Ventos 14 Venta</t>
  </si>
  <si>
    <t>Bausko 3 Venta</t>
  </si>
  <si>
    <t>Žalgirio 7 Naujoji Akmenė</t>
  </si>
  <si>
    <t>Bandužių g. 17</t>
  </si>
  <si>
    <t>Liepų g. 53</t>
  </si>
  <si>
    <t>Bangų g. 17</t>
  </si>
  <si>
    <t>Jaunimo al. 3</t>
  </si>
  <si>
    <t>Sodų 19</t>
  </si>
  <si>
    <t>Gluosnių 7</t>
  </si>
  <si>
    <t>Jaunimo al. 10</t>
  </si>
  <si>
    <t>Jaunimo al. 7</t>
  </si>
  <si>
    <t>Kęstučio 12a</t>
  </si>
  <si>
    <t>Kudirkos 8</t>
  </si>
  <si>
    <t>Cintjoniškių 7</t>
  </si>
  <si>
    <t>Sodų 2</t>
  </si>
  <si>
    <t>Jaunimo al. 8</t>
  </si>
  <si>
    <t>Sodų 17</t>
  </si>
  <si>
    <t>Laisvės al. 3</t>
  </si>
  <si>
    <t>Tilžės 40</t>
  </si>
  <si>
    <t>Laisvės al. 6</t>
  </si>
  <si>
    <t>Lietuvininkų 74</t>
  </si>
  <si>
    <t>Pramonės 9</t>
  </si>
  <si>
    <t>Taikos 19a</t>
  </si>
  <si>
    <t>Liepų 8</t>
  </si>
  <si>
    <t>Kudirkos 13</t>
  </si>
  <si>
    <t>Lietuvininkų 16a</t>
  </si>
  <si>
    <t>Kalinausko 11</t>
  </si>
  <si>
    <t>Kudirkos 7</t>
  </si>
  <si>
    <t>Turgaus 6a</t>
  </si>
  <si>
    <t>Tilžės 42</t>
  </si>
  <si>
    <t>Turgaus 2</t>
  </si>
  <si>
    <t>Tilžės 38</t>
  </si>
  <si>
    <t>Lietuvininku 40</t>
  </si>
  <si>
    <t>Lietuvininkų 2a</t>
  </si>
  <si>
    <t>Taikos 24</t>
  </si>
  <si>
    <t>Tauragė (UAB"Tauragės šilumos tinklai")</t>
  </si>
  <si>
    <t>Gedimino g. 32</t>
  </si>
  <si>
    <t>Gedimino g. 8</t>
  </si>
  <si>
    <t>Dariaus ir Girėno g. 34</t>
  </si>
  <si>
    <t>Vaižganto g. 118</t>
  </si>
  <si>
    <t>Miško g. 8</t>
  </si>
  <si>
    <t>Vytauto g. 4B</t>
  </si>
  <si>
    <t>Gedimino g. 23</t>
  </si>
  <si>
    <t>Dariaus ir Girėno g. 26A</t>
  </si>
  <si>
    <t xml:space="preserve">Dainavos g. 7 </t>
  </si>
  <si>
    <t>Žemaitės g. 32</t>
  </si>
  <si>
    <t>Birutės g. 36</t>
  </si>
  <si>
    <t>Ateities takas 18</t>
  </si>
  <si>
    <t>Dariaus ir Girėno g. 16A</t>
  </si>
  <si>
    <t>Žemaitės g. 3</t>
  </si>
  <si>
    <t>Respublikos g. 4</t>
  </si>
  <si>
    <t>Dariaus ir Girėno g. 24</t>
  </si>
  <si>
    <t>Prezidento g. 67</t>
  </si>
  <si>
    <t>Dariaus ir Grėno g. 38</t>
  </si>
  <si>
    <t>Vasario 16-osios g. 8</t>
  </si>
  <si>
    <t>Vytauto g. 62</t>
  </si>
  <si>
    <t>V. Kudirkos g. 5</t>
  </si>
  <si>
    <t>Dariaus ir Girėno g. 18</t>
  </si>
  <si>
    <t>Vasario 16-osios g. 5</t>
  </si>
  <si>
    <t>Vasario 16-osios g. 3</t>
  </si>
  <si>
    <t>Vytauto g. 88</t>
  </si>
  <si>
    <t>Dariaus ir Girėno g. 20</t>
  </si>
  <si>
    <t>Prezidento g. 60</t>
  </si>
  <si>
    <t>Vytauto g. 78</t>
  </si>
  <si>
    <t>Dariaus ir Grėno g. 4</t>
  </si>
  <si>
    <t>Bažnyčių g. 2</t>
  </si>
  <si>
    <t>Šarkinės 27</t>
  </si>
  <si>
    <t>Sodų 4</t>
  </si>
  <si>
    <t>Taikos 4</t>
  </si>
  <si>
    <t>Sodų 10</t>
  </si>
  <si>
    <t>Šviesos 10</t>
  </si>
  <si>
    <t>Trakų 16</t>
  </si>
  <si>
    <t>Saulės 10</t>
  </si>
  <si>
    <t>Trakų 23</t>
  </si>
  <si>
    <t>Saulės 17</t>
  </si>
  <si>
    <t>Saulės 26</t>
  </si>
  <si>
    <t>Saulės 11</t>
  </si>
  <si>
    <t>Trakų 19</t>
  </si>
  <si>
    <t>Šilutė (UAB „Šilutės šilumos tinklai")</t>
  </si>
  <si>
    <t>Šilumos suvartojimo ir mokėjimų už šilumą analizė Lietuvos miestų daugiabučiuose gyvenamuosiuose namuose (2012 m. kovo mėn)</t>
  </si>
  <si>
    <t>vidutinė lauko oro temperatūra: 1,3 C; dienolaipsniai: 517,7</t>
  </si>
  <si>
    <t>vidutinė lauko oro temperatūra: 1,9 °C; dienolaipsniai:499,1</t>
  </si>
  <si>
    <t>vidutinė lauko oro temperatūra: 1,5 °C; dienolaipsniai: 478,5</t>
  </si>
  <si>
    <t>Kauno g. 19</t>
  </si>
  <si>
    <t>Baltijos pr. 97</t>
  </si>
  <si>
    <t>Kretingos g. 55</t>
  </si>
  <si>
    <t>Debreceno g. 84</t>
  </si>
  <si>
    <t>Jaunystės g. 4</t>
  </si>
  <si>
    <t>Reikjaviko g. 9</t>
  </si>
  <si>
    <t>Laukininkų g. 43</t>
  </si>
  <si>
    <t>Ryšininkų g. 2</t>
  </si>
  <si>
    <t>Kuncų g. 11/1</t>
  </si>
  <si>
    <t>Taikos pr. 41</t>
  </si>
  <si>
    <t>Statybininkų pr. 8</t>
  </si>
  <si>
    <t>Budelkiemio g. 18</t>
  </si>
  <si>
    <t>Taikos pr. 73</t>
  </si>
  <si>
    <t>Žardininkų g. 16</t>
  </si>
  <si>
    <t>Rambyno g. 6</t>
  </si>
  <si>
    <t>Pietinė g. 6</t>
  </si>
  <si>
    <t>Smiltelės g. 20</t>
  </si>
  <si>
    <t>Minijos g. 120</t>
  </si>
  <si>
    <t>Medžiotojų g. 12</t>
  </si>
  <si>
    <t>Debreceno g. 40</t>
  </si>
  <si>
    <t>Sportininkų g. 19</t>
  </si>
  <si>
    <t>Rumpiškės g. 24</t>
  </si>
  <si>
    <t>S.Daukanto g. 43</t>
  </si>
  <si>
    <t>Minijos g. 129</t>
  </si>
  <si>
    <t>Kretingos g. 45</t>
  </si>
  <si>
    <t>Rumpiškės g. 28</t>
  </si>
  <si>
    <t>Bokštų g. 1</t>
  </si>
  <si>
    <t>Spotininkų g. 28</t>
  </si>
  <si>
    <t>Pušyno g. 29</t>
  </si>
  <si>
    <t>Minijos g. 131</t>
  </si>
  <si>
    <t>H.Manto g. 11a</t>
  </si>
  <si>
    <t>H.Manto g. 43</t>
  </si>
  <si>
    <t>Sportininkų g. 14</t>
  </si>
  <si>
    <t>Sulupės g. 13</t>
  </si>
  <si>
    <t>J.Zauerveino g. 25</t>
  </si>
  <si>
    <t>Klevų g. 1</t>
  </si>
  <si>
    <t>Turgaus a.2</t>
  </si>
  <si>
    <r>
      <t xml:space="preserve">vidutinė lauko oro temperatūra: 1,9 </t>
    </r>
    <r>
      <rPr>
        <sz val="10"/>
        <color indexed="12"/>
        <rFont val="Calibri"/>
        <family val="2"/>
      </rPr>
      <t>°</t>
    </r>
    <r>
      <rPr>
        <i/>
        <sz val="10"/>
        <color indexed="12"/>
        <rFont val="Arial"/>
        <family val="2"/>
      </rPr>
      <t>C; dienolaipsniai: 499,1</t>
    </r>
  </si>
  <si>
    <t xml:space="preserve">Žeimių g.  6A </t>
  </si>
  <si>
    <t xml:space="preserve">Dainų g. 10A </t>
  </si>
  <si>
    <t>M. Valančiaus g. 2 (renov.)</t>
  </si>
  <si>
    <t>Gegužių g. 17</t>
  </si>
  <si>
    <t>Statybininkų g. 5</t>
  </si>
  <si>
    <t xml:space="preserve">Krymo g. 6 </t>
  </si>
  <si>
    <t>Gegužių g. 13</t>
  </si>
  <si>
    <t>Lieporių g. 21</t>
  </si>
  <si>
    <t>Gegužių g. 9 (renov.)</t>
  </si>
  <si>
    <t>Gegužių g. 25</t>
  </si>
  <si>
    <t>Aido g. 15</t>
  </si>
  <si>
    <t>Gytarių g. 39</t>
  </si>
  <si>
    <t>Tilžės g. 51</t>
  </si>
  <si>
    <t>Gytarių g. 37</t>
  </si>
  <si>
    <t>Architektų g. 18</t>
  </si>
  <si>
    <t>Varpo g. 53</t>
  </si>
  <si>
    <t>Dainų g. 37</t>
  </si>
  <si>
    <t>Draugystės pr. 5</t>
  </si>
  <si>
    <t>Dainavos takas 17</t>
  </si>
  <si>
    <t>Draugystės pr. 15</t>
  </si>
  <si>
    <t>Draugystės pr. 3A</t>
  </si>
  <si>
    <t>Tilžės g. 128</t>
  </si>
  <si>
    <t>vidutinė lauko oro temperatūra: 3 °C, dienolaipsniai 465</t>
  </si>
  <si>
    <t>ŠALTINIŲ 4 Alytus</t>
  </si>
  <si>
    <t>VILTIES 20 Alytus</t>
  </si>
  <si>
    <t>VINGIO 7 Alytus</t>
  </si>
  <si>
    <t>ŽUVINTO 13 Alytus</t>
  </si>
  <si>
    <t>PUTINŲ 24A Alytus</t>
  </si>
  <si>
    <t>Statybininkų 34 Alytus</t>
  </si>
  <si>
    <t>VOLUNGĖS 29 Alytus</t>
  </si>
  <si>
    <t>JAUNIMO 56 Alytus</t>
  </si>
  <si>
    <t>Dariaus ir Girėno 6 Alytus</t>
  </si>
  <si>
    <t>SAVANORIŲ 3 Alytus</t>
  </si>
  <si>
    <t>VILNIAUS 12 Alytus</t>
  </si>
  <si>
    <t>PILIAKALNIO 10 Alytus</t>
  </si>
  <si>
    <t>VOLUNGĖS 22 Alytus</t>
  </si>
  <si>
    <t>ŽALGIRIO 31 Alytus</t>
  </si>
  <si>
    <t>VOLUNGĖS 17 Alytus</t>
  </si>
  <si>
    <t>vidutinė lauko oro temperatūra: 1,6 °C, dienolaipsniai 508,4</t>
  </si>
  <si>
    <t>vidutinė lauko oro temperatūra: 2,6 °C, dienolaipsniai 477,4</t>
  </si>
  <si>
    <t>Vytauto 54B</t>
  </si>
  <si>
    <t>Vilkaviškio 61</t>
  </si>
  <si>
    <t>Vilkaviškio 72</t>
  </si>
  <si>
    <t>J.Ambrazevičiaus-Brazaičio 5</t>
  </si>
  <si>
    <t>Vytenio 8</t>
  </si>
  <si>
    <t>R.Juknevičiaus 16</t>
  </si>
  <si>
    <t>Lietuvininkų 4</t>
  </si>
  <si>
    <t>Dvarkelio 11</t>
  </si>
  <si>
    <t>Vasario  16-osios 6</t>
  </si>
  <si>
    <t>P.Armino 31</t>
  </si>
  <si>
    <t>Dvarkelio 7</t>
  </si>
  <si>
    <t>Vasario  16-osios 4</t>
  </si>
  <si>
    <t>Dvarkelio 14</t>
  </si>
  <si>
    <t>Vytauto 27A</t>
  </si>
  <si>
    <t>vidutinė lauko oro temperatūra: 1,4 °C, dienolaipsniai 515</t>
  </si>
  <si>
    <t>Birutės   4</t>
  </si>
  <si>
    <t>Birutės   7</t>
  </si>
  <si>
    <t>Birutės   3</t>
  </si>
  <si>
    <t>Raseinių   3</t>
  </si>
  <si>
    <t>Raseinių   7</t>
  </si>
  <si>
    <t>Raseinių  11</t>
  </si>
  <si>
    <t>Mackevičiaus    2</t>
  </si>
  <si>
    <t>žemaitės   45</t>
  </si>
  <si>
    <t>vidutinė lauko oro temperatūra: 1,5 °C, dienolaipsniai 511,5</t>
  </si>
  <si>
    <t>Dariaus ir Girėno 12, Telšiai</t>
  </si>
  <si>
    <t>Masčio 44, Telšiai</t>
  </si>
  <si>
    <t>Vilniaus 8, Telšiai</t>
  </si>
  <si>
    <t>Sedos 23, Telšiai</t>
  </si>
  <si>
    <t>Žemaitės 26, Telšiai</t>
  </si>
  <si>
    <t>Stoties 10, Telšiai</t>
  </si>
  <si>
    <t>Daukanto 43, Telšiai</t>
  </si>
  <si>
    <t>Liepų 7, Rainiai</t>
  </si>
  <si>
    <t>Sinagogos  2, Telšiai</t>
  </si>
  <si>
    <t>vidutinė lauko oro temperatūra: 3,2 °C, dienolaipsniai 458,5</t>
  </si>
  <si>
    <t>Gedimino 14 Vilkaviškis</t>
  </si>
  <si>
    <t>Nepriklausomybės 52 Vilkaviškis</t>
  </si>
  <si>
    <t>Statybininkų 7 Vilkaviškis</t>
  </si>
  <si>
    <t>Dvaro 21 Paežeriai</t>
  </si>
  <si>
    <t>Maironio 32 Vilkaviškis</t>
  </si>
  <si>
    <t>Pasienio 3 Kybartai</t>
  </si>
  <si>
    <t>Statybininkų 9 Vilkaviškis</t>
  </si>
  <si>
    <t>S.Nėries 44 Vilkaviškis</t>
  </si>
  <si>
    <t>vidutinė lauko oro temperatūra: 1,7 °C, dienolaipsniai 505,3</t>
  </si>
  <si>
    <t>vidutinė lauko oro temperatūra: 2,1 °C, dienolaipsniai 492,9</t>
  </si>
  <si>
    <t>ČIURLIONIO 88</t>
  </si>
  <si>
    <t>VYTAUTO 11</t>
  </si>
  <si>
    <t>ČIURLIONIO 68</t>
  </si>
  <si>
    <t>VEISIEJŲ 24</t>
  </si>
  <si>
    <t>VEISIEJŲ 15</t>
  </si>
  <si>
    <t>TAIKOS 5</t>
  </si>
  <si>
    <t>ATEITIES 2</t>
  </si>
  <si>
    <t>SEIRIJŲ 9</t>
  </si>
  <si>
    <t>ŠILTNAMIŲ 26</t>
  </si>
  <si>
    <t>KUDIRKOS 31</t>
  </si>
  <si>
    <t>M.K.ČIURLIONIO 4A</t>
  </si>
  <si>
    <t>VERPĖJŲ 4</t>
  </si>
  <si>
    <t>M.K.ČIURLIONIO 85</t>
  </si>
  <si>
    <t>M.K.ČIURLIONIO 93</t>
  </si>
  <si>
    <t>M.K.ČIURLIONIO 4</t>
  </si>
  <si>
    <r>
      <t xml:space="preserve">vidutinė lauko oro temperatūra: 2,7 </t>
    </r>
    <r>
      <rPr>
        <sz val="10"/>
        <color indexed="12"/>
        <rFont val="Calibri"/>
        <family val="2"/>
      </rPr>
      <t>°</t>
    </r>
    <r>
      <rPr>
        <i/>
        <sz val="10"/>
        <color indexed="12"/>
        <rFont val="Arial"/>
        <family val="2"/>
      </rPr>
      <t>C; dienolaipsniai: 474,3</t>
    </r>
  </si>
  <si>
    <t>Sodų 10-jo NSB (renov.)</t>
  </si>
  <si>
    <t>Mindaugo 13 (renov.)</t>
  </si>
  <si>
    <t>Laisvės 23 (renov.)</t>
  </si>
  <si>
    <t>Laisvės 40-jo NSB (renov.)</t>
  </si>
  <si>
    <t>Gamyklos 3 (renovuojamas)</t>
  </si>
  <si>
    <t>Draugystės 4</t>
  </si>
  <si>
    <t>Gamyklos 15-jo NSB (renov.)</t>
  </si>
  <si>
    <t>Žemaitijos 37</t>
  </si>
  <si>
    <t>Sodų 24</t>
  </si>
  <si>
    <t>Ventos 75</t>
  </si>
  <si>
    <t>Ventos 9</t>
  </si>
  <si>
    <t>Taikos 11</t>
  </si>
  <si>
    <t>Pavasario 17</t>
  </si>
  <si>
    <t>Ventos 65</t>
  </si>
  <si>
    <t>Taikos 5</t>
  </si>
  <si>
    <t>Pavasario 9</t>
  </si>
  <si>
    <t>Ventos 7</t>
  </si>
  <si>
    <t>Tylioji 24</t>
  </si>
  <si>
    <t>Tylioji 38</t>
  </si>
  <si>
    <t>Laisvės 222</t>
  </si>
  <si>
    <t>Bažnyčios 11 (Viekšniai)</t>
  </si>
  <si>
    <t>Laisvės 36</t>
  </si>
  <si>
    <t>V.Burbos 2</t>
  </si>
  <si>
    <t>Ventos 39</t>
  </si>
  <si>
    <t>M.Daukšos 44B</t>
  </si>
  <si>
    <r>
      <t xml:space="preserve">vidutinė lauko oro temperatūra: 1,0 </t>
    </r>
    <r>
      <rPr>
        <sz val="10"/>
        <color indexed="12"/>
        <rFont val="Calibri"/>
        <family val="2"/>
      </rPr>
      <t>°</t>
    </r>
    <r>
      <rPr>
        <i/>
        <sz val="10"/>
        <color indexed="12"/>
        <rFont val="Arial"/>
        <family val="2"/>
      </rPr>
      <t>C; dienolaipsniai: 527</t>
    </r>
  </si>
  <si>
    <t>Aukštakalnio g. 108, Utena</t>
  </si>
  <si>
    <t>Aušros g. 89 I k.(renov.)Utena</t>
  </si>
  <si>
    <t>Aukštakalnio g. 14,16 Utena</t>
  </si>
  <si>
    <t>Aukštakalnio g. 72, Utena</t>
  </si>
  <si>
    <t>Aušros g. 69 II k, Utena</t>
  </si>
  <si>
    <t>Taikos g. 26, Utena</t>
  </si>
  <si>
    <t>Krašuonos g. 13, Utena</t>
  </si>
  <si>
    <t>Taikos g .4, Utena</t>
  </si>
  <si>
    <t>Vaižganto g. 64, Utena</t>
  </si>
  <si>
    <t>Taikos g. 16, Utena</t>
  </si>
  <si>
    <t>Taikos g. 28, Utena</t>
  </si>
  <si>
    <t>Basanavičiaus g. 67, Utena</t>
  </si>
  <si>
    <t>Vaižganto g. 36, Utena</t>
  </si>
  <si>
    <t>Vaižganto g. 34a, Utena</t>
  </si>
  <si>
    <t>Aukštakalnio g. 6,8 , Utena</t>
  </si>
  <si>
    <t>Basanavičiaus g. 110 b, Utena</t>
  </si>
  <si>
    <t>Užpalių g.101, Utena</t>
  </si>
  <si>
    <t>Draugystės 16</t>
  </si>
  <si>
    <t>Draugystės 12</t>
  </si>
  <si>
    <t>Draugystės 7</t>
  </si>
  <si>
    <t>Šviesos 11</t>
  </si>
  <si>
    <t>Šviesos 14</t>
  </si>
  <si>
    <t>Sodų 13</t>
  </si>
  <si>
    <t>Elektrinės 15</t>
  </si>
  <si>
    <t>Šviesos 18</t>
  </si>
  <si>
    <t>Draugystės 8</t>
  </si>
  <si>
    <t>Pergalės 13</t>
  </si>
  <si>
    <t>Pergalės 47</t>
  </si>
  <si>
    <t>Draugystės 25</t>
  </si>
  <si>
    <t>Saulės 25</t>
  </si>
  <si>
    <t>Saulės 9</t>
  </si>
  <si>
    <t>Saulės 13</t>
  </si>
  <si>
    <r>
      <t xml:space="preserve">vidutinė lauko oro temperatūra: 1,5 </t>
    </r>
    <r>
      <rPr>
        <sz val="10"/>
        <color indexed="12"/>
        <rFont val="Calibri"/>
        <family val="2"/>
      </rPr>
      <t>°</t>
    </r>
    <r>
      <rPr>
        <i/>
        <sz val="10"/>
        <color indexed="12"/>
        <rFont val="Arial"/>
        <family val="2"/>
      </rPr>
      <t>C; dienolaipsniai 511,5</t>
    </r>
  </si>
  <si>
    <r>
      <t xml:space="preserve">vidutinė lauko oro temperatūra: 1,5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C; dienolaipsniai 511,5</t>
    </r>
  </si>
  <si>
    <t>Jaunystės 31</t>
  </si>
  <si>
    <t>Kudirkos 4a</t>
  </si>
  <si>
    <t>Vaižganto 58</t>
  </si>
  <si>
    <t>Maironio 11a</t>
  </si>
  <si>
    <t>Jaunystės 2</t>
  </si>
  <si>
    <t>Vaižganto 58e</t>
  </si>
  <si>
    <t>Laisvės al. 38</t>
  </si>
  <si>
    <t>Radvilų 10</t>
  </si>
  <si>
    <t>Bernotėno 3</t>
  </si>
  <si>
    <t>Maiironio 5</t>
  </si>
  <si>
    <t>vidutinė lauko oro temperatūra: 1,9 °C; dienolaipsniai 499,1</t>
  </si>
  <si>
    <t>vidutinė lauko oro temperatūra: 1,4 °C; dienolaipsniai 514,6</t>
  </si>
  <si>
    <t>vidutinė lauko oro temperatūra: 2,0 °C; dienolaipsniai 496</t>
  </si>
  <si>
    <t>J.Basanavičiaus g. 3</t>
  </si>
  <si>
    <t>Transporto g. 9</t>
  </si>
  <si>
    <t>Naujųjų Valkininkų g. 1</t>
  </si>
  <si>
    <t>Marcinkonių g. 22</t>
  </si>
  <si>
    <t>J.Basanavičiaus g. 5</t>
  </si>
  <si>
    <t>Marcinkonių g. 4</t>
  </si>
  <si>
    <t>Vytauto g. 22</t>
  </si>
  <si>
    <t>Z.Voronecko g. 1</t>
  </si>
  <si>
    <t>Marcinkonių g. 18</t>
  </si>
  <si>
    <t>Vytauto g. 56</t>
  </si>
  <si>
    <t>Aušrod g. 1</t>
  </si>
  <si>
    <t>J.Basanavičiaus g. 30</t>
  </si>
  <si>
    <t>M.K.Čiurlionio g. 10A</t>
  </si>
  <si>
    <t>Vytauto g. 25</t>
  </si>
  <si>
    <t>Marcinkonių g. 6</t>
  </si>
  <si>
    <t>Dzūkų g. 17</t>
  </si>
  <si>
    <t>Aušros g. 10</t>
  </si>
  <si>
    <t>Melioratorių g. 7</t>
  </si>
  <si>
    <t>Vasario 16-osios g.4</t>
  </si>
  <si>
    <t>M.K.Čiurlionio g. 37</t>
  </si>
  <si>
    <t>vidutinė lauko oro temperatūra: 1,9 °C; dienolaipsniai 499</t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</si>
  <si>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</si>
  <si>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</si>
  <si>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</si>
  <si>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</si>
  <si>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</si>
  <si>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t>vidutinė lauko oro temperatūra: 0,5 °C, dienolaipsniai 542,5</t>
  </si>
  <si>
    <t>Ateities g. 20, Ignalina (renv.)</t>
  </si>
  <si>
    <t>Atgimimo g. 14, Ignalina (renv. )</t>
  </si>
  <si>
    <t>Turistų g. 47, Ignalina (renv.)</t>
  </si>
  <si>
    <t>Aukštaičių g. 32, Ignalina</t>
  </si>
  <si>
    <t xml:space="preserve">Turistų g. 49, Ignalina </t>
  </si>
  <si>
    <t>Vasario 16-osios, Ignalina</t>
  </si>
  <si>
    <t>Smėlio g. 32, Ignalina</t>
  </si>
  <si>
    <t>Ligoninės g. 11, Ignalina</t>
  </si>
  <si>
    <t>Smėlio g. 26, Ignalina</t>
  </si>
  <si>
    <t xml:space="preserve">Ateities g. 10, Ignalina </t>
  </si>
  <si>
    <r>
      <t xml:space="preserve">vidutinė lauko oro temperatūra: 1,9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499,1</t>
    </r>
  </si>
  <si>
    <t>Statybininkų 19, Prienai(renov.)</t>
  </si>
  <si>
    <t>Vaitkaus 6, Prienai (renov.)</t>
  </si>
  <si>
    <t>Jaunimo 15, Balbieriškis</t>
  </si>
  <si>
    <t>Stadiono 24A, Prienai</t>
  </si>
  <si>
    <t>Basanavičiaus 15/2, Prienai</t>
  </si>
  <si>
    <t>Jaunimo 17, Balbieriškis</t>
  </si>
  <si>
    <t>Jaunimo 7, Balbieriškis</t>
  </si>
  <si>
    <t>Statybininkų 5  2L., Prienai</t>
  </si>
  <si>
    <t>Stadiono 24  2L.,Prienai</t>
  </si>
  <si>
    <t>Kęstučio 71, Prienai</t>
  </si>
  <si>
    <t>Stadiono 4  1L.,Prienai</t>
  </si>
  <si>
    <t>Stadiono 14  2L.,Prienai</t>
  </si>
  <si>
    <t>Statybininkų 7  1L., Prienai</t>
  </si>
  <si>
    <t>Statybininkų 9  1L., Prienai</t>
  </si>
  <si>
    <t>Stadiono 22  2 L., Prienai</t>
  </si>
  <si>
    <t>Vytauto 30, Prienai</t>
  </si>
  <si>
    <t>Laisvės a.3/14, Prienai</t>
  </si>
  <si>
    <t>Vytenio 14, Prienai</t>
  </si>
  <si>
    <t xml:space="preserve">vidutinė lauko oro temperatūra: 1,9 °C, dienolaipsniai </t>
  </si>
  <si>
    <t>P.Mašioto 53, Pakruojis</t>
  </si>
  <si>
    <t>Saulėtekio 36, Pakruojis</t>
  </si>
  <si>
    <t>Kruojos 4, Pakruojis</t>
  </si>
  <si>
    <t>V.Didžiojo 63a, Pakruojis</t>
  </si>
  <si>
    <t>P.Mašioto 43a, Pakruojis</t>
  </si>
  <si>
    <t>Saulėtekio 50, Pakruojis</t>
  </si>
  <si>
    <t>Taikos 30, Pakruojis</t>
  </si>
  <si>
    <t>Skvero 4, Pakruojo k.</t>
  </si>
  <si>
    <t>Mindaugo 2c, Pakruojis</t>
  </si>
  <si>
    <t>V.Didžiojo 27, Pakruojis</t>
  </si>
  <si>
    <t>vidutinė lauko oro temperatūra: 1,3 °C, dienolaipsniai 517,7</t>
  </si>
  <si>
    <t>Mindaugo 8, Trakai</t>
  </si>
  <si>
    <t>Trakų 16, Trakai</t>
  </si>
  <si>
    <t>Nerūdininkų 8, S.Trakai</t>
  </si>
  <si>
    <t>Vytauto 9a, Lentvaris</t>
  </si>
  <si>
    <t>Vytauto 78, Trakai</t>
  </si>
  <si>
    <t>Pakalnės 7, Lentvaris</t>
  </si>
  <si>
    <t>Sodų 23A, Lentvaris</t>
  </si>
  <si>
    <t>Vytauto 48B, Trakai</t>
  </si>
  <si>
    <t>Trakų 12, Trakai</t>
  </si>
  <si>
    <t>Birutės 41, Trakai</t>
  </si>
  <si>
    <t>Vytauto 6, Lentvaris</t>
  </si>
  <si>
    <t>Srebės 1A, Aukštadvaris</t>
  </si>
  <si>
    <t>Klevų al. 38/7, Lentvaris</t>
  </si>
  <si>
    <t>Vienuolyno 11A, Trakai</t>
  </si>
  <si>
    <t>Konduktorių 6a,Lentvaris</t>
  </si>
  <si>
    <t>Pakalnės 30, Lentvaris</t>
  </si>
  <si>
    <t>Bažnyčios 11, Lentvaris</t>
  </si>
  <si>
    <t>Technikumo 4, Aukštadvaris</t>
  </si>
  <si>
    <t>Lauko 8, Lentvaris</t>
  </si>
  <si>
    <t>Vidutinė lauko oro temperatūra: 1,7 °C, dienolaipsniai</t>
  </si>
  <si>
    <t>vidutinė lauko oro temperatūra: 1,9 °C, dienolaipsniai 499,1</t>
  </si>
  <si>
    <t>Stadiono 13 Akmenė (renov)</t>
  </si>
  <si>
    <t>Ramučių 39 Naujoji Akmenė (renov)</t>
  </si>
  <si>
    <t>Stadiono 17 Akmenė (renov)</t>
  </si>
  <si>
    <t>Respublikos 24 Naujoji Akmenė (renov)</t>
  </si>
  <si>
    <t>Ramučių 33 Naujoji Akmenė (renov)</t>
  </si>
  <si>
    <t>Nepriklausomybės 8 Naujoji Akmenė (renov)</t>
  </si>
  <si>
    <t>Nepriklausomybės 4 Naujoji Akmenė (renov)</t>
  </si>
  <si>
    <t>Sodo 7 Akmenė</t>
  </si>
  <si>
    <t>Respublikos 16 Naujoji Akmenė</t>
  </si>
  <si>
    <t>Respublikos 27 Naujoji Akmenė</t>
  </si>
  <si>
    <t>Stadiono 18 Akmenė</t>
  </si>
  <si>
    <t>Respublikos 13 Naujoji Akmenė</t>
  </si>
  <si>
    <t>Klykolių 40 Akmenė</t>
  </si>
  <si>
    <t>V.Kudirkos 4 Naujoji Akmenė</t>
  </si>
  <si>
    <t>V.Kudirkos 6 Naujoji Akmenė</t>
  </si>
  <si>
    <t>Žalgirio  15 Naujoji Akmenė</t>
  </si>
  <si>
    <t>Nepriklausomybės 33 Naujoji Akmenė</t>
  </si>
  <si>
    <t>Nepriklausomybės 29 naujoji Akmenė</t>
  </si>
  <si>
    <t>Bausko 8 Venta</t>
  </si>
  <si>
    <t>Žalgirio 3 Naujoji Akmenė</t>
  </si>
  <si>
    <t>Lazdijai (UAB "Lazdijų šiluma")</t>
  </si>
  <si>
    <t>vidutinė lauko oro temperatūra: 2,6 °C, dienolaipsniai 477</t>
  </si>
  <si>
    <t>Dzūkų 11</t>
  </si>
  <si>
    <t>Ateities 7,9</t>
  </si>
  <si>
    <t>Kailinių 5</t>
  </si>
  <si>
    <t>Dainavos 11</t>
  </si>
  <si>
    <t>Kauno 14</t>
  </si>
  <si>
    <t>Dainavos 12</t>
  </si>
  <si>
    <t>Dzūkų 15</t>
  </si>
  <si>
    <t>Dzūkų 9</t>
  </si>
  <si>
    <t>Dzūkų 13</t>
  </si>
  <si>
    <t>Montvilos 22</t>
  </si>
  <si>
    <t>Dainavos 13</t>
  </si>
  <si>
    <t>Gustaičio 11</t>
  </si>
  <si>
    <t>Dzūkų 17</t>
  </si>
  <si>
    <t>Montvilos 20</t>
  </si>
  <si>
    <t>Tiesos 8</t>
  </si>
  <si>
    <t>Gustaičio 13</t>
  </si>
  <si>
    <t>Ateities 5</t>
  </si>
  <si>
    <t>Ateities 3-II</t>
  </si>
  <si>
    <t>Montvilos 34-II</t>
  </si>
  <si>
    <t>Vilniaus 5</t>
  </si>
  <si>
    <t>Seinų 22</t>
  </si>
  <si>
    <t>Senamiesčio 9</t>
  </si>
  <si>
    <t>Vilniaus 14</t>
  </si>
  <si>
    <t>Montvilos 32 I</t>
  </si>
  <si>
    <t>Montvilos 32 II</t>
  </si>
  <si>
    <t>Kauno 1</t>
  </si>
  <si>
    <t>Anykščiai (UAB"Anykščių šiluma")</t>
  </si>
  <si>
    <t>vidutinė lauko oro temperatūra: 1,1 °C, dienolaipsniai 523,9</t>
  </si>
  <si>
    <t>Ažupiečių g.4</t>
  </si>
  <si>
    <t>j. Biliūno g.8</t>
  </si>
  <si>
    <t>Dariaus ir Girėno g.5</t>
  </si>
  <si>
    <t>Basanavičiaus g. 50</t>
  </si>
  <si>
    <t>j. Biliūno g. 20</t>
  </si>
  <si>
    <t>]44</t>
  </si>
  <si>
    <t>j. Biliūno g. 10</t>
  </si>
  <si>
    <t>Basanavičiaus g. 48</t>
  </si>
  <si>
    <t>Statybininkų g.19</t>
  </si>
  <si>
    <t>Statybininkų g.21</t>
  </si>
  <si>
    <t>Basanavičiaus g. 60</t>
  </si>
  <si>
    <t>Statybininkų g.23</t>
  </si>
  <si>
    <t>Gedimino g. 24, Kaišiadorys</t>
  </si>
  <si>
    <t xml:space="preserve">iki 1992m. </t>
  </si>
  <si>
    <t>Gedimino g. 22, Kaišiadorys</t>
  </si>
  <si>
    <t>Gedimino g. 98, Kaišiadorys</t>
  </si>
  <si>
    <t>Gedimino g. 26, Kaišiadorys</t>
  </si>
  <si>
    <t>Gedimino g. 90, Kaišiadorys</t>
  </si>
  <si>
    <t>Gedimino g. 94, Kaišiadorys</t>
  </si>
  <si>
    <t>Maironio g. 8, Kaišiadorys</t>
  </si>
  <si>
    <t>Girelės g. 49, Kaišiadorys</t>
  </si>
  <si>
    <t>Gedimino g. 28, Kaišiadorys</t>
  </si>
  <si>
    <t>Birutės g. 5, Kaišiadorys</t>
  </si>
  <si>
    <t>Gedimino g. 96, Kaišiadorys</t>
  </si>
  <si>
    <t>Gedimino g. 78, Kaišiadorys</t>
  </si>
  <si>
    <t>Gedimino g. 86 , Kaišiadorys</t>
  </si>
  <si>
    <t>Gedimino g. 100, Kaišiadorys</t>
  </si>
  <si>
    <t>Ateities g. 1, Stasiūnai</t>
  </si>
  <si>
    <t>Ateities g. 8, Stasiūnai</t>
  </si>
  <si>
    <t>Ateities g. 10, Stasiūnai</t>
  </si>
  <si>
    <t>Ateities g. 6, Stasiūnai</t>
  </si>
  <si>
    <t>Rožių g. 1, Žiežmariai</t>
  </si>
  <si>
    <t>Žąslių 62A, Žiežmariai</t>
  </si>
  <si>
    <t>Parko g. 6, Stasiūnai</t>
  </si>
  <si>
    <t>Parko g. 8, Stasiūnai</t>
  </si>
  <si>
    <t>Kaišiadorys (UAB"Kaišiadorių šiluma")</t>
  </si>
  <si>
    <t>Molėtai (UAB "Molėtų šiluma")</t>
  </si>
  <si>
    <t>vidutinė lauko oro temperatūra: 1,0 °C, dienolaipsniai 572,0</t>
  </si>
  <si>
    <t>Liepų g. 2 (renov)  5 auk.</t>
  </si>
  <si>
    <t>Liepų g. 23     5 auk.</t>
  </si>
  <si>
    <t>Liepų g. 25     5 auk.</t>
  </si>
  <si>
    <t>Liepų g. 21     5 auk.</t>
  </si>
  <si>
    <t>Liepų g. 5                   5 auk.</t>
  </si>
  <si>
    <t>Amatų g. 14a             4 auk.</t>
  </si>
  <si>
    <t>Mechanizatorių g. 4   4 auk.</t>
  </si>
  <si>
    <t>Liepų g. 9                   5 auk.</t>
  </si>
  <si>
    <t>Melioratorių g. 17       4 auk.</t>
  </si>
  <si>
    <t>Inturkės g. 47             2 auk.</t>
  </si>
  <si>
    <t>Statybininkų g. 3        2 auk.</t>
  </si>
  <si>
    <t>J. Janonio g. 4           2 auk.</t>
  </si>
  <si>
    <t>Vilniaus g. 34            2 auk.</t>
  </si>
  <si>
    <t>Ažubalių g. 14a         2 auk.</t>
  </si>
  <si>
    <t>Inturkės g. 37             2 auk.</t>
  </si>
  <si>
    <t>Inturkės g. 37            2 auk.</t>
  </si>
  <si>
    <t>Ažubalių g. 12           2 auk.</t>
  </si>
  <si>
    <t>Vilniaus g. 100          2 auk.</t>
  </si>
  <si>
    <t>Šakiai (UAB "Šakių šilumos tinklai")</t>
  </si>
  <si>
    <t>vidutinė lauko oro temperatūra: 2,6 °C, dienolaipsniai 477,0</t>
  </si>
  <si>
    <t>Kęstučio g. 21</t>
  </si>
  <si>
    <t>V. Kudirkos g. 82</t>
  </si>
  <si>
    <t>V. Kudirkos g. 43</t>
  </si>
  <si>
    <t>S. Banaičio g. 3</t>
  </si>
  <si>
    <t>Bažnyčios g. 13</t>
  </si>
  <si>
    <t>Gimnazijos g. 34</t>
  </si>
  <si>
    <t>Jaunystės takas 5</t>
  </si>
  <si>
    <t>V. Kudirkos g. 39</t>
  </si>
  <si>
    <t>J. Basanavičiaus g. 4</t>
  </si>
  <si>
    <t>S. Banaičio g. 4</t>
  </si>
  <si>
    <t>V. Kudirkos g. 70</t>
  </si>
  <si>
    <t>Nepriklausomybės g. 3</t>
  </si>
  <si>
    <t>Šaulių g. 26</t>
  </si>
  <si>
    <t>Vytauto g. 4</t>
  </si>
  <si>
    <t>V. Kudirkos g. 37</t>
  </si>
  <si>
    <t>V. Kudirkos g. 51</t>
  </si>
  <si>
    <t>Vasario 16-osios 9</t>
  </si>
  <si>
    <t>Šaulių g. 8</t>
  </si>
  <si>
    <t>Vytauto g. 10</t>
  </si>
  <si>
    <t>Šaulių g. 22</t>
  </si>
  <si>
    <t>V. Kudirkos g. 86</t>
  </si>
  <si>
    <t>Bažnyčios g. 15</t>
  </si>
  <si>
    <t>Šaulių g. 10</t>
  </si>
  <si>
    <t>Šaulių g. 12</t>
  </si>
  <si>
    <t>Vytauto g. 6</t>
  </si>
  <si>
    <t>V. Kudirkos g. 47</t>
  </si>
  <si>
    <t>V. Kudirkos g. 94</t>
  </si>
  <si>
    <t>Kęstučio g. 4</t>
  </si>
  <si>
    <t>Birštonas (UAB "Birštono šiluma")</t>
  </si>
  <si>
    <t>vidutinė lauko oro temperatūra: 1,5 °C, dienolaipsniai 512,0</t>
  </si>
  <si>
    <t>VYTAUTO 1A</t>
  </si>
  <si>
    <t>SRUOGOS 8</t>
  </si>
  <si>
    <t>SRUOGOS 10</t>
  </si>
  <si>
    <t>VILNIAUS 8</t>
  </si>
  <si>
    <t>VILNIAUS6</t>
  </si>
  <si>
    <t>VILNIAUS 10 III L.</t>
  </si>
  <si>
    <t>KĘSTUČIO 27 IIL.</t>
  </si>
  <si>
    <t>KĘSTUČIO 25 IIL.</t>
  </si>
  <si>
    <t>KĘSTUČIO27 IL.</t>
  </si>
  <si>
    <t>DAR.IR GIRĖNO 23A IIIL.</t>
  </si>
  <si>
    <t>Panevėžys (AB "Panevėžio energija")</t>
  </si>
  <si>
    <t>Vaitkaus g.6  (renov. tik pastatas)</t>
  </si>
  <si>
    <t>Klaipėdos g. 99 K2</t>
  </si>
  <si>
    <t>Margirio g. 9</t>
  </si>
  <si>
    <t>po 1992</t>
  </si>
  <si>
    <t>Klaipėdos g. 112</t>
  </si>
  <si>
    <t>Beržų g. 23</t>
  </si>
  <si>
    <t>Tulpių g. 3</t>
  </si>
  <si>
    <t>Vaitkaus g.9</t>
  </si>
  <si>
    <t>Statybininkų g. 11</t>
  </si>
  <si>
    <t>Nevėžio g. 40</t>
  </si>
  <si>
    <t>Vaitkaus g.3</t>
  </si>
  <si>
    <t>Ateities g. 32</t>
  </si>
  <si>
    <t>Ateities g. 14</t>
  </si>
  <si>
    <t>Kranto g. 25</t>
  </si>
  <si>
    <t>Basanavičiaus g.  1</t>
  </si>
  <si>
    <t>Vilniaus g. 16</t>
  </si>
  <si>
    <t>Vilties g. 47</t>
  </si>
  <si>
    <t>Vilties 8</t>
  </si>
  <si>
    <t>Aukštaičių g. 66</t>
  </si>
  <si>
    <t>Nepriklausomybės a. 9</t>
  </si>
  <si>
    <t>Įmonių g. 21</t>
  </si>
  <si>
    <t>Aldonos g. 3</t>
  </si>
  <si>
    <t>Janonio g. 8-10</t>
  </si>
  <si>
    <t>Švyturio g. 19</t>
  </si>
  <si>
    <t>Vilniaus g. 53-55</t>
  </si>
  <si>
    <t>Katedros g. 4</t>
  </si>
  <si>
    <t>Švyturio g. 27</t>
  </si>
  <si>
    <t>Kudirkos g. 3</t>
  </si>
  <si>
    <t>Liepų al. 17</t>
  </si>
  <si>
    <t>Respublikos 17</t>
  </si>
  <si>
    <t>Jakšto g. 8-10</t>
  </si>
  <si>
    <t>Nevėžio g. 24</t>
  </si>
  <si>
    <t>vidutinė lauko oro temperatūra: 1,8 C; dienolaipsniai: 502,2</t>
  </si>
  <si>
    <t>Tulpių g. 13 (renov)</t>
  </si>
  <si>
    <t>Molainių g. 8  (renov)</t>
  </si>
  <si>
    <t>Statybininkų g. 34 (renov)</t>
  </si>
  <si>
    <t>Klaipėdos g. 98 (renov)</t>
  </si>
  <si>
    <t>Beržų g. 31  (renov)</t>
  </si>
  <si>
    <t>Kniaudiškių g. 54 (renov)</t>
  </si>
  <si>
    <t>Nevėžio g. 40B (renov)</t>
  </si>
  <si>
    <t>Molainių g. 98 (renov)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</si>
</sst>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"/>
    <numFmt numFmtId="175" formatCode="#,##0.000"/>
  </numFmts>
  <fonts count="5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Calibri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5" xfId="0" applyNumberFormat="1" applyFont="1" applyFill="1" applyBorder="1" applyAlignment="1">
      <alignment/>
    </xf>
    <xf numFmtId="1" fontId="1" fillId="35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/>
    </xf>
    <xf numFmtId="2" fontId="1" fillId="35" borderId="22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left" indent="3"/>
    </xf>
    <xf numFmtId="2" fontId="1" fillId="35" borderId="22" xfId="0" applyNumberFormat="1" applyFont="1" applyFill="1" applyBorder="1" applyAlignment="1">
      <alignment horizontal="left" indent="3"/>
    </xf>
    <xf numFmtId="2" fontId="1" fillId="35" borderId="17" xfId="0" applyNumberFormat="1" applyFont="1" applyFill="1" applyBorder="1" applyAlignment="1">
      <alignment horizontal="left" indent="3"/>
    </xf>
    <xf numFmtId="2" fontId="1" fillId="35" borderId="15" xfId="0" applyNumberFormat="1" applyFont="1" applyFill="1" applyBorder="1" applyAlignment="1">
      <alignment horizontal="left" indent="3"/>
    </xf>
    <xf numFmtId="0" fontId="3" fillId="35" borderId="15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167" fontId="1" fillId="35" borderId="15" xfId="0" applyNumberFormat="1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35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33" borderId="23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1" fillId="33" borderId="14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1" fillId="33" borderId="2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1" fillId="35" borderId="14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5" xfId="0" applyFont="1" applyFill="1" applyBorder="1" applyAlignment="1">
      <alignment horizontal="center" vertical="top"/>
    </xf>
    <xf numFmtId="0" fontId="1" fillId="35" borderId="2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3" borderId="17" xfId="0" applyNumberFormat="1" applyFont="1" applyFill="1" applyBorder="1" applyAlignment="1" applyProtection="1">
      <alignment horizontal="center"/>
      <protection/>
    </xf>
    <xf numFmtId="2" fontId="1" fillId="34" borderId="14" xfId="0" applyNumberFormat="1" applyFont="1" applyFill="1" applyBorder="1" applyAlignment="1" applyProtection="1">
      <alignment horizontal="center"/>
      <protection locked="0"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center"/>
      <protection/>
    </xf>
    <xf numFmtId="2" fontId="1" fillId="34" borderId="17" xfId="0" applyNumberFormat="1" applyFont="1" applyFill="1" applyBorder="1" applyAlignment="1" applyProtection="1">
      <alignment horizontal="center"/>
      <protection/>
    </xf>
    <xf numFmtId="167" fontId="1" fillId="35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 locked="0"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35" borderId="17" xfId="0" applyNumberFormat="1" applyFont="1" applyFill="1" applyBorder="1" applyAlignment="1" applyProtection="1">
      <alignment horizontal="center"/>
      <protection/>
    </xf>
    <xf numFmtId="167" fontId="1" fillId="35" borderId="15" xfId="0" applyNumberFormat="1" applyFont="1" applyFill="1" applyBorder="1" applyAlignment="1" applyProtection="1">
      <alignment horizontal="center"/>
      <protection/>
    </xf>
    <xf numFmtId="2" fontId="1" fillId="35" borderId="15" xfId="0" applyNumberFormat="1" applyFont="1" applyFill="1" applyBorder="1" applyAlignment="1" applyProtection="1">
      <alignment horizontal="center"/>
      <protection locked="0"/>
    </xf>
    <xf numFmtId="2" fontId="1" fillId="35" borderId="15" xfId="0" applyNumberFormat="1" applyFont="1" applyFill="1" applyBorder="1" applyAlignment="1" applyProtection="1">
      <alignment horizontal="center"/>
      <protection/>
    </xf>
    <xf numFmtId="2" fontId="1" fillId="35" borderId="18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2" fontId="1" fillId="33" borderId="20" xfId="0" applyNumberFormat="1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/>
      <protection locked="0"/>
    </xf>
    <xf numFmtId="2" fontId="1" fillId="33" borderId="15" xfId="0" applyNumberFormat="1" applyFont="1" applyFill="1" applyBorder="1" applyAlignment="1" applyProtection="1">
      <alignment horizontal="center"/>
      <protection locked="0"/>
    </xf>
    <xf numFmtId="2" fontId="1" fillId="33" borderId="27" xfId="0" applyNumberFormat="1" applyFont="1" applyFill="1" applyBorder="1" applyAlignment="1" applyProtection="1">
      <alignment horizontal="center"/>
      <protection/>
    </xf>
    <xf numFmtId="2" fontId="1" fillId="33" borderId="18" xfId="0" applyNumberFormat="1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2" fontId="1" fillId="35" borderId="20" xfId="0" applyNumberFormat="1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/>
      <protection locked="0"/>
    </xf>
    <xf numFmtId="167" fontId="1" fillId="35" borderId="20" xfId="0" applyNumberFormat="1" applyFont="1" applyFill="1" applyBorder="1" applyAlignment="1" applyProtection="1">
      <alignment horizontal="center"/>
      <protection/>
    </xf>
    <xf numFmtId="2" fontId="1" fillId="35" borderId="20" xfId="0" applyNumberFormat="1" applyFont="1" applyFill="1" applyBorder="1" applyAlignment="1" applyProtection="1">
      <alignment horizontal="center"/>
      <protection/>
    </xf>
    <xf numFmtId="2" fontId="1" fillId="35" borderId="28" xfId="0" applyNumberFormat="1" applyFont="1" applyFill="1" applyBorder="1" applyAlignment="1" applyProtection="1">
      <alignment horizontal="center"/>
      <protection/>
    </xf>
    <xf numFmtId="167" fontId="1" fillId="33" borderId="20" xfId="0" applyNumberFormat="1" applyFont="1" applyFill="1" applyBorder="1" applyAlignment="1" applyProtection="1">
      <alignment horizontal="center"/>
      <protection/>
    </xf>
    <xf numFmtId="167" fontId="1" fillId="33" borderId="15" xfId="0" applyNumberFormat="1" applyFont="1" applyFill="1" applyBorder="1" applyAlignment="1" applyProtection="1">
      <alignment horizontal="center"/>
      <protection/>
    </xf>
    <xf numFmtId="2" fontId="1" fillId="33" borderId="19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 vertical="top"/>
    </xf>
    <xf numFmtId="1" fontId="1" fillId="33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vertical="center"/>
    </xf>
    <xf numFmtId="2" fontId="1" fillId="33" borderId="28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2" fontId="1" fillId="33" borderId="20" xfId="0" applyNumberFormat="1" applyFont="1" applyFill="1" applyBorder="1" applyAlignment="1">
      <alignment horizontal="center"/>
    </xf>
    <xf numFmtId="165" fontId="1" fillId="33" borderId="2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1" fillId="33" borderId="20" xfId="0" applyFont="1" applyFill="1" applyBorder="1" applyAlignment="1" applyProtection="1">
      <alignment/>
      <protection locked="0"/>
    </xf>
    <xf numFmtId="2" fontId="1" fillId="33" borderId="29" xfId="0" applyNumberFormat="1" applyFont="1" applyFill="1" applyBorder="1" applyAlignment="1" applyProtection="1">
      <alignment horizontal="center"/>
      <protection/>
    </xf>
    <xf numFmtId="166" fontId="1" fillId="33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/>
      <protection locked="0"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166" fontId="1" fillId="35" borderId="10" xfId="0" applyNumberFormat="1" applyFont="1" applyFill="1" applyBorder="1" applyAlignment="1" applyProtection="1">
      <alignment horizontal="center"/>
      <protection locked="0"/>
    </xf>
    <xf numFmtId="2" fontId="1" fillId="34" borderId="20" xfId="0" applyNumberFormat="1" applyFont="1" applyFill="1" applyBorder="1" applyAlignment="1" applyProtection="1">
      <alignment horizontal="center"/>
      <protection/>
    </xf>
    <xf numFmtId="167" fontId="1" fillId="34" borderId="20" xfId="0" applyNumberFormat="1" applyFont="1" applyFill="1" applyBorder="1" applyAlignment="1" applyProtection="1">
      <alignment horizontal="center"/>
      <protection/>
    </xf>
    <xf numFmtId="2" fontId="1" fillId="34" borderId="28" xfId="0" applyNumberFormat="1" applyFont="1" applyFill="1" applyBorder="1" applyAlignment="1" applyProtection="1">
      <alignment horizontal="center"/>
      <protection/>
    </xf>
    <xf numFmtId="167" fontId="1" fillId="34" borderId="15" xfId="0" applyNumberFormat="1" applyFont="1" applyFill="1" applyBorder="1" applyAlignment="1" applyProtection="1">
      <alignment horizontal="center"/>
      <protection/>
    </xf>
    <xf numFmtId="2" fontId="1" fillId="34" borderId="15" xfId="0" applyNumberFormat="1" applyFont="1" applyFill="1" applyBorder="1" applyAlignment="1" applyProtection="1">
      <alignment horizontal="center"/>
      <protection/>
    </xf>
    <xf numFmtId="2" fontId="1" fillId="34" borderId="18" xfId="0" applyNumberFormat="1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165" fontId="1" fillId="35" borderId="10" xfId="0" applyNumberFormat="1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/>
      <protection locked="0"/>
    </xf>
    <xf numFmtId="2" fontId="1" fillId="34" borderId="20" xfId="0" applyNumberFormat="1" applyFont="1" applyFill="1" applyBorder="1" applyAlignment="1" applyProtection="1">
      <alignment horizontal="center"/>
      <protection locked="0"/>
    </xf>
    <xf numFmtId="2" fontId="1" fillId="34" borderId="15" xfId="0" applyNumberFormat="1" applyFont="1" applyFill="1" applyBorder="1" applyAlignment="1" applyProtection="1">
      <alignment horizontal="center"/>
      <protection locked="0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wrapText="1"/>
    </xf>
    <xf numFmtId="0" fontId="1" fillId="0" borderId="33" xfId="0" applyFont="1" applyBorder="1" applyAlignment="1">
      <alignment/>
    </xf>
    <xf numFmtId="0" fontId="1" fillId="0" borderId="30" xfId="0" applyFont="1" applyBorder="1" applyAlignment="1">
      <alignment vertical="center"/>
    </xf>
    <xf numFmtId="0" fontId="1" fillId="0" borderId="31" xfId="0" applyFont="1" applyFill="1" applyBorder="1" applyAlignment="1">
      <alignment vertical="center" wrapText="1"/>
    </xf>
    <xf numFmtId="0" fontId="1" fillId="0" borderId="34" xfId="0" applyFont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top"/>
    </xf>
    <xf numFmtId="165" fontId="1" fillId="33" borderId="15" xfId="0" applyNumberFormat="1" applyFont="1" applyFill="1" applyBorder="1" applyAlignment="1">
      <alignment horizontal="center"/>
    </xf>
    <xf numFmtId="2" fontId="1" fillId="34" borderId="20" xfId="0" applyNumberFormat="1" applyFont="1" applyFill="1" applyBorder="1" applyAlignment="1">
      <alignment horizontal="center"/>
    </xf>
    <xf numFmtId="165" fontId="1" fillId="34" borderId="20" xfId="0" applyNumberFormat="1" applyFont="1" applyFill="1" applyBorder="1" applyAlignment="1">
      <alignment horizontal="center"/>
    </xf>
    <xf numFmtId="0" fontId="1" fillId="0" borderId="35" xfId="0" applyFont="1" applyBorder="1" applyAlignment="1">
      <alignment/>
    </xf>
    <xf numFmtId="166" fontId="1" fillId="33" borderId="15" xfId="0" applyNumberFormat="1" applyFont="1" applyFill="1" applyBorder="1" applyAlignment="1">
      <alignment horizontal="center"/>
    </xf>
    <xf numFmtId="2" fontId="1" fillId="35" borderId="18" xfId="0" applyNumberFormat="1" applyFont="1" applyFill="1" applyBorder="1" applyAlignment="1">
      <alignment horizontal="left" indent="3"/>
    </xf>
    <xf numFmtId="165" fontId="1" fillId="33" borderId="14" xfId="0" applyNumberFormat="1" applyFont="1" applyFill="1" applyBorder="1" applyAlignment="1" applyProtection="1">
      <alignment horizontal="center"/>
      <protection locked="0"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1" fillId="33" borderId="15" xfId="0" applyNumberFormat="1" applyFont="1" applyFill="1" applyBorder="1" applyAlignment="1" applyProtection="1">
      <alignment horizontal="center"/>
      <protection locked="0"/>
    </xf>
    <xf numFmtId="165" fontId="1" fillId="35" borderId="14" xfId="0" applyNumberFormat="1" applyFont="1" applyFill="1" applyBorder="1" applyAlignment="1" applyProtection="1">
      <alignment horizontal="center"/>
      <protection locked="0"/>
    </xf>
    <xf numFmtId="165" fontId="1" fillId="35" borderId="15" xfId="0" applyNumberFormat="1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center" vertical="center" wrapText="1"/>
    </xf>
    <xf numFmtId="165" fontId="1" fillId="33" borderId="20" xfId="0" applyNumberFormat="1" applyFont="1" applyFill="1" applyBorder="1" applyAlignment="1" applyProtection="1">
      <alignment horizontal="center"/>
      <protection locked="0"/>
    </xf>
    <xf numFmtId="2" fontId="1" fillId="35" borderId="14" xfId="0" applyNumberFormat="1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2" fontId="1" fillId="35" borderId="17" xfId="0" applyNumberFormat="1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/>
    </xf>
    <xf numFmtId="2" fontId="1" fillId="35" borderId="18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1" fillId="33" borderId="15" xfId="0" applyNumberFormat="1" applyFont="1" applyFill="1" applyBorder="1" applyAlignment="1" applyProtection="1">
      <alignment horizontal="center"/>
      <protection locked="0"/>
    </xf>
    <xf numFmtId="2" fontId="1" fillId="33" borderId="15" xfId="0" applyNumberFormat="1" applyFont="1" applyFill="1" applyBorder="1" applyAlignment="1" applyProtection="1">
      <alignment horizontal="center"/>
      <protection/>
    </xf>
    <xf numFmtId="1" fontId="1" fillId="35" borderId="14" xfId="0" applyNumberFormat="1" applyFont="1" applyFill="1" applyBorder="1" applyAlignment="1" applyProtection="1">
      <alignment horizontal="center"/>
      <protection locked="0"/>
    </xf>
    <xf numFmtId="1" fontId="1" fillId="35" borderId="10" xfId="0" applyNumberFormat="1" applyFont="1" applyFill="1" applyBorder="1" applyAlignment="1" applyProtection="1">
      <alignment horizontal="center"/>
      <protection locked="0"/>
    </xf>
    <xf numFmtId="1" fontId="1" fillId="34" borderId="14" xfId="0" applyNumberFormat="1" applyFont="1" applyFill="1" applyBorder="1" applyAlignment="1" applyProtection="1">
      <alignment horizontal="center"/>
      <protection locked="0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" fontId="1" fillId="34" borderId="15" xfId="0" applyNumberFormat="1" applyFont="1" applyFill="1" applyBorder="1" applyAlignment="1" applyProtection="1">
      <alignment horizontal="center"/>
      <protection locked="0"/>
    </xf>
    <xf numFmtId="2" fontId="1" fillId="33" borderId="16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166" fontId="1" fillId="35" borderId="10" xfId="0" applyNumberFormat="1" applyFont="1" applyFill="1" applyBorder="1" applyAlignment="1" applyProtection="1">
      <alignment horizontal="left" indent="4"/>
      <protection locked="0"/>
    </xf>
    <xf numFmtId="0" fontId="1" fillId="0" borderId="0" xfId="0" applyFont="1" applyBorder="1" applyAlignment="1">
      <alignment/>
    </xf>
    <xf numFmtId="167" fontId="1" fillId="35" borderId="10" xfId="0" applyNumberFormat="1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67" fontId="1" fillId="33" borderId="10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167" fontId="1" fillId="33" borderId="15" xfId="0" applyNumberFormat="1" applyFont="1" applyFill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167" fontId="1" fillId="35" borderId="14" xfId="0" applyNumberFormat="1" applyFont="1" applyFill="1" applyBorder="1" applyAlignment="1">
      <alignment horizontal="center"/>
    </xf>
    <xf numFmtId="167" fontId="1" fillId="35" borderId="15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165" fontId="1" fillId="34" borderId="15" xfId="0" applyNumberFormat="1" applyFont="1" applyFill="1" applyBorder="1" applyAlignment="1" applyProtection="1">
      <alignment horizontal="center"/>
      <protection locked="0"/>
    </xf>
    <xf numFmtId="165" fontId="1" fillId="34" borderId="14" xfId="0" applyNumberFormat="1" applyFont="1" applyFill="1" applyBorder="1" applyAlignment="1" applyProtection="1">
      <alignment horizontal="center"/>
      <protection locked="0"/>
    </xf>
    <xf numFmtId="2" fontId="1" fillId="33" borderId="14" xfId="0" applyNumberFormat="1" applyFont="1" applyFill="1" applyBorder="1" applyAlignment="1" applyProtection="1">
      <alignment horizontal="center"/>
      <protection locked="0"/>
    </xf>
    <xf numFmtId="167" fontId="1" fillId="33" borderId="14" xfId="0" applyNumberFormat="1" applyFont="1" applyFill="1" applyBorder="1" applyAlignment="1" applyProtection="1">
      <alignment horizontal="center"/>
      <protection/>
    </xf>
    <xf numFmtId="2" fontId="1" fillId="33" borderId="25" xfId="0" applyNumberFormat="1" applyFont="1" applyFill="1" applyBorder="1" applyAlignment="1" applyProtection="1">
      <alignment horizontal="center"/>
      <protection/>
    </xf>
    <xf numFmtId="167" fontId="1" fillId="33" borderId="20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/>
    </xf>
    <xf numFmtId="2" fontId="1" fillId="35" borderId="38" xfId="0" applyNumberFormat="1" applyFont="1" applyFill="1" applyBorder="1" applyAlignment="1">
      <alignment horizontal="center"/>
    </xf>
    <xf numFmtId="167" fontId="1" fillId="34" borderId="20" xfId="0" applyNumberFormat="1" applyFont="1" applyFill="1" applyBorder="1" applyAlignment="1">
      <alignment horizontal="center"/>
    </xf>
    <xf numFmtId="2" fontId="1" fillId="34" borderId="39" xfId="0" applyNumberFormat="1" applyFont="1" applyFill="1" applyBorder="1" applyAlignment="1">
      <alignment horizontal="center"/>
    </xf>
    <xf numFmtId="2" fontId="1" fillId="34" borderId="16" xfId="0" applyNumberFormat="1" applyFont="1" applyFill="1" applyBorder="1" applyAlignment="1">
      <alignment horizontal="center"/>
    </xf>
    <xf numFmtId="2" fontId="1" fillId="33" borderId="39" xfId="0" applyNumberFormat="1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/>
    </xf>
    <xf numFmtId="167" fontId="1" fillId="33" borderId="24" xfId="0" applyNumberFormat="1" applyFont="1" applyFill="1" applyBorder="1" applyAlignment="1">
      <alignment horizontal="center"/>
    </xf>
    <xf numFmtId="2" fontId="1" fillId="33" borderId="36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35" borderId="40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1" fillId="35" borderId="39" xfId="0" applyNumberFormat="1" applyFont="1" applyFill="1" applyBorder="1" applyAlignment="1">
      <alignment horizontal="center"/>
    </xf>
    <xf numFmtId="2" fontId="1" fillId="35" borderId="37" xfId="0" applyNumberFormat="1" applyFont="1" applyFill="1" applyBorder="1" applyAlignment="1">
      <alignment horizontal="center"/>
    </xf>
    <xf numFmtId="2" fontId="1" fillId="35" borderId="19" xfId="0" applyNumberFormat="1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 horizontal="center"/>
    </xf>
    <xf numFmtId="166" fontId="1" fillId="34" borderId="14" xfId="0" applyNumberFormat="1" applyFont="1" applyFill="1" applyBorder="1" applyAlignment="1" applyProtection="1">
      <alignment horizontal="center"/>
      <protection locked="0"/>
    </xf>
    <xf numFmtId="165" fontId="1" fillId="35" borderId="30" xfId="0" applyNumberFormat="1" applyFont="1" applyFill="1" applyBorder="1" applyAlignment="1" applyProtection="1">
      <alignment horizontal="center"/>
      <protection locked="0"/>
    </xf>
    <xf numFmtId="0" fontId="1" fillId="35" borderId="30" xfId="0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1" fontId="1" fillId="35" borderId="15" xfId="0" applyNumberFormat="1" applyFont="1" applyFill="1" applyBorder="1" applyAlignment="1" applyProtection="1">
      <alignment horizontal="center"/>
      <protection locked="0"/>
    </xf>
    <xf numFmtId="0" fontId="1" fillId="35" borderId="41" xfId="0" applyFon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2" fontId="1" fillId="35" borderId="21" xfId="0" applyNumberFormat="1" applyFont="1" applyFill="1" applyBorder="1" applyAlignment="1">
      <alignment horizontal="left" indent="3"/>
    </xf>
    <xf numFmtId="0" fontId="1" fillId="35" borderId="20" xfId="0" applyFont="1" applyFill="1" applyBorder="1" applyAlignment="1" applyProtection="1">
      <alignment horizontal="center"/>
      <protection locked="0"/>
    </xf>
    <xf numFmtId="2" fontId="1" fillId="34" borderId="30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left"/>
      <protection locked="0"/>
    </xf>
    <xf numFmtId="165" fontId="1" fillId="34" borderId="15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65" fontId="1" fillId="33" borderId="1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5" fontId="1" fillId="35" borderId="15" xfId="0" applyNumberFormat="1" applyFont="1" applyFill="1" applyBorder="1" applyAlignment="1">
      <alignment horizontal="center"/>
    </xf>
    <xf numFmtId="2" fontId="1" fillId="35" borderId="31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35" borderId="15" xfId="0" applyNumberFormat="1" applyFont="1" applyFill="1" applyBorder="1" applyAlignment="1">
      <alignment horizontal="center"/>
    </xf>
    <xf numFmtId="165" fontId="1" fillId="35" borderId="11" xfId="0" applyNumberFormat="1" applyFont="1" applyFill="1" applyBorder="1" applyAlignment="1">
      <alignment horizontal="center"/>
    </xf>
    <xf numFmtId="167" fontId="1" fillId="35" borderId="10" xfId="0" applyNumberFormat="1" applyFont="1" applyFill="1" applyBorder="1" applyAlignment="1" applyProtection="1">
      <alignment horizontal="center"/>
      <protection locked="0"/>
    </xf>
    <xf numFmtId="167" fontId="1" fillId="35" borderId="15" xfId="0" applyNumberFormat="1" applyFont="1" applyFill="1" applyBorder="1" applyAlignment="1" applyProtection="1">
      <alignment horizontal="center"/>
      <protection locked="0"/>
    </xf>
    <xf numFmtId="165" fontId="1" fillId="34" borderId="20" xfId="0" applyNumberFormat="1" applyFont="1" applyFill="1" applyBorder="1" applyAlignment="1" applyProtection="1">
      <alignment horizontal="center"/>
      <protection locked="0"/>
    </xf>
    <xf numFmtId="165" fontId="1" fillId="35" borderId="20" xfId="0" applyNumberFormat="1" applyFont="1" applyFill="1" applyBorder="1" applyAlignment="1" applyProtection="1">
      <alignment horizontal="center"/>
      <protection locked="0"/>
    </xf>
    <xf numFmtId="1" fontId="1" fillId="34" borderId="20" xfId="0" applyNumberFormat="1" applyFont="1" applyFill="1" applyBorder="1" applyAlignment="1" applyProtection="1">
      <alignment horizontal="center"/>
      <protection locked="0"/>
    </xf>
    <xf numFmtId="1" fontId="1" fillId="35" borderId="20" xfId="0" applyNumberFormat="1" applyFont="1" applyFill="1" applyBorder="1" applyAlignment="1" applyProtection="1">
      <alignment horizontal="center"/>
      <protection locked="0"/>
    </xf>
    <xf numFmtId="165" fontId="1" fillId="35" borderId="42" xfId="0" applyNumberFormat="1" applyFont="1" applyFill="1" applyBorder="1" applyAlignment="1">
      <alignment horizontal="center"/>
    </xf>
    <xf numFmtId="1" fontId="1" fillId="34" borderId="20" xfId="0" applyNumberFormat="1" applyFont="1" applyFill="1" applyBorder="1" applyAlignment="1">
      <alignment horizontal="center"/>
    </xf>
    <xf numFmtId="1" fontId="1" fillId="35" borderId="14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24" xfId="0" applyNumberFormat="1" applyFont="1" applyFill="1" applyBorder="1" applyAlignment="1">
      <alignment horizontal="center"/>
    </xf>
    <xf numFmtId="165" fontId="1" fillId="35" borderId="30" xfId="0" applyNumberFormat="1" applyFont="1" applyFill="1" applyBorder="1" applyAlignment="1">
      <alignment horizontal="center"/>
    </xf>
    <xf numFmtId="167" fontId="1" fillId="33" borderId="19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67" fontId="1" fillId="35" borderId="10" xfId="0" applyNumberFormat="1" applyFont="1" applyFill="1" applyBorder="1" applyAlignment="1" applyProtection="1">
      <alignment/>
      <protection/>
    </xf>
    <xf numFmtId="2" fontId="1" fillId="35" borderId="10" xfId="0" applyNumberFormat="1" applyFont="1" applyFill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 horizontal="left" indent="3"/>
      <protection/>
    </xf>
    <xf numFmtId="2" fontId="1" fillId="35" borderId="17" xfId="0" applyNumberFormat="1" applyFont="1" applyFill="1" applyBorder="1" applyAlignment="1" applyProtection="1">
      <alignment horizontal="left" indent="3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165" fontId="1" fillId="35" borderId="23" xfId="0" applyNumberFormat="1" applyFont="1" applyFill="1" applyBorder="1" applyAlignment="1" applyProtection="1">
      <alignment horizontal="center"/>
      <protection locked="0"/>
    </xf>
    <xf numFmtId="165" fontId="1" fillId="35" borderId="16" xfId="0" applyNumberFormat="1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/>
      <protection locked="0"/>
    </xf>
    <xf numFmtId="2" fontId="1" fillId="35" borderId="20" xfId="0" applyNumberFormat="1" applyFont="1" applyFill="1" applyBorder="1" applyAlignment="1" applyProtection="1">
      <alignment horizontal="left" indent="3"/>
      <protection/>
    </xf>
    <xf numFmtId="166" fontId="1" fillId="35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166" fontId="1" fillId="33" borderId="20" xfId="0" applyNumberFormat="1" applyFont="1" applyFill="1" applyBorder="1" applyAlignment="1" applyProtection="1">
      <alignment horizontal="center"/>
      <protection locked="0"/>
    </xf>
    <xf numFmtId="166" fontId="1" fillId="35" borderId="20" xfId="0" applyNumberFormat="1" applyFont="1" applyFill="1" applyBorder="1" applyAlignment="1" applyProtection="1">
      <alignment horizontal="center"/>
      <protection locked="0"/>
    </xf>
    <xf numFmtId="1" fontId="1" fillId="35" borderId="30" xfId="0" applyNumberFormat="1" applyFont="1" applyFill="1" applyBorder="1" applyAlignment="1" applyProtection="1">
      <alignment horizontal="center"/>
      <protection locked="0"/>
    </xf>
    <xf numFmtId="1" fontId="1" fillId="35" borderId="42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" fontId="1" fillId="35" borderId="10" xfId="0" applyNumberFormat="1" applyFont="1" applyFill="1" applyBorder="1" applyAlignment="1" applyProtection="1">
      <alignment/>
      <protection locked="0"/>
    </xf>
    <xf numFmtId="0" fontId="1" fillId="35" borderId="24" xfId="0" applyFont="1" applyFill="1" applyBorder="1" applyAlignment="1" applyProtection="1">
      <alignment horizontal="center"/>
      <protection locked="0"/>
    </xf>
    <xf numFmtId="0" fontId="1" fillId="35" borderId="3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0" fontId="1" fillId="35" borderId="23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>
      <alignment/>
    </xf>
    <xf numFmtId="2" fontId="1" fillId="35" borderId="27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3" fillId="35" borderId="30" xfId="0" applyFont="1" applyFill="1" applyBorder="1" applyAlignment="1" applyProtection="1">
      <alignment/>
      <protection locked="0"/>
    </xf>
    <xf numFmtId="2" fontId="1" fillId="33" borderId="30" xfId="0" applyNumberFormat="1" applyFont="1" applyFill="1" applyBorder="1" applyAlignment="1" applyProtection="1">
      <alignment horizontal="center"/>
      <protection locked="0"/>
    </xf>
    <xf numFmtId="2" fontId="1" fillId="35" borderId="30" xfId="0" applyNumberFormat="1" applyFont="1" applyFill="1" applyBorder="1" applyAlignment="1" applyProtection="1">
      <alignment horizontal="center"/>
      <protection locked="0"/>
    </xf>
    <xf numFmtId="165" fontId="1" fillId="33" borderId="30" xfId="0" applyNumberFormat="1" applyFont="1" applyFill="1" applyBorder="1" applyAlignment="1" applyProtection="1">
      <alignment horizontal="center"/>
      <protection locked="0"/>
    </xf>
    <xf numFmtId="166" fontId="1" fillId="35" borderId="14" xfId="0" applyNumberFormat="1" applyFont="1" applyFill="1" applyBorder="1" applyAlignment="1" applyProtection="1">
      <alignment horizontal="center"/>
      <protection locked="0"/>
    </xf>
    <xf numFmtId="1" fontId="1" fillId="33" borderId="14" xfId="0" applyNumberFormat="1" applyFont="1" applyFill="1" applyBorder="1" applyAlignment="1" applyProtection="1">
      <alignment horizontal="center"/>
      <protection locked="0"/>
    </xf>
    <xf numFmtId="1" fontId="1" fillId="33" borderId="30" xfId="0" applyNumberFormat="1" applyFont="1" applyFill="1" applyBorder="1" applyAlignment="1" applyProtection="1">
      <alignment horizontal="center"/>
      <protection locked="0"/>
    </xf>
    <xf numFmtId="2" fontId="1" fillId="34" borderId="24" xfId="0" applyNumberFormat="1" applyFont="1" applyFill="1" applyBorder="1" applyAlignment="1" applyProtection="1">
      <alignment horizontal="center"/>
      <protection locked="0"/>
    </xf>
    <xf numFmtId="1" fontId="1" fillId="34" borderId="11" xfId="0" applyNumberFormat="1" applyFont="1" applyFill="1" applyBorder="1" applyAlignment="1" applyProtection="1">
      <alignment horizontal="center"/>
      <protection locked="0"/>
    </xf>
    <xf numFmtId="165" fontId="1" fillId="35" borderId="24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/>
    </xf>
    <xf numFmtId="167" fontId="1" fillId="35" borderId="24" xfId="0" applyNumberFormat="1" applyFont="1" applyFill="1" applyBorder="1" applyAlignment="1" applyProtection="1">
      <alignment horizontal="center"/>
      <protection/>
    </xf>
    <xf numFmtId="167" fontId="1" fillId="35" borderId="30" xfId="0" applyNumberFormat="1" applyFont="1" applyFill="1" applyBorder="1" applyAlignment="1" applyProtection="1">
      <alignment horizontal="center"/>
      <protection/>
    </xf>
    <xf numFmtId="165" fontId="1" fillId="35" borderId="42" xfId="0" applyNumberFormat="1" applyFont="1" applyFill="1" applyBorder="1" applyAlignment="1" applyProtection="1">
      <alignment horizontal="center"/>
      <protection locked="0"/>
    </xf>
    <xf numFmtId="1" fontId="1" fillId="35" borderId="24" xfId="0" applyNumberFormat="1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>
      <alignment/>
    </xf>
    <xf numFmtId="0" fontId="1" fillId="35" borderId="43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/>
    </xf>
    <xf numFmtId="0" fontId="1" fillId="13" borderId="10" xfId="0" applyFont="1" applyFill="1" applyBorder="1" applyAlignment="1" applyProtection="1">
      <alignment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165" fontId="1" fillId="13" borderId="14" xfId="0" applyNumberFormat="1" applyFont="1" applyFill="1" applyBorder="1" applyAlignment="1" applyProtection="1">
      <alignment horizontal="center"/>
      <protection locked="0"/>
    </xf>
    <xf numFmtId="1" fontId="1" fillId="13" borderId="14" xfId="0" applyNumberFormat="1" applyFont="1" applyFill="1" applyBorder="1" applyAlignment="1" applyProtection="1">
      <alignment horizontal="center"/>
      <protection locked="0"/>
    </xf>
    <xf numFmtId="167" fontId="1" fillId="13" borderId="20" xfId="0" applyNumberFormat="1" applyFont="1" applyFill="1" applyBorder="1" applyAlignment="1" applyProtection="1">
      <alignment horizontal="center"/>
      <protection/>
    </xf>
    <xf numFmtId="2" fontId="1" fillId="13" borderId="20" xfId="0" applyNumberFormat="1" applyFont="1" applyFill="1" applyBorder="1" applyAlignment="1" applyProtection="1">
      <alignment horizontal="center"/>
      <protection locked="0"/>
    </xf>
    <xf numFmtId="2" fontId="1" fillId="13" borderId="20" xfId="0" applyNumberFormat="1" applyFont="1" applyFill="1" applyBorder="1" applyAlignment="1" applyProtection="1">
      <alignment horizontal="center"/>
      <protection/>
    </xf>
    <xf numFmtId="2" fontId="1" fillId="13" borderId="28" xfId="0" applyNumberFormat="1" applyFont="1" applyFill="1" applyBorder="1" applyAlignment="1" applyProtection="1">
      <alignment horizontal="center"/>
      <protection/>
    </xf>
    <xf numFmtId="0" fontId="1" fillId="13" borderId="16" xfId="0" applyFont="1" applyFill="1" applyBorder="1" applyAlignment="1">
      <alignment horizontal="center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17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left"/>
    </xf>
    <xf numFmtId="165" fontId="1" fillId="13" borderId="10" xfId="0" applyNumberFormat="1" applyFont="1" applyFill="1" applyBorder="1" applyAlignment="1">
      <alignment horizontal="center"/>
    </xf>
    <xf numFmtId="1" fontId="1" fillId="13" borderId="10" xfId="0" applyNumberFormat="1" applyFont="1" applyFill="1" applyBorder="1" applyAlignment="1">
      <alignment horizontal="center"/>
    </xf>
    <xf numFmtId="167" fontId="1" fillId="13" borderId="10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2" fontId="1" fillId="13" borderId="17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left" wrapText="1"/>
    </xf>
    <xf numFmtId="2" fontId="1" fillId="13" borderId="16" xfId="0" applyNumberFormat="1" applyFont="1" applyFill="1" applyBorder="1" applyAlignment="1">
      <alignment horizontal="center"/>
    </xf>
    <xf numFmtId="0" fontId="1" fillId="13" borderId="30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left"/>
    </xf>
    <xf numFmtId="0" fontId="1" fillId="13" borderId="15" xfId="0" applyFont="1" applyFill="1" applyBorder="1" applyAlignment="1">
      <alignment horizontal="center"/>
    </xf>
    <xf numFmtId="165" fontId="1" fillId="13" borderId="15" xfId="0" applyNumberFormat="1" applyFont="1" applyFill="1" applyBorder="1" applyAlignment="1">
      <alignment horizontal="center"/>
    </xf>
    <xf numFmtId="1" fontId="1" fillId="13" borderId="15" xfId="0" applyNumberFormat="1" applyFont="1" applyFill="1" applyBorder="1" applyAlignment="1">
      <alignment horizontal="center"/>
    </xf>
    <xf numFmtId="167" fontId="1" fillId="13" borderId="15" xfId="0" applyNumberFormat="1" applyFont="1" applyFill="1" applyBorder="1" applyAlignment="1">
      <alignment horizontal="center"/>
    </xf>
    <xf numFmtId="2" fontId="1" fillId="13" borderId="15" xfId="0" applyNumberFormat="1" applyFont="1" applyFill="1" applyBorder="1" applyAlignment="1">
      <alignment horizontal="center"/>
    </xf>
    <xf numFmtId="2" fontId="1" fillId="13" borderId="19" xfId="0" applyNumberFormat="1" applyFont="1" applyFill="1" applyBorder="1" applyAlignment="1">
      <alignment horizontal="center"/>
    </xf>
    <xf numFmtId="2" fontId="1" fillId="13" borderId="18" xfId="0" applyNumberFormat="1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165" fontId="1" fillId="13" borderId="20" xfId="0" applyNumberFormat="1" applyFont="1" applyFill="1" applyBorder="1" applyAlignment="1" applyProtection="1">
      <alignment horizontal="center"/>
      <protection locked="0"/>
    </xf>
    <xf numFmtId="0" fontId="1" fillId="13" borderId="15" xfId="0" applyFont="1" applyFill="1" applyBorder="1" applyAlignment="1" applyProtection="1">
      <alignment/>
      <protection locked="0"/>
    </xf>
    <xf numFmtId="0" fontId="1" fillId="13" borderId="15" xfId="0" applyFont="1" applyFill="1" applyBorder="1" applyAlignment="1" applyProtection="1">
      <alignment horizontal="center"/>
      <protection locked="0"/>
    </xf>
    <xf numFmtId="165" fontId="1" fillId="13" borderId="15" xfId="0" applyNumberFormat="1" applyFont="1" applyFill="1" applyBorder="1" applyAlignment="1" applyProtection="1">
      <alignment horizontal="center"/>
      <protection locked="0"/>
    </xf>
    <xf numFmtId="1" fontId="1" fillId="13" borderId="15" xfId="0" applyNumberFormat="1" applyFont="1" applyFill="1" applyBorder="1" applyAlignment="1" applyProtection="1">
      <alignment horizontal="center"/>
      <protection locked="0"/>
    </xf>
    <xf numFmtId="167" fontId="1" fillId="13" borderId="15" xfId="0" applyNumberFormat="1" applyFont="1" applyFill="1" applyBorder="1" applyAlignment="1" applyProtection="1">
      <alignment horizontal="center"/>
      <protection/>
    </xf>
    <xf numFmtId="2" fontId="1" fillId="13" borderId="15" xfId="0" applyNumberFormat="1" applyFont="1" applyFill="1" applyBorder="1" applyAlignment="1" applyProtection="1">
      <alignment horizontal="center"/>
      <protection/>
    </xf>
    <xf numFmtId="2" fontId="1" fillId="13" borderId="18" xfId="0" applyNumberFormat="1" applyFont="1" applyFill="1" applyBorder="1" applyAlignment="1" applyProtection="1">
      <alignment horizontal="center"/>
      <protection/>
    </xf>
    <xf numFmtId="0" fontId="1" fillId="13" borderId="14" xfId="0" applyFont="1" applyFill="1" applyBorder="1" applyAlignment="1">
      <alignment horizontal="center"/>
    </xf>
    <xf numFmtId="166" fontId="1" fillId="13" borderId="42" xfId="0" applyNumberFormat="1" applyFont="1" applyFill="1" applyBorder="1" applyAlignment="1" applyProtection="1">
      <alignment horizontal="center"/>
      <protection locked="0"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>
      <alignment horizontal="center" vertical="top"/>
    </xf>
    <xf numFmtId="166" fontId="1" fillId="13" borderId="11" xfId="0" applyNumberFormat="1" applyFont="1" applyFill="1" applyBorder="1" applyAlignment="1" applyProtection="1">
      <alignment horizontal="center"/>
      <protection locked="0"/>
    </xf>
    <xf numFmtId="2" fontId="1" fillId="13" borderId="15" xfId="0" applyNumberFormat="1" applyFont="1" applyFill="1" applyBorder="1" applyAlignment="1" applyProtection="1">
      <alignment horizontal="center"/>
      <protection locked="0"/>
    </xf>
    <xf numFmtId="0" fontId="1" fillId="13" borderId="14" xfId="0" applyFont="1" applyFill="1" applyBorder="1" applyAlignment="1">
      <alignment horizontal="center" vertical="top"/>
    </xf>
    <xf numFmtId="0" fontId="1" fillId="13" borderId="11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3" borderId="30" xfId="0" applyFont="1" applyFill="1" applyBorder="1" applyAlignment="1">
      <alignment horizontal="center" vertical="top"/>
    </xf>
    <xf numFmtId="0" fontId="1" fillId="13" borderId="10" xfId="0" applyFont="1" applyFill="1" applyBorder="1" applyAlignment="1">
      <alignment/>
    </xf>
    <xf numFmtId="0" fontId="1" fillId="13" borderId="20" xfId="0" applyFont="1" applyFill="1" applyBorder="1" applyAlignment="1">
      <alignment/>
    </xf>
    <xf numFmtId="166" fontId="1" fillId="13" borderId="20" xfId="0" applyNumberFormat="1" applyFont="1" applyFill="1" applyBorder="1" applyAlignment="1">
      <alignment horizontal="center"/>
    </xf>
    <xf numFmtId="165" fontId="1" fillId="13" borderId="20" xfId="0" applyNumberFormat="1" applyFont="1" applyFill="1" applyBorder="1" applyAlignment="1">
      <alignment horizontal="center"/>
    </xf>
    <xf numFmtId="1" fontId="1" fillId="13" borderId="20" xfId="0" applyNumberFormat="1" applyFont="1" applyFill="1" applyBorder="1" applyAlignment="1">
      <alignment horizontal="center"/>
    </xf>
    <xf numFmtId="167" fontId="1" fillId="13" borderId="20" xfId="0" applyNumberFormat="1" applyFont="1" applyFill="1" applyBorder="1" applyAlignment="1">
      <alignment horizontal="center"/>
    </xf>
    <xf numFmtId="2" fontId="1" fillId="13" borderId="20" xfId="0" applyNumberFormat="1" applyFont="1" applyFill="1" applyBorder="1" applyAlignment="1">
      <alignment horizontal="center"/>
    </xf>
    <xf numFmtId="2" fontId="1" fillId="13" borderId="28" xfId="0" applyNumberFormat="1" applyFont="1" applyFill="1" applyBorder="1" applyAlignment="1">
      <alignment horizontal="center"/>
    </xf>
    <xf numFmtId="0" fontId="1" fillId="13" borderId="15" xfId="0" applyFont="1" applyFill="1" applyBorder="1" applyAlignment="1">
      <alignment/>
    </xf>
    <xf numFmtId="0" fontId="1" fillId="13" borderId="20" xfId="0" applyFont="1" applyFill="1" applyBorder="1" applyAlignment="1" applyProtection="1">
      <alignment horizontal="center"/>
      <protection locked="0"/>
    </xf>
    <xf numFmtId="1" fontId="1" fillId="13" borderId="20" xfId="0" applyNumberFormat="1" applyFont="1" applyFill="1" applyBorder="1" applyAlignment="1" applyProtection="1">
      <alignment horizontal="center"/>
      <protection locked="0"/>
    </xf>
    <xf numFmtId="165" fontId="1" fillId="13" borderId="11" xfId="0" applyNumberFormat="1" applyFont="1" applyFill="1" applyBorder="1" applyAlignment="1" applyProtection="1">
      <alignment horizontal="center"/>
      <protection locked="0"/>
    </xf>
    <xf numFmtId="0" fontId="1" fillId="13" borderId="23" xfId="0" applyFont="1" applyFill="1" applyBorder="1" applyAlignment="1">
      <alignment/>
    </xf>
    <xf numFmtId="0" fontId="1" fillId="13" borderId="10" xfId="0" applyFont="1" applyFill="1" applyBorder="1" applyAlignment="1">
      <alignment horizontal="center" vertical="center"/>
    </xf>
    <xf numFmtId="165" fontId="1" fillId="13" borderId="10" xfId="0" applyNumberFormat="1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/>
    </xf>
    <xf numFmtId="165" fontId="1" fillId="13" borderId="14" xfId="0" applyNumberFormat="1" applyFont="1" applyFill="1" applyBorder="1" applyAlignment="1">
      <alignment horizontal="center"/>
    </xf>
    <xf numFmtId="1" fontId="1" fillId="13" borderId="14" xfId="0" applyNumberFormat="1" applyFont="1" applyFill="1" applyBorder="1" applyAlignment="1">
      <alignment horizontal="center"/>
    </xf>
    <xf numFmtId="2" fontId="1" fillId="13" borderId="14" xfId="0" applyNumberFormat="1" applyFont="1" applyFill="1" applyBorder="1" applyAlignment="1">
      <alignment horizontal="center"/>
    </xf>
    <xf numFmtId="2" fontId="1" fillId="13" borderId="29" xfId="0" applyNumberFormat="1" applyFont="1" applyFill="1" applyBorder="1" applyAlignment="1">
      <alignment horizontal="center"/>
    </xf>
    <xf numFmtId="165" fontId="1" fillId="13" borderId="11" xfId="0" applyNumberFormat="1" applyFont="1" applyFill="1" applyBorder="1" applyAlignment="1">
      <alignment horizontal="center"/>
    </xf>
    <xf numFmtId="167" fontId="1" fillId="13" borderId="39" xfId="0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 horizontal="center"/>
    </xf>
    <xf numFmtId="2" fontId="1" fillId="13" borderId="37" xfId="0" applyNumberFormat="1" applyFont="1" applyFill="1" applyBorder="1" applyAlignment="1">
      <alignment horizontal="center"/>
    </xf>
    <xf numFmtId="0" fontId="3" fillId="13" borderId="15" xfId="0" applyFont="1" applyFill="1" applyBorder="1" applyAlignment="1">
      <alignment/>
    </xf>
    <xf numFmtId="165" fontId="1" fillId="13" borderId="42" xfId="0" applyNumberFormat="1" applyFont="1" applyFill="1" applyBorder="1" applyAlignment="1">
      <alignment horizontal="center"/>
    </xf>
    <xf numFmtId="2" fontId="1" fillId="13" borderId="38" xfId="0" applyNumberFormat="1" applyFont="1" applyFill="1" applyBorder="1" applyAlignment="1">
      <alignment horizontal="center"/>
    </xf>
    <xf numFmtId="2" fontId="1" fillId="13" borderId="40" xfId="0" applyNumberFormat="1" applyFont="1" applyFill="1" applyBorder="1" applyAlignment="1">
      <alignment horizontal="center"/>
    </xf>
    <xf numFmtId="2" fontId="1" fillId="13" borderId="39" xfId="0" applyNumberFormat="1" applyFont="1" applyFill="1" applyBorder="1" applyAlignment="1">
      <alignment horizontal="center"/>
    </xf>
    <xf numFmtId="165" fontId="1" fillId="13" borderId="24" xfId="0" applyNumberFormat="1" applyFont="1" applyFill="1" applyBorder="1" applyAlignment="1">
      <alignment horizontal="center"/>
    </xf>
    <xf numFmtId="2" fontId="1" fillId="13" borderId="27" xfId="0" applyNumberFormat="1" applyFont="1" applyFill="1" applyBorder="1" applyAlignment="1">
      <alignment horizontal="center"/>
    </xf>
    <xf numFmtId="167" fontId="1" fillId="13" borderId="14" xfId="0" applyNumberFormat="1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 vertical="top"/>
    </xf>
    <xf numFmtId="167" fontId="1" fillId="13" borderId="14" xfId="0" applyNumberFormat="1" applyFont="1" applyFill="1" applyBorder="1" applyAlignment="1" applyProtection="1">
      <alignment horizontal="center"/>
      <protection/>
    </xf>
    <xf numFmtId="2" fontId="1" fillId="13" borderId="14" xfId="0" applyNumberFormat="1" applyFont="1" applyFill="1" applyBorder="1" applyAlignment="1" applyProtection="1">
      <alignment horizontal="center"/>
      <protection locked="0"/>
    </xf>
    <xf numFmtId="2" fontId="1" fillId="13" borderId="14" xfId="0" applyNumberFormat="1" applyFont="1" applyFill="1" applyBorder="1" applyAlignment="1" applyProtection="1">
      <alignment horizontal="center"/>
      <protection/>
    </xf>
    <xf numFmtId="2" fontId="1" fillId="13" borderId="29" xfId="0" applyNumberFormat="1" applyFont="1" applyFill="1" applyBorder="1" applyAlignment="1" applyProtection="1">
      <alignment horizontal="center"/>
      <protection/>
    </xf>
    <xf numFmtId="165" fontId="1" fillId="13" borderId="30" xfId="0" applyNumberFormat="1" applyFont="1" applyFill="1" applyBorder="1" applyAlignment="1" applyProtection="1">
      <alignment horizontal="center"/>
      <protection locked="0"/>
    </xf>
    <xf numFmtId="2" fontId="1" fillId="13" borderId="30" xfId="0" applyNumberFormat="1" applyFont="1" applyFill="1" applyBorder="1" applyAlignment="1" applyProtection="1">
      <alignment horizontal="center"/>
      <protection locked="0"/>
    </xf>
    <xf numFmtId="0" fontId="1" fillId="13" borderId="20" xfId="0" applyFont="1" applyFill="1" applyBorder="1" applyAlignment="1">
      <alignment horizontal="center" vertical="top"/>
    </xf>
    <xf numFmtId="0" fontId="1" fillId="13" borderId="10" xfId="0" applyFont="1" applyFill="1" applyBorder="1" applyAlignment="1" applyProtection="1">
      <alignment/>
      <protection locked="0"/>
    </xf>
    <xf numFmtId="0" fontId="1" fillId="13" borderId="15" xfId="0" applyFont="1" applyFill="1" applyBorder="1" applyAlignment="1" applyProtection="1">
      <alignment/>
      <protection locked="0"/>
    </xf>
    <xf numFmtId="1" fontId="1" fillId="13" borderId="30" xfId="0" applyNumberFormat="1" applyFont="1" applyFill="1" applyBorder="1" applyAlignment="1" applyProtection="1">
      <alignment horizontal="center"/>
      <protection locked="0"/>
    </xf>
    <xf numFmtId="0" fontId="1" fillId="13" borderId="14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2" fontId="1" fillId="36" borderId="27" xfId="0" applyNumberFormat="1" applyFont="1" applyFill="1" applyBorder="1" applyAlignment="1" applyProtection="1">
      <alignment horizontal="center"/>
      <protection/>
    </xf>
    <xf numFmtId="2" fontId="1" fillId="36" borderId="29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17" xfId="0" applyNumberFormat="1" applyFont="1" applyFill="1" applyBorder="1" applyAlignment="1" applyProtection="1">
      <alignment horizontal="center"/>
      <protection/>
    </xf>
    <xf numFmtId="0" fontId="1" fillId="0" borderId="35" xfId="0" applyFont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8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/>
    </xf>
    <xf numFmtId="0" fontId="1" fillId="38" borderId="15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39" borderId="14" xfId="0" applyFont="1" applyFill="1" applyBorder="1" applyAlignment="1">
      <alignment/>
    </xf>
    <xf numFmtId="0" fontId="1" fillId="39" borderId="14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39" borderId="11" xfId="0" applyFont="1" applyFill="1" applyBorder="1" applyAlignment="1">
      <alignment/>
    </xf>
    <xf numFmtId="0" fontId="1" fillId="39" borderId="11" xfId="0" applyFont="1" applyFill="1" applyBorder="1" applyAlignment="1">
      <alignment horizontal="center"/>
    </xf>
    <xf numFmtId="0" fontId="1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2" fontId="1" fillId="38" borderId="15" xfId="0" applyNumberFormat="1" applyFont="1" applyFill="1" applyBorder="1" applyAlignment="1">
      <alignment horizontal="center"/>
    </xf>
    <xf numFmtId="0" fontId="1" fillId="13" borderId="20" xfId="0" applyFont="1" applyFill="1" applyBorder="1" applyAlignment="1" applyProtection="1">
      <alignment/>
      <protection locked="0"/>
    </xf>
    <xf numFmtId="0" fontId="1" fillId="39" borderId="14" xfId="0" applyFont="1" applyFill="1" applyBorder="1" applyAlignment="1" applyProtection="1">
      <alignment horizontal="center"/>
      <protection locked="0"/>
    </xf>
    <xf numFmtId="0" fontId="1" fillId="39" borderId="10" xfId="0" applyFont="1" applyFill="1" applyBorder="1" applyAlignment="1" applyProtection="1">
      <alignment horizontal="center"/>
      <protection locked="0"/>
    </xf>
    <xf numFmtId="0" fontId="1" fillId="39" borderId="15" xfId="0" applyFont="1" applyFill="1" applyBorder="1" applyAlignment="1" applyProtection="1">
      <alignment horizontal="center"/>
      <protection locked="0"/>
    </xf>
    <xf numFmtId="2" fontId="1" fillId="13" borderId="11" xfId="0" applyNumberFormat="1" applyFont="1" applyFill="1" applyBorder="1" applyAlignment="1" applyProtection="1">
      <alignment horizontal="center"/>
      <protection/>
    </xf>
    <xf numFmtId="2" fontId="1" fillId="13" borderId="12" xfId="0" applyNumberFormat="1" applyFont="1" applyFill="1" applyBorder="1" applyAlignment="1" applyProtection="1">
      <alignment horizontal="center"/>
      <protection/>
    </xf>
    <xf numFmtId="0" fontId="1" fillId="35" borderId="10" xfId="62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62" applyFont="1" applyFill="1" applyBorder="1" applyAlignment="1" applyProtection="1">
      <alignment horizontal="center" vertical="center"/>
      <protection locked="0"/>
    </xf>
    <xf numFmtId="0" fontId="1" fillId="35" borderId="15" xfId="62" applyNumberFormat="1" applyFont="1" applyFill="1" applyBorder="1" applyAlignment="1" applyProtection="1">
      <alignment horizontal="center" vertical="center" wrapText="1"/>
      <protection locked="0"/>
    </xf>
    <xf numFmtId="0" fontId="1" fillId="35" borderId="15" xfId="62" applyFont="1" applyFill="1" applyBorder="1" applyAlignment="1" applyProtection="1">
      <alignment horizontal="center" vertical="center"/>
      <protection locked="0"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/>
    </xf>
    <xf numFmtId="2" fontId="1" fillId="39" borderId="14" xfId="0" applyNumberFormat="1" applyFont="1" applyFill="1" applyBorder="1" applyAlignment="1" applyProtection="1">
      <alignment horizontal="center"/>
      <protection/>
    </xf>
    <xf numFmtId="2" fontId="1" fillId="39" borderId="29" xfId="0" applyNumberFormat="1" applyFont="1" applyFill="1" applyBorder="1" applyAlignment="1" applyProtection="1">
      <alignment horizontal="center"/>
      <protection/>
    </xf>
    <xf numFmtId="2" fontId="1" fillId="39" borderId="10" xfId="0" applyNumberFormat="1" applyFont="1" applyFill="1" applyBorder="1" applyAlignment="1" applyProtection="1">
      <alignment horizontal="center"/>
      <protection/>
    </xf>
    <xf numFmtId="2" fontId="1" fillId="39" borderId="17" xfId="0" applyNumberFormat="1" applyFont="1" applyFill="1" applyBorder="1" applyAlignment="1" applyProtection="1">
      <alignment horizontal="center"/>
      <protection/>
    </xf>
    <xf numFmtId="0" fontId="1" fillId="39" borderId="16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0" fontId="1" fillId="39" borderId="15" xfId="0" applyFont="1" applyFill="1" applyBorder="1" applyAlignment="1">
      <alignment/>
    </xf>
    <xf numFmtId="0" fontId="1" fillId="38" borderId="14" xfId="0" applyFont="1" applyFill="1" applyBorder="1" applyAlignment="1" applyProtection="1">
      <alignment/>
      <protection locked="0"/>
    </xf>
    <xf numFmtId="0" fontId="1" fillId="38" borderId="14" xfId="0" applyFont="1" applyFill="1" applyBorder="1" applyAlignment="1" applyProtection="1">
      <alignment horizontal="center"/>
      <protection locked="0"/>
    </xf>
    <xf numFmtId="0" fontId="1" fillId="38" borderId="10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 horizontal="center"/>
      <protection locked="0"/>
    </xf>
    <xf numFmtId="0" fontId="1" fillId="38" borderId="15" xfId="0" applyFont="1" applyFill="1" applyBorder="1" applyAlignment="1" applyProtection="1">
      <alignment/>
      <protection locked="0"/>
    </xf>
    <xf numFmtId="0" fontId="1" fillId="38" borderId="15" xfId="0" applyFont="1" applyFill="1" applyBorder="1" applyAlignment="1" applyProtection="1">
      <alignment horizontal="center"/>
      <protection locked="0"/>
    </xf>
    <xf numFmtId="0" fontId="1" fillId="39" borderId="14" xfId="0" applyFont="1" applyFill="1" applyBorder="1" applyAlignment="1" applyProtection="1">
      <alignment/>
      <protection locked="0"/>
    </xf>
    <xf numFmtId="0" fontId="1" fillId="39" borderId="10" xfId="0" applyFont="1" applyFill="1" applyBorder="1" applyAlignment="1" applyProtection="1">
      <alignment/>
      <protection locked="0"/>
    </xf>
    <xf numFmtId="0" fontId="1" fillId="39" borderId="15" xfId="0" applyFont="1" applyFill="1" applyBorder="1" applyAlignment="1" applyProtection="1">
      <alignment/>
      <protection locked="0"/>
    </xf>
    <xf numFmtId="0" fontId="1" fillId="36" borderId="14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0" fontId="3" fillId="38" borderId="10" xfId="0" applyFont="1" applyFill="1" applyBorder="1" applyAlignment="1" applyProtection="1">
      <alignment/>
      <protection locked="0"/>
    </xf>
    <xf numFmtId="0" fontId="3" fillId="38" borderId="15" xfId="0" applyFont="1" applyFill="1" applyBorder="1" applyAlignment="1" applyProtection="1">
      <alignment/>
      <protection locked="0"/>
    </xf>
    <xf numFmtId="0" fontId="1" fillId="40" borderId="15" xfId="0" applyFont="1" applyFill="1" applyBorder="1" applyAlignment="1">
      <alignment horizontal="center"/>
    </xf>
    <xf numFmtId="1" fontId="1" fillId="40" borderId="15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left"/>
    </xf>
    <xf numFmtId="165" fontId="1" fillId="39" borderId="15" xfId="0" applyNumberFormat="1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167" fontId="1" fillId="39" borderId="15" xfId="0" applyNumberFormat="1" applyFont="1" applyFill="1" applyBorder="1" applyAlignment="1">
      <alignment horizontal="center"/>
    </xf>
    <xf numFmtId="2" fontId="1" fillId="39" borderId="15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2" fontId="1" fillId="39" borderId="18" xfId="0" applyNumberFormat="1" applyFont="1" applyFill="1" applyBorder="1" applyAlignment="1">
      <alignment horizontal="center"/>
    </xf>
    <xf numFmtId="0" fontId="1" fillId="13" borderId="14" xfId="0" applyFont="1" applyFill="1" applyBorder="1" applyAlignment="1" applyProtection="1">
      <alignment horizontal="center"/>
      <protection locked="0"/>
    </xf>
    <xf numFmtId="0" fontId="1" fillId="39" borderId="20" xfId="0" applyFont="1" applyFill="1" applyBorder="1" applyAlignment="1">
      <alignment horizontal="center"/>
    </xf>
    <xf numFmtId="0" fontId="1" fillId="39" borderId="20" xfId="0" applyFont="1" applyFill="1" applyBorder="1" applyAlignment="1" applyProtection="1">
      <alignment horizontal="center"/>
      <protection locked="0"/>
    </xf>
    <xf numFmtId="2" fontId="1" fillId="36" borderId="15" xfId="0" applyNumberFormat="1" applyFont="1" applyFill="1" applyBorder="1" applyAlignment="1" applyProtection="1">
      <alignment horizontal="center"/>
      <protection/>
    </xf>
    <xf numFmtId="2" fontId="1" fillId="36" borderId="18" xfId="0" applyNumberFormat="1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>
      <alignment horizontal="center"/>
    </xf>
    <xf numFmtId="0" fontId="1" fillId="39" borderId="20" xfId="0" applyFont="1" applyFill="1" applyBorder="1" applyAlignment="1">
      <alignment/>
    </xf>
    <xf numFmtId="2" fontId="1" fillId="33" borderId="14" xfId="0" applyNumberFormat="1" applyFont="1" applyFill="1" applyBorder="1" applyAlignment="1">
      <alignment horizontal="center"/>
    </xf>
    <xf numFmtId="2" fontId="1" fillId="33" borderId="29" xfId="0" applyNumberFormat="1" applyFont="1" applyFill="1" applyBorder="1" applyAlignment="1">
      <alignment horizontal="center"/>
    </xf>
    <xf numFmtId="2" fontId="1" fillId="39" borderId="14" xfId="0" applyNumberFormat="1" applyFont="1" applyFill="1" applyBorder="1" applyAlignment="1">
      <alignment horizontal="center"/>
    </xf>
    <xf numFmtId="165" fontId="1" fillId="39" borderId="14" xfId="0" applyNumberFormat="1" applyFont="1" applyFill="1" applyBorder="1" applyAlignment="1">
      <alignment horizontal="center"/>
    </xf>
    <xf numFmtId="2" fontId="1" fillId="39" borderId="29" xfId="0" applyNumberFormat="1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165" fontId="1" fillId="39" borderId="20" xfId="0" applyNumberFormat="1" applyFont="1" applyFill="1" applyBorder="1" applyAlignment="1">
      <alignment horizontal="center"/>
    </xf>
    <xf numFmtId="2" fontId="1" fillId="39" borderId="20" xfId="0" applyNumberFormat="1" applyFont="1" applyFill="1" applyBorder="1" applyAlignment="1">
      <alignment horizontal="center"/>
    </xf>
    <xf numFmtId="2" fontId="1" fillId="39" borderId="28" xfId="0" applyNumberFormat="1" applyFont="1" applyFill="1" applyBorder="1" applyAlignment="1">
      <alignment horizontal="center"/>
    </xf>
    <xf numFmtId="2" fontId="1" fillId="39" borderId="11" xfId="0" applyNumberFormat="1" applyFont="1" applyFill="1" applyBorder="1" applyAlignment="1">
      <alignment horizontal="center"/>
    </xf>
    <xf numFmtId="2" fontId="1" fillId="38" borderId="14" xfId="0" applyNumberFormat="1" applyFont="1" applyFill="1" applyBorder="1" applyAlignment="1">
      <alignment horizontal="center"/>
    </xf>
    <xf numFmtId="165" fontId="1" fillId="38" borderId="14" xfId="0" applyNumberFormat="1" applyFont="1" applyFill="1" applyBorder="1" applyAlignment="1">
      <alignment horizontal="center"/>
    </xf>
    <xf numFmtId="2" fontId="1" fillId="38" borderId="29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165" fontId="1" fillId="38" borderId="20" xfId="0" applyNumberFormat="1" applyFont="1" applyFill="1" applyBorder="1" applyAlignment="1">
      <alignment horizontal="center"/>
    </xf>
    <xf numFmtId="2" fontId="1" fillId="38" borderId="20" xfId="0" applyNumberFormat="1" applyFont="1" applyFill="1" applyBorder="1" applyAlignment="1">
      <alignment horizontal="center"/>
    </xf>
    <xf numFmtId="2" fontId="1" fillId="38" borderId="28" xfId="0" applyNumberFormat="1" applyFont="1" applyFill="1" applyBorder="1" applyAlignment="1">
      <alignment horizontal="center"/>
    </xf>
    <xf numFmtId="165" fontId="1" fillId="38" borderId="30" xfId="0" applyNumberFormat="1" applyFont="1" applyFill="1" applyBorder="1" applyAlignment="1">
      <alignment horizontal="center"/>
    </xf>
    <xf numFmtId="2" fontId="1" fillId="38" borderId="30" xfId="0" applyNumberFormat="1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165" fontId="1" fillId="40" borderId="10" xfId="0" applyNumberFormat="1" applyFont="1" applyFill="1" applyBorder="1" applyAlignment="1">
      <alignment horizontal="center"/>
    </xf>
    <xf numFmtId="1" fontId="1" fillId="40" borderId="10" xfId="0" applyNumberFormat="1" applyFont="1" applyFill="1" applyBorder="1" applyAlignment="1">
      <alignment horizontal="center"/>
    </xf>
    <xf numFmtId="167" fontId="1" fillId="40" borderId="10" xfId="0" applyNumberFormat="1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center"/>
    </xf>
    <xf numFmtId="2" fontId="1" fillId="40" borderId="28" xfId="0" applyNumberFormat="1" applyFont="1" applyFill="1" applyBorder="1" applyAlignment="1">
      <alignment horizontal="center"/>
    </xf>
    <xf numFmtId="0" fontId="1" fillId="13" borderId="14" xfId="0" applyFont="1" applyFill="1" applyBorder="1" applyAlignment="1" applyProtection="1">
      <alignment/>
      <protection locked="0"/>
    </xf>
    <xf numFmtId="0" fontId="1" fillId="40" borderId="14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1" fillId="40" borderId="2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1" xfId="0" applyFont="1" applyFill="1" applyBorder="1" applyAlignment="1">
      <alignment horizontal="center"/>
    </xf>
    <xf numFmtId="167" fontId="1" fillId="36" borderId="14" xfId="0" applyNumberFormat="1" applyFont="1" applyFill="1" applyBorder="1" applyAlignment="1">
      <alignment horizontal="center"/>
    </xf>
    <xf numFmtId="167" fontId="1" fillId="36" borderId="10" xfId="0" applyNumberFormat="1" applyFont="1" applyFill="1" applyBorder="1" applyAlignment="1">
      <alignment horizontal="center"/>
    </xf>
    <xf numFmtId="167" fontId="1" fillId="37" borderId="10" xfId="0" applyNumberFormat="1" applyFont="1" applyFill="1" applyBorder="1" applyAlignment="1">
      <alignment horizontal="center"/>
    </xf>
    <xf numFmtId="167" fontId="1" fillId="39" borderId="14" xfId="0" applyNumberFormat="1" applyFont="1" applyFill="1" applyBorder="1" applyAlignment="1">
      <alignment horizontal="center"/>
    </xf>
    <xf numFmtId="167" fontId="1" fillId="39" borderId="10" xfId="0" applyNumberFormat="1" applyFont="1" applyFill="1" applyBorder="1" applyAlignment="1">
      <alignment horizontal="center"/>
    </xf>
    <xf numFmtId="167" fontId="1" fillId="39" borderId="11" xfId="0" applyNumberFormat="1" applyFont="1" applyFill="1" applyBorder="1" applyAlignment="1">
      <alignment horizontal="center"/>
    </xf>
    <xf numFmtId="167" fontId="1" fillId="38" borderId="14" xfId="0" applyNumberFormat="1" applyFont="1" applyFill="1" applyBorder="1" applyAlignment="1">
      <alignment horizontal="center"/>
    </xf>
    <xf numFmtId="167" fontId="1" fillId="38" borderId="10" xfId="0" applyNumberFormat="1" applyFont="1" applyFill="1" applyBorder="1" applyAlignment="1">
      <alignment horizontal="center"/>
    </xf>
    <xf numFmtId="167" fontId="1" fillId="38" borderId="15" xfId="0" applyNumberFormat="1" applyFont="1" applyFill="1" applyBorder="1" applyAlignment="1">
      <alignment horizontal="center"/>
    </xf>
    <xf numFmtId="1" fontId="1" fillId="36" borderId="14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" fontId="1" fillId="39" borderId="14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" fontId="1" fillId="39" borderId="11" xfId="0" applyNumberFormat="1" applyFont="1" applyFill="1" applyBorder="1" applyAlignment="1">
      <alignment horizontal="center"/>
    </xf>
    <xf numFmtId="1" fontId="1" fillId="38" borderId="14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" fontId="1" fillId="38" borderId="15" xfId="0" applyNumberFormat="1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/>
    </xf>
    <xf numFmtId="2" fontId="1" fillId="36" borderId="29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6" borderId="17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2" fontId="1" fillId="37" borderId="17" xfId="0" applyNumberFormat="1" applyFont="1" applyFill="1" applyBorder="1" applyAlignment="1">
      <alignment horizontal="center"/>
    </xf>
    <xf numFmtId="2" fontId="1" fillId="39" borderId="17" xfId="0" applyNumberFormat="1" applyFont="1" applyFill="1" applyBorder="1" applyAlignment="1">
      <alignment horizontal="center"/>
    </xf>
    <xf numFmtId="2" fontId="1" fillId="38" borderId="17" xfId="0" applyNumberFormat="1" applyFont="1" applyFill="1" applyBorder="1" applyAlignment="1">
      <alignment horizontal="center"/>
    </xf>
    <xf numFmtId="2" fontId="1" fillId="38" borderId="18" xfId="0" applyNumberFormat="1" applyFont="1" applyFill="1" applyBorder="1" applyAlignment="1">
      <alignment horizontal="center"/>
    </xf>
    <xf numFmtId="165" fontId="1" fillId="36" borderId="14" xfId="0" applyNumberFormat="1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165" fontId="1" fillId="37" borderId="10" xfId="0" applyNumberFormat="1" applyFont="1" applyFill="1" applyBorder="1" applyAlignment="1">
      <alignment horizontal="center"/>
    </xf>
    <xf numFmtId="165" fontId="1" fillId="39" borderId="10" xfId="0" applyNumberFormat="1" applyFont="1" applyFill="1" applyBorder="1" applyAlignment="1">
      <alignment horizontal="center"/>
    </xf>
    <xf numFmtId="165" fontId="1" fillId="39" borderId="11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167" fontId="1" fillId="38" borderId="20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1" fontId="1" fillId="38" borderId="20" xfId="0" applyNumberFormat="1" applyFont="1" applyFill="1" applyBorder="1" applyAlignment="1">
      <alignment horizontal="center"/>
    </xf>
    <xf numFmtId="2" fontId="1" fillId="38" borderId="27" xfId="0" applyNumberFormat="1" applyFont="1" applyFill="1" applyBorder="1" applyAlignment="1">
      <alignment horizontal="center"/>
    </xf>
    <xf numFmtId="2" fontId="1" fillId="38" borderId="19" xfId="0" applyNumberFormat="1" applyFont="1" applyFill="1" applyBorder="1" applyAlignment="1">
      <alignment horizontal="center"/>
    </xf>
    <xf numFmtId="175" fontId="9" fillId="33" borderId="10" xfId="0" applyNumberFormat="1" applyFont="1" applyFill="1" applyBorder="1" applyAlignment="1">
      <alignment horizontal="center" vertical="top" wrapText="1"/>
    </xf>
    <xf numFmtId="175" fontId="1" fillId="33" borderId="10" xfId="0" applyNumberFormat="1" applyFont="1" applyFill="1" applyBorder="1" applyAlignment="1">
      <alignment horizontal="center" vertical="center" wrapText="1"/>
    </xf>
    <xf numFmtId="175" fontId="9" fillId="33" borderId="10" xfId="0" applyNumberFormat="1" applyFont="1" applyFill="1" applyBorder="1" applyAlignment="1">
      <alignment horizontal="center" vertical="center" wrapText="1"/>
    </xf>
    <xf numFmtId="175" fontId="9" fillId="13" borderId="11" xfId="0" applyNumberFormat="1" applyFont="1" applyFill="1" applyBorder="1" applyAlignment="1">
      <alignment horizontal="center" vertical="top" wrapText="1"/>
    </xf>
    <xf numFmtId="175" fontId="1" fillId="13" borderId="11" xfId="0" applyNumberFormat="1" applyFont="1" applyFill="1" applyBorder="1" applyAlignment="1">
      <alignment horizontal="center" vertical="center" wrapText="1"/>
    </xf>
    <xf numFmtId="175" fontId="9" fillId="35" borderId="10" xfId="0" applyNumberFormat="1" applyFont="1" applyFill="1" applyBorder="1" applyAlignment="1">
      <alignment horizontal="center" vertical="top" wrapText="1"/>
    </xf>
    <xf numFmtId="175" fontId="9" fillId="35" borderId="10" xfId="63" applyNumberFormat="1" applyFont="1" applyFill="1" applyBorder="1" applyAlignment="1" applyProtection="1">
      <alignment horizontal="center" vertical="center" wrapText="1"/>
      <protection locked="0"/>
    </xf>
    <xf numFmtId="175" fontId="9" fillId="35" borderId="15" xfId="0" applyNumberFormat="1" applyFont="1" applyFill="1" applyBorder="1" applyAlignment="1">
      <alignment horizontal="center" vertical="top" wrapText="1"/>
    </xf>
    <xf numFmtId="175" fontId="9" fillId="35" borderId="15" xfId="63" applyNumberFormat="1" applyFont="1" applyFill="1" applyBorder="1" applyAlignment="1" applyProtection="1">
      <alignment horizontal="center" vertical="center" wrapText="1"/>
      <protection locked="0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/>
    </xf>
    <xf numFmtId="1" fontId="1" fillId="13" borderId="11" xfId="0" applyNumberFormat="1" applyFont="1" applyFill="1" applyBorder="1" applyAlignment="1">
      <alignment horizontal="center" vertical="center" wrapText="1"/>
    </xf>
    <xf numFmtId="1" fontId="1" fillId="35" borderId="10" xfId="62" applyNumberFormat="1" applyFont="1" applyFill="1" applyBorder="1" applyAlignment="1" applyProtection="1">
      <alignment horizontal="center" vertical="center"/>
      <protection locked="0"/>
    </xf>
    <xf numFmtId="1" fontId="9" fillId="35" borderId="10" xfId="63" applyNumberFormat="1" applyFont="1" applyFill="1" applyBorder="1" applyAlignment="1" applyProtection="1">
      <alignment horizontal="center" vertical="center" wrapText="1"/>
      <protection locked="0"/>
    </xf>
    <xf numFmtId="1" fontId="1" fillId="35" borderId="15" xfId="62" applyNumberFormat="1" applyFont="1" applyFill="1" applyBorder="1" applyAlignment="1" applyProtection="1">
      <alignment horizontal="center" vertical="center"/>
      <protection locked="0"/>
    </xf>
    <xf numFmtId="165" fontId="1" fillId="33" borderId="25" xfId="0" applyNumberFormat="1" applyFont="1" applyFill="1" applyBorder="1" applyAlignment="1">
      <alignment horizontal="center"/>
    </xf>
    <xf numFmtId="165" fontId="1" fillId="33" borderId="16" xfId="0" applyNumberFormat="1" applyFont="1" applyFill="1" applyBorder="1" applyAlignment="1">
      <alignment horizontal="center"/>
    </xf>
    <xf numFmtId="165" fontId="1" fillId="33" borderId="19" xfId="0" applyNumberFormat="1" applyFont="1" applyFill="1" applyBorder="1" applyAlignment="1">
      <alignment horizontal="center"/>
    </xf>
    <xf numFmtId="165" fontId="1" fillId="13" borderId="25" xfId="0" applyNumberFormat="1" applyFont="1" applyFill="1" applyBorder="1" applyAlignment="1">
      <alignment horizontal="center"/>
    </xf>
    <xf numFmtId="165" fontId="1" fillId="13" borderId="16" xfId="0" applyNumberFormat="1" applyFont="1" applyFill="1" applyBorder="1" applyAlignment="1">
      <alignment horizontal="center"/>
    </xf>
    <xf numFmtId="165" fontId="1" fillId="38" borderId="16" xfId="0" applyNumberFormat="1" applyFont="1" applyFill="1" applyBorder="1" applyAlignment="1">
      <alignment horizontal="center"/>
    </xf>
    <xf numFmtId="165" fontId="1" fillId="38" borderId="11" xfId="0" applyNumberFormat="1" applyFont="1" applyFill="1" applyBorder="1" applyAlignment="1">
      <alignment horizontal="center"/>
    </xf>
    <xf numFmtId="165" fontId="1" fillId="38" borderId="19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167" fontId="1" fillId="13" borderId="11" xfId="0" applyNumberFormat="1" applyFont="1" applyFill="1" applyBorder="1" applyAlignment="1" applyProtection="1">
      <alignment horizontal="center"/>
      <protection/>
    </xf>
    <xf numFmtId="2" fontId="1" fillId="13" borderId="11" xfId="0" applyNumberFormat="1" applyFont="1" applyFill="1" applyBorder="1" applyAlignment="1" applyProtection="1">
      <alignment horizontal="center"/>
      <protection locked="0"/>
    </xf>
    <xf numFmtId="167" fontId="1" fillId="39" borderId="14" xfId="0" applyNumberFormat="1" applyFont="1" applyFill="1" applyBorder="1" applyAlignment="1" applyProtection="1">
      <alignment horizontal="center"/>
      <protection/>
    </xf>
    <xf numFmtId="2" fontId="1" fillId="39" borderId="14" xfId="0" applyNumberFormat="1" applyFont="1" applyFill="1" applyBorder="1" applyAlignment="1" applyProtection="1">
      <alignment horizontal="center"/>
      <protection locked="0"/>
    </xf>
    <xf numFmtId="167" fontId="1" fillId="39" borderId="10" xfId="0" applyNumberFormat="1" applyFont="1" applyFill="1" applyBorder="1" applyAlignment="1" applyProtection="1">
      <alignment horizontal="center"/>
      <protection/>
    </xf>
    <xf numFmtId="2" fontId="1" fillId="39" borderId="10" xfId="0" applyNumberFormat="1" applyFont="1" applyFill="1" applyBorder="1" applyAlignment="1" applyProtection="1">
      <alignment horizontal="center"/>
      <protection locked="0"/>
    </xf>
    <xf numFmtId="2" fontId="1" fillId="39" borderId="11" xfId="0" applyNumberFormat="1" applyFont="1" applyFill="1" applyBorder="1" applyAlignment="1" applyProtection="1">
      <alignment horizontal="center"/>
      <protection locked="0"/>
    </xf>
    <xf numFmtId="1" fontId="9" fillId="35" borderId="15" xfId="63" applyNumberFormat="1" applyFont="1" applyFill="1" applyBorder="1" applyAlignment="1" applyProtection="1">
      <alignment horizontal="center" vertical="center" wrapText="1"/>
      <protection locked="0"/>
    </xf>
    <xf numFmtId="166" fontId="1" fillId="33" borderId="15" xfId="0" applyNumberFormat="1" applyFont="1" applyFill="1" applyBorder="1" applyAlignment="1" applyProtection="1">
      <alignment horizontal="center"/>
      <protection locked="0"/>
    </xf>
    <xf numFmtId="0" fontId="9" fillId="36" borderId="10" xfId="58" applyFont="1" applyFill="1" applyBorder="1" applyAlignment="1">
      <alignment horizontal="left" vertical="top" wrapText="1"/>
      <protection/>
    </xf>
    <xf numFmtId="3" fontId="9" fillId="36" borderId="10" xfId="58" applyNumberFormat="1" applyFont="1" applyFill="1" applyBorder="1" applyAlignment="1">
      <alignment horizontal="center" vertical="top" wrapText="1"/>
      <protection/>
    </xf>
    <xf numFmtId="0" fontId="9" fillId="13" borderId="10" xfId="58" applyFont="1" applyFill="1" applyBorder="1" applyAlignment="1">
      <alignment horizontal="left" vertical="top" wrapText="1"/>
      <protection/>
    </xf>
    <xf numFmtId="3" fontId="9" fillId="13" borderId="10" xfId="58" applyNumberFormat="1" applyFont="1" applyFill="1" applyBorder="1" applyAlignment="1">
      <alignment horizontal="center" vertical="top" wrapText="1"/>
      <protection/>
    </xf>
    <xf numFmtId="0" fontId="9" fillId="39" borderId="10" xfId="58" applyFont="1" applyFill="1" applyBorder="1" applyAlignment="1">
      <alignment horizontal="left" vertical="top" wrapText="1"/>
      <protection/>
    </xf>
    <xf numFmtId="3" fontId="9" fillId="39" borderId="10" xfId="58" applyNumberFormat="1" applyFont="1" applyFill="1" applyBorder="1" applyAlignment="1">
      <alignment horizontal="center" vertical="top" wrapText="1"/>
      <protection/>
    </xf>
    <xf numFmtId="0" fontId="1" fillId="39" borderId="10" xfId="58" applyFont="1" applyFill="1" applyBorder="1" applyAlignment="1">
      <alignment horizontal="left" vertical="top" wrapText="1"/>
      <protection/>
    </xf>
    <xf numFmtId="3" fontId="1" fillId="39" borderId="10" xfId="58" applyNumberFormat="1" applyFont="1" applyFill="1" applyBorder="1" applyAlignment="1">
      <alignment horizontal="center" vertical="top" wrapText="1"/>
      <protection/>
    </xf>
    <xf numFmtId="0" fontId="9" fillId="38" borderId="10" xfId="58" applyFont="1" applyFill="1" applyBorder="1" applyAlignment="1">
      <alignment horizontal="left" vertical="top" wrapText="1"/>
      <protection/>
    </xf>
    <xf numFmtId="3" fontId="9" fillId="38" borderId="10" xfId="58" applyNumberFormat="1" applyFont="1" applyFill="1" applyBorder="1" applyAlignment="1">
      <alignment horizontal="center" vertical="top" wrapText="1"/>
      <protection/>
    </xf>
    <xf numFmtId="167" fontId="1" fillId="36" borderId="20" xfId="0" applyNumberFormat="1" applyFont="1" applyFill="1" applyBorder="1" applyAlignment="1">
      <alignment horizontal="center"/>
    </xf>
    <xf numFmtId="2" fontId="1" fillId="36" borderId="20" xfId="0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>
      <alignment horizontal="center"/>
    </xf>
    <xf numFmtId="167" fontId="1" fillId="36" borderId="15" xfId="0" applyNumberFormat="1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1" fillId="36" borderId="19" xfId="0" applyNumberFormat="1" applyFont="1" applyFill="1" applyBorder="1" applyAlignment="1">
      <alignment horizontal="center"/>
    </xf>
    <xf numFmtId="2" fontId="1" fillId="39" borderId="27" xfId="0" applyNumberFormat="1" applyFont="1" applyFill="1" applyBorder="1" applyAlignment="1">
      <alignment horizontal="center"/>
    </xf>
    <xf numFmtId="2" fontId="1" fillId="38" borderId="25" xfId="0" applyNumberFormat="1" applyFont="1" applyFill="1" applyBorder="1" applyAlignment="1">
      <alignment horizontal="center"/>
    </xf>
    <xf numFmtId="165" fontId="1" fillId="36" borderId="20" xfId="0" applyNumberFormat="1" applyFont="1" applyFill="1" applyBorder="1" applyAlignment="1">
      <alignment horizontal="center"/>
    </xf>
    <xf numFmtId="165" fontId="9" fillId="36" borderId="10" xfId="58" applyNumberFormat="1" applyFont="1" applyFill="1" applyBorder="1" applyAlignment="1">
      <alignment horizontal="center" vertical="top" wrapText="1"/>
      <protection/>
    </xf>
    <xf numFmtId="165" fontId="1" fillId="36" borderId="15" xfId="0" applyNumberFormat="1" applyFont="1" applyFill="1" applyBorder="1" applyAlignment="1">
      <alignment horizontal="center"/>
    </xf>
    <xf numFmtId="165" fontId="9" fillId="13" borderId="10" xfId="58" applyNumberFormat="1" applyFont="1" applyFill="1" applyBorder="1" applyAlignment="1">
      <alignment horizontal="center" vertical="top" wrapText="1"/>
      <protection/>
    </xf>
    <xf numFmtId="165" fontId="9" fillId="39" borderId="10" xfId="58" applyNumberFormat="1" applyFont="1" applyFill="1" applyBorder="1" applyAlignment="1">
      <alignment horizontal="center" vertical="top" wrapText="1"/>
      <protection/>
    </xf>
    <xf numFmtId="165" fontId="9" fillId="38" borderId="10" xfId="58" applyNumberFormat="1" applyFont="1" applyFill="1" applyBorder="1" applyAlignment="1">
      <alignment horizontal="center" vertical="top" wrapText="1"/>
      <protection/>
    </xf>
    <xf numFmtId="1" fontId="9" fillId="36" borderId="10" xfId="58" applyNumberFormat="1" applyFont="1" applyFill="1" applyBorder="1" applyAlignment="1">
      <alignment horizontal="center" vertical="top" wrapText="1"/>
      <protection/>
    </xf>
    <xf numFmtId="1" fontId="1" fillId="36" borderId="15" xfId="0" applyNumberFormat="1" applyFont="1" applyFill="1" applyBorder="1" applyAlignment="1">
      <alignment horizontal="center"/>
    </xf>
    <xf numFmtId="1" fontId="9" fillId="13" borderId="10" xfId="58" applyNumberFormat="1" applyFont="1" applyFill="1" applyBorder="1" applyAlignment="1">
      <alignment horizontal="center" vertical="top" wrapText="1"/>
      <protection/>
    </xf>
    <xf numFmtId="1" fontId="9" fillId="39" borderId="10" xfId="58" applyNumberFormat="1" applyFont="1" applyFill="1" applyBorder="1" applyAlignment="1">
      <alignment horizontal="center" vertical="top" wrapText="1"/>
      <protection/>
    </xf>
    <xf numFmtId="1" fontId="9" fillId="38" borderId="10" xfId="58" applyNumberFormat="1" applyFont="1" applyFill="1" applyBorder="1" applyAlignment="1">
      <alignment horizontal="center" vertical="top" wrapText="1"/>
      <protection/>
    </xf>
    <xf numFmtId="167" fontId="1" fillId="39" borderId="20" xfId="0" applyNumberFormat="1" applyFont="1" applyFill="1" applyBorder="1" applyAlignment="1" applyProtection="1">
      <alignment horizontal="center"/>
      <protection/>
    </xf>
    <xf numFmtId="2" fontId="1" fillId="39" borderId="20" xfId="0" applyNumberFormat="1" applyFont="1" applyFill="1" applyBorder="1" applyAlignment="1" applyProtection="1">
      <alignment horizontal="center"/>
      <protection/>
    </xf>
    <xf numFmtId="2" fontId="1" fillId="39" borderId="28" xfId="0" applyNumberFormat="1" applyFont="1" applyFill="1" applyBorder="1" applyAlignment="1" applyProtection="1">
      <alignment horizontal="center"/>
      <protection/>
    </xf>
    <xf numFmtId="167" fontId="1" fillId="39" borderId="15" xfId="0" applyNumberFormat="1" applyFont="1" applyFill="1" applyBorder="1" applyAlignment="1" applyProtection="1">
      <alignment horizontal="center"/>
      <protection/>
    </xf>
    <xf numFmtId="2" fontId="1" fillId="39" borderId="15" xfId="0" applyNumberFormat="1" applyFont="1" applyFill="1" applyBorder="1" applyAlignment="1" applyProtection="1">
      <alignment horizontal="center"/>
      <protection locked="0"/>
    </xf>
    <xf numFmtId="2" fontId="1" fillId="39" borderId="15" xfId="0" applyNumberFormat="1" applyFont="1" applyFill="1" applyBorder="1" applyAlignment="1" applyProtection="1">
      <alignment horizontal="center"/>
      <protection/>
    </xf>
    <xf numFmtId="2" fontId="1" fillId="39" borderId="18" xfId="0" applyNumberFormat="1" applyFont="1" applyFill="1" applyBorder="1" applyAlignment="1" applyProtection="1">
      <alignment horizontal="center"/>
      <protection/>
    </xf>
    <xf numFmtId="167" fontId="1" fillId="38" borderId="20" xfId="0" applyNumberFormat="1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horizontal="center"/>
      <protection locked="0"/>
    </xf>
    <xf numFmtId="2" fontId="1" fillId="38" borderId="20" xfId="0" applyNumberFormat="1" applyFont="1" applyFill="1" applyBorder="1" applyAlignment="1" applyProtection="1">
      <alignment horizontal="center"/>
      <protection/>
    </xf>
    <xf numFmtId="2" fontId="1" fillId="38" borderId="28" xfId="0" applyNumberFormat="1" applyFont="1" applyFill="1" applyBorder="1" applyAlignment="1" applyProtection="1">
      <alignment horizontal="center"/>
      <protection/>
    </xf>
    <xf numFmtId="167" fontId="1" fillId="38" borderId="10" xfId="0" applyNumberFormat="1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horizontal="center"/>
      <protection/>
    </xf>
    <xf numFmtId="2" fontId="1" fillId="38" borderId="17" xfId="0" applyNumberFormat="1" applyFont="1" applyFill="1" applyBorder="1" applyAlignment="1" applyProtection="1">
      <alignment horizontal="center"/>
      <protection/>
    </xf>
    <xf numFmtId="167" fontId="1" fillId="38" borderId="15" xfId="0" applyNumberFormat="1" applyFont="1" applyFill="1" applyBorder="1" applyAlignment="1" applyProtection="1">
      <alignment horizontal="center"/>
      <protection/>
    </xf>
    <xf numFmtId="2" fontId="1" fillId="38" borderId="15" xfId="0" applyNumberFormat="1" applyFont="1" applyFill="1" applyBorder="1" applyAlignment="1" applyProtection="1">
      <alignment horizontal="center"/>
      <protection/>
    </xf>
    <xf numFmtId="2" fontId="1" fillId="38" borderId="18" xfId="0" applyNumberFormat="1" applyFont="1" applyFill="1" applyBorder="1" applyAlignment="1" applyProtection="1">
      <alignment horizontal="center"/>
      <protection/>
    </xf>
    <xf numFmtId="2" fontId="1" fillId="38" borderId="14" xfId="0" applyNumberFormat="1" applyFont="1" applyFill="1" applyBorder="1" applyAlignment="1" applyProtection="1">
      <alignment horizontal="center"/>
      <protection locked="0"/>
    </xf>
    <xf numFmtId="2" fontId="1" fillId="38" borderId="15" xfId="0" applyNumberFormat="1" applyFont="1" applyFill="1" applyBorder="1" applyAlignment="1" applyProtection="1">
      <alignment horizontal="center"/>
      <protection locked="0"/>
    </xf>
    <xf numFmtId="165" fontId="1" fillId="39" borderId="14" xfId="0" applyNumberFormat="1" applyFont="1" applyFill="1" applyBorder="1" applyAlignment="1" applyProtection="1">
      <alignment horizontal="center"/>
      <protection locked="0"/>
    </xf>
    <xf numFmtId="165" fontId="1" fillId="39" borderId="10" xfId="0" applyNumberFormat="1" applyFont="1" applyFill="1" applyBorder="1" applyAlignment="1" applyProtection="1">
      <alignment horizontal="center"/>
      <protection locked="0"/>
    </xf>
    <xf numFmtId="165" fontId="1" fillId="39" borderId="15" xfId="0" applyNumberFormat="1" applyFont="1" applyFill="1" applyBorder="1" applyAlignment="1" applyProtection="1">
      <alignment horizontal="center"/>
      <protection locked="0"/>
    </xf>
    <xf numFmtId="165" fontId="1" fillId="38" borderId="14" xfId="0" applyNumberFormat="1" applyFont="1" applyFill="1" applyBorder="1" applyAlignment="1" applyProtection="1">
      <alignment horizontal="center"/>
      <protection locked="0"/>
    </xf>
    <xf numFmtId="165" fontId="1" fillId="38" borderId="10" xfId="0" applyNumberFormat="1" applyFont="1" applyFill="1" applyBorder="1" applyAlignment="1" applyProtection="1">
      <alignment horizontal="center"/>
      <protection locked="0"/>
    </xf>
    <xf numFmtId="165" fontId="1" fillId="38" borderId="15" xfId="0" applyNumberFormat="1" applyFont="1" applyFill="1" applyBorder="1" applyAlignment="1" applyProtection="1">
      <alignment horizontal="center"/>
      <protection locked="0"/>
    </xf>
    <xf numFmtId="1" fontId="1" fillId="39" borderId="14" xfId="0" applyNumberFormat="1" applyFont="1" applyFill="1" applyBorder="1" applyAlignment="1" applyProtection="1">
      <alignment horizontal="center"/>
      <protection locked="0"/>
    </xf>
    <xf numFmtId="1" fontId="1" fillId="39" borderId="10" xfId="0" applyNumberFormat="1" applyFont="1" applyFill="1" applyBorder="1" applyAlignment="1" applyProtection="1">
      <alignment horizontal="center"/>
      <protection locked="0"/>
    </xf>
    <xf numFmtId="1" fontId="1" fillId="39" borderId="15" xfId="0" applyNumberFormat="1" applyFont="1" applyFill="1" applyBorder="1" applyAlignment="1" applyProtection="1">
      <alignment horizontal="center"/>
      <protection locked="0"/>
    </xf>
    <xf numFmtId="1" fontId="1" fillId="38" borderId="14" xfId="0" applyNumberFormat="1" applyFont="1" applyFill="1" applyBorder="1" applyAlignment="1" applyProtection="1">
      <alignment horizontal="center"/>
      <protection locked="0"/>
    </xf>
    <xf numFmtId="1" fontId="1" fillId="38" borderId="10" xfId="0" applyNumberFormat="1" applyFont="1" applyFill="1" applyBorder="1" applyAlignment="1" applyProtection="1">
      <alignment horizontal="center"/>
      <protection locked="0"/>
    </xf>
    <xf numFmtId="1" fontId="1" fillId="38" borderId="15" xfId="0" applyNumberFormat="1" applyFont="1" applyFill="1" applyBorder="1" applyAlignment="1" applyProtection="1">
      <alignment horizontal="center"/>
      <protection locked="0"/>
    </xf>
    <xf numFmtId="1" fontId="1" fillId="39" borderId="20" xfId="0" applyNumberFormat="1" applyFont="1" applyFill="1" applyBorder="1" applyAlignment="1" applyProtection="1">
      <alignment horizontal="center"/>
      <protection locked="0"/>
    </xf>
    <xf numFmtId="1" fontId="1" fillId="38" borderId="20" xfId="0" applyNumberFormat="1" applyFont="1" applyFill="1" applyBorder="1" applyAlignment="1" applyProtection="1">
      <alignment horizontal="center"/>
      <protection locked="0"/>
    </xf>
    <xf numFmtId="2" fontId="1" fillId="39" borderId="20" xfId="0" applyNumberFormat="1" applyFont="1" applyFill="1" applyBorder="1" applyAlignment="1" applyProtection="1">
      <alignment horizontal="center"/>
      <protection locked="0"/>
    </xf>
    <xf numFmtId="2" fontId="1" fillId="38" borderId="29" xfId="0" applyNumberFormat="1" applyFont="1" applyFill="1" applyBorder="1" applyAlignment="1" applyProtection="1">
      <alignment horizontal="center"/>
      <protection/>
    </xf>
    <xf numFmtId="2" fontId="1" fillId="38" borderId="20" xfId="0" applyNumberFormat="1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2" fontId="1" fillId="36" borderId="15" xfId="0" applyNumberFormat="1" applyFont="1" applyFill="1" applyBorder="1" applyAlignment="1" applyProtection="1">
      <alignment horizontal="center"/>
      <protection locked="0"/>
    </xf>
    <xf numFmtId="165" fontId="1" fillId="36" borderId="14" xfId="0" applyNumberFormat="1" applyFont="1" applyFill="1" applyBorder="1" applyAlignment="1" applyProtection="1">
      <alignment horizontal="center"/>
      <protection locked="0"/>
    </xf>
    <xf numFmtId="165" fontId="1" fillId="36" borderId="10" xfId="0" applyNumberFormat="1" applyFont="1" applyFill="1" applyBorder="1" applyAlignment="1" applyProtection="1">
      <alignment horizontal="center"/>
      <protection locked="0"/>
    </xf>
    <xf numFmtId="165" fontId="1" fillId="36" borderId="15" xfId="0" applyNumberFormat="1" applyFont="1" applyFill="1" applyBorder="1" applyAlignment="1" applyProtection="1">
      <alignment horizontal="center"/>
      <protection locked="0"/>
    </xf>
    <xf numFmtId="1" fontId="1" fillId="36" borderId="14" xfId="0" applyNumberFormat="1" applyFont="1" applyFill="1" applyBorder="1" applyAlignment="1" applyProtection="1">
      <alignment horizontal="center"/>
      <protection locked="0"/>
    </xf>
    <xf numFmtId="1" fontId="1" fillId="36" borderId="10" xfId="0" applyNumberFormat="1" applyFont="1" applyFill="1" applyBorder="1" applyAlignment="1" applyProtection="1">
      <alignment horizontal="center"/>
      <protection locked="0"/>
    </xf>
    <xf numFmtId="1" fontId="1" fillId="36" borderId="15" xfId="0" applyNumberFormat="1" applyFont="1" applyFill="1" applyBorder="1" applyAlignment="1" applyProtection="1">
      <alignment horizontal="center"/>
      <protection locked="0"/>
    </xf>
    <xf numFmtId="165" fontId="1" fillId="36" borderId="20" xfId="0" applyNumberFormat="1" applyFont="1" applyFill="1" applyBorder="1" applyAlignment="1" applyProtection="1">
      <alignment horizontal="center"/>
      <protection locked="0"/>
    </xf>
    <xf numFmtId="165" fontId="1" fillId="39" borderId="20" xfId="0" applyNumberFormat="1" applyFont="1" applyFill="1" applyBorder="1" applyAlignment="1" applyProtection="1">
      <alignment horizontal="center"/>
      <protection locked="0"/>
    </xf>
    <xf numFmtId="165" fontId="1" fillId="38" borderId="20" xfId="0" applyNumberFormat="1" applyFont="1" applyFill="1" applyBorder="1" applyAlignment="1" applyProtection="1">
      <alignment horizontal="center"/>
      <protection locked="0"/>
    </xf>
    <xf numFmtId="165" fontId="1" fillId="38" borderId="30" xfId="0" applyNumberFormat="1" applyFont="1" applyFill="1" applyBorder="1" applyAlignment="1" applyProtection="1">
      <alignment horizontal="center"/>
      <protection locked="0"/>
    </xf>
    <xf numFmtId="167" fontId="1" fillId="36" borderId="14" xfId="0" applyNumberFormat="1" applyFont="1" applyFill="1" applyBorder="1" applyAlignment="1" applyProtection="1">
      <alignment horizontal="center"/>
      <protection/>
    </xf>
    <xf numFmtId="2" fontId="1" fillId="36" borderId="14" xfId="0" applyNumberFormat="1" applyFont="1" applyFill="1" applyBorder="1" applyAlignment="1" applyProtection="1">
      <alignment horizontal="center"/>
      <protection/>
    </xf>
    <xf numFmtId="167" fontId="1" fillId="36" borderId="10" xfId="0" applyNumberFormat="1" applyFont="1" applyFill="1" applyBorder="1" applyAlignment="1" applyProtection="1">
      <alignment horizontal="center"/>
      <protection/>
    </xf>
    <xf numFmtId="167" fontId="1" fillId="36" borderId="15" xfId="0" applyNumberFormat="1" applyFont="1" applyFill="1" applyBorder="1" applyAlignment="1" applyProtection="1">
      <alignment horizontal="center"/>
      <protection/>
    </xf>
    <xf numFmtId="167" fontId="1" fillId="38" borderId="14" xfId="0" applyNumberFormat="1" applyFont="1" applyFill="1" applyBorder="1" applyAlignment="1" applyProtection="1">
      <alignment horizontal="center"/>
      <protection/>
    </xf>
    <xf numFmtId="2" fontId="1" fillId="38" borderId="14" xfId="0" applyNumberFormat="1" applyFont="1" applyFill="1" applyBorder="1" applyAlignment="1" applyProtection="1">
      <alignment horizontal="center"/>
      <protection/>
    </xf>
    <xf numFmtId="2" fontId="1" fillId="36" borderId="28" xfId="0" applyNumberFormat="1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167" fontId="1" fillId="39" borderId="20" xfId="0" applyNumberFormat="1" applyFont="1" applyFill="1" applyBorder="1" applyAlignment="1">
      <alignment horizontal="center"/>
    </xf>
    <xf numFmtId="2" fontId="1" fillId="36" borderId="19" xfId="0" applyNumberFormat="1" applyFont="1" applyFill="1" applyBorder="1" applyAlignment="1" applyProtection="1">
      <alignment horizontal="center"/>
      <protection/>
    </xf>
    <xf numFmtId="2" fontId="1" fillId="13" borderId="42" xfId="0" applyNumberFormat="1" applyFont="1" applyFill="1" applyBorder="1" applyAlignment="1">
      <alignment horizontal="center"/>
    </xf>
    <xf numFmtId="2" fontId="1" fillId="39" borderId="42" xfId="0" applyNumberFormat="1" applyFont="1" applyFill="1" applyBorder="1" applyAlignment="1">
      <alignment horizontal="center"/>
    </xf>
    <xf numFmtId="165" fontId="1" fillId="33" borderId="2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 horizontal="center"/>
    </xf>
    <xf numFmtId="165" fontId="1" fillId="39" borderId="42" xfId="0" applyNumberFormat="1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167" fontId="1" fillId="40" borderId="20" xfId="0" applyNumberFormat="1" applyFont="1" applyFill="1" applyBorder="1" applyAlignment="1" applyProtection="1">
      <alignment horizontal="center"/>
      <protection/>
    </xf>
    <xf numFmtId="2" fontId="1" fillId="40" borderId="20" xfId="0" applyNumberFormat="1" applyFont="1" applyFill="1" applyBorder="1" applyAlignment="1" applyProtection="1">
      <alignment horizontal="center"/>
      <protection locked="0"/>
    </xf>
    <xf numFmtId="2" fontId="1" fillId="40" borderId="20" xfId="0" applyNumberFormat="1" applyFont="1" applyFill="1" applyBorder="1" applyAlignment="1" applyProtection="1">
      <alignment horizontal="center"/>
      <protection/>
    </xf>
    <xf numFmtId="2" fontId="1" fillId="40" borderId="28" xfId="0" applyNumberFormat="1" applyFont="1" applyFill="1" applyBorder="1" applyAlignment="1" applyProtection="1">
      <alignment horizontal="center"/>
      <protection/>
    </xf>
    <xf numFmtId="167" fontId="1" fillId="40" borderId="10" xfId="0" applyNumberFormat="1" applyFont="1" applyFill="1" applyBorder="1" applyAlignment="1" applyProtection="1">
      <alignment horizontal="center"/>
      <protection/>
    </xf>
    <xf numFmtId="2" fontId="1" fillId="40" borderId="10" xfId="0" applyNumberFormat="1" applyFont="1" applyFill="1" applyBorder="1" applyAlignment="1" applyProtection="1">
      <alignment horizontal="center"/>
      <protection locked="0"/>
    </xf>
    <xf numFmtId="2" fontId="1" fillId="40" borderId="10" xfId="0" applyNumberFormat="1" applyFont="1" applyFill="1" applyBorder="1" applyAlignment="1" applyProtection="1">
      <alignment horizontal="center"/>
      <protection/>
    </xf>
    <xf numFmtId="2" fontId="1" fillId="40" borderId="17" xfId="0" applyNumberFormat="1" applyFont="1" applyFill="1" applyBorder="1" applyAlignment="1" applyProtection="1">
      <alignment horizontal="center"/>
      <protection/>
    </xf>
    <xf numFmtId="2" fontId="1" fillId="40" borderId="14" xfId="0" applyNumberFormat="1" applyFont="1" applyFill="1" applyBorder="1" applyAlignment="1" applyProtection="1">
      <alignment horizontal="center"/>
      <protection locked="0"/>
    </xf>
    <xf numFmtId="1" fontId="1" fillId="40" borderId="20" xfId="0" applyNumberFormat="1" applyFont="1" applyFill="1" applyBorder="1" applyAlignment="1" applyProtection="1">
      <alignment horizontal="center"/>
      <protection locked="0"/>
    </xf>
    <xf numFmtId="167" fontId="1" fillId="40" borderId="14" xfId="0" applyNumberFormat="1" applyFont="1" applyFill="1" applyBorder="1" applyAlignment="1" applyProtection="1">
      <alignment horizontal="center"/>
      <protection/>
    </xf>
    <xf numFmtId="2" fontId="1" fillId="40" borderId="14" xfId="0" applyNumberFormat="1" applyFont="1" applyFill="1" applyBorder="1" applyAlignment="1" applyProtection="1">
      <alignment horizontal="center"/>
      <protection/>
    </xf>
    <xf numFmtId="2" fontId="1" fillId="40" borderId="29" xfId="0" applyNumberFormat="1" applyFont="1" applyFill="1" applyBorder="1" applyAlignment="1" applyProtection="1">
      <alignment horizontal="center"/>
      <protection/>
    </xf>
    <xf numFmtId="2" fontId="1" fillId="40" borderId="11" xfId="0" applyNumberFormat="1" applyFont="1" applyFill="1" applyBorder="1" applyAlignment="1" applyProtection="1">
      <alignment horizontal="center"/>
      <protection/>
    </xf>
    <xf numFmtId="2" fontId="1" fillId="35" borderId="40" xfId="0" applyNumberFormat="1" applyFont="1" applyFill="1" applyBorder="1" applyAlignment="1" applyProtection="1">
      <alignment horizontal="center"/>
      <protection/>
    </xf>
    <xf numFmtId="165" fontId="1" fillId="40" borderId="14" xfId="0" applyNumberFormat="1" applyFont="1" applyFill="1" applyBorder="1" applyAlignment="1">
      <alignment horizontal="center"/>
    </xf>
    <xf numFmtId="165" fontId="1" fillId="40" borderId="20" xfId="0" applyNumberFormat="1" applyFont="1" applyFill="1" applyBorder="1" applyAlignment="1">
      <alignment horizontal="center"/>
    </xf>
    <xf numFmtId="165" fontId="1" fillId="40" borderId="10" xfId="0" applyNumberFormat="1" applyFont="1" applyFill="1" applyBorder="1" applyAlignment="1">
      <alignment horizontal="center"/>
    </xf>
    <xf numFmtId="1" fontId="1" fillId="40" borderId="14" xfId="0" applyNumberFormat="1" applyFont="1" applyFill="1" applyBorder="1" applyAlignment="1">
      <alignment horizontal="center"/>
    </xf>
    <xf numFmtId="1" fontId="1" fillId="40" borderId="20" xfId="0" applyNumberFormat="1" applyFont="1" applyFill="1" applyBorder="1" applyAlignment="1">
      <alignment horizontal="center"/>
    </xf>
    <xf numFmtId="2" fontId="1" fillId="38" borderId="42" xfId="0" applyNumberFormat="1" applyFont="1" applyFill="1" applyBorder="1" applyAlignment="1">
      <alignment horizontal="center"/>
    </xf>
    <xf numFmtId="1" fontId="1" fillId="38" borderId="30" xfId="0" applyNumberFormat="1" applyFont="1" applyFill="1" applyBorder="1" applyAlignment="1">
      <alignment horizontal="center"/>
    </xf>
    <xf numFmtId="2" fontId="1" fillId="35" borderId="30" xfId="0" applyNumberFormat="1" applyFont="1" applyFill="1" applyBorder="1" applyAlignment="1" applyProtection="1">
      <alignment horizontal="center"/>
      <protection/>
    </xf>
    <xf numFmtId="165" fontId="53" fillId="36" borderId="10" xfId="0" applyNumberFormat="1" applyFont="1" applyFill="1" applyBorder="1" applyAlignment="1" applyProtection="1">
      <alignment horizontal="center"/>
      <protection locked="0"/>
    </xf>
    <xf numFmtId="165" fontId="1" fillId="38" borderId="42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/>
    </xf>
    <xf numFmtId="0" fontId="1" fillId="13" borderId="43" xfId="0" applyFont="1" applyFill="1" applyBorder="1" applyAlignment="1">
      <alignment/>
    </xf>
    <xf numFmtId="0" fontId="1" fillId="38" borderId="23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3" borderId="23" xfId="0" applyFont="1" applyFill="1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1" fillId="13" borderId="43" xfId="0" applyFont="1" applyFill="1" applyBorder="1" applyAlignment="1" applyProtection="1">
      <alignment/>
      <protection locked="0"/>
    </xf>
    <xf numFmtId="0" fontId="1" fillId="13" borderId="23" xfId="0" applyFont="1" applyFill="1" applyBorder="1" applyAlignment="1" applyProtection="1">
      <alignment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13" borderId="23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top"/>
    </xf>
    <xf numFmtId="0" fontId="1" fillId="13" borderId="45" xfId="0" applyFont="1" applyFill="1" applyBorder="1" applyAlignment="1">
      <alignment horizontal="left" vertical="center" wrapText="1"/>
    </xf>
    <xf numFmtId="0" fontId="1" fillId="35" borderId="23" xfId="62" applyFont="1" applyFill="1" applyBorder="1" applyAlignment="1" applyProtection="1">
      <alignment horizontal="left" vertical="center" wrapText="1"/>
      <protection locked="0"/>
    </xf>
    <xf numFmtId="0" fontId="1" fillId="35" borderId="41" xfId="62" applyFont="1" applyFill="1" applyBorder="1" applyAlignment="1" applyProtection="1">
      <alignment horizontal="left" vertical="center" wrapText="1"/>
      <protection locked="0"/>
    </xf>
    <xf numFmtId="0" fontId="1" fillId="36" borderId="43" xfId="0" applyFont="1" applyFill="1" applyBorder="1" applyAlignment="1" applyProtection="1">
      <alignment/>
      <protection locked="0"/>
    </xf>
    <xf numFmtId="0" fontId="1" fillId="36" borderId="23" xfId="0" applyFont="1" applyFill="1" applyBorder="1" applyAlignment="1" applyProtection="1">
      <alignment/>
      <protection locked="0"/>
    </xf>
    <xf numFmtId="0" fontId="1" fillId="36" borderId="41" xfId="0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0" fontId="1" fillId="38" borderId="23" xfId="0" applyFont="1" applyFill="1" applyBorder="1" applyAlignment="1" applyProtection="1">
      <alignment/>
      <protection locked="0"/>
    </xf>
    <xf numFmtId="0" fontId="3" fillId="38" borderId="23" xfId="0" applyFont="1" applyFill="1" applyBorder="1" applyAlignment="1" applyProtection="1">
      <alignment/>
      <protection locked="0"/>
    </xf>
    <xf numFmtId="0" fontId="3" fillId="38" borderId="41" xfId="0" applyFont="1" applyFill="1" applyBorder="1" applyAlignment="1" applyProtection="1">
      <alignment/>
      <protection locked="0"/>
    </xf>
    <xf numFmtId="0" fontId="1" fillId="39" borderId="23" xfId="0" applyFont="1" applyFill="1" applyBorder="1" applyAlignment="1" applyProtection="1">
      <alignment/>
      <protection locked="0"/>
    </xf>
    <xf numFmtId="0" fontId="1" fillId="13" borderId="24" xfId="0" applyFont="1" applyFill="1" applyBorder="1" applyAlignment="1">
      <alignment/>
    </xf>
    <xf numFmtId="0" fontId="1" fillId="13" borderId="24" xfId="0" applyFont="1" applyFill="1" applyBorder="1" applyAlignment="1">
      <alignment horizontal="center"/>
    </xf>
    <xf numFmtId="1" fontId="1" fillId="13" borderId="24" xfId="0" applyNumberFormat="1" applyFont="1" applyFill="1" applyBorder="1" applyAlignment="1">
      <alignment horizontal="center"/>
    </xf>
    <xf numFmtId="0" fontId="1" fillId="13" borderId="11" xfId="0" applyFont="1" applyFill="1" applyBorder="1" applyAlignment="1" applyProtection="1">
      <alignment/>
      <protection locked="0"/>
    </xf>
    <xf numFmtId="0" fontId="1" fillId="13" borderId="11" xfId="0" applyFont="1" applyFill="1" applyBorder="1" applyAlignment="1" applyProtection="1">
      <alignment horizontal="center"/>
      <protection locked="0"/>
    </xf>
    <xf numFmtId="1" fontId="1" fillId="13" borderId="11" xfId="0" applyNumberFormat="1" applyFont="1" applyFill="1" applyBorder="1" applyAlignment="1" applyProtection="1">
      <alignment horizontal="center"/>
      <protection locked="0"/>
    </xf>
    <xf numFmtId="2" fontId="1" fillId="13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167" fontId="1" fillId="13" borderId="42" xfId="0" applyNumberFormat="1" applyFont="1" applyFill="1" applyBorder="1" applyAlignment="1">
      <alignment horizontal="center"/>
    </xf>
    <xf numFmtId="167" fontId="1" fillId="39" borderId="42" xfId="0" applyNumberFormat="1" applyFont="1" applyFill="1" applyBorder="1" applyAlignment="1">
      <alignment horizontal="center"/>
    </xf>
    <xf numFmtId="2" fontId="1" fillId="39" borderId="38" xfId="0" applyNumberFormat="1" applyFont="1" applyFill="1" applyBorder="1" applyAlignment="1">
      <alignment horizontal="center"/>
    </xf>
    <xf numFmtId="167" fontId="1" fillId="38" borderId="42" xfId="0" applyNumberFormat="1" applyFont="1" applyFill="1" applyBorder="1" applyAlignment="1">
      <alignment horizontal="center"/>
    </xf>
    <xf numFmtId="2" fontId="1" fillId="38" borderId="38" xfId="0" applyNumberFormat="1" applyFont="1" applyFill="1" applyBorder="1" applyAlignment="1">
      <alignment horizontal="center"/>
    </xf>
    <xf numFmtId="2" fontId="1" fillId="36" borderId="18" xfId="0" applyNumberFormat="1" applyFont="1" applyFill="1" applyBorder="1" applyAlignment="1">
      <alignment horizontal="center"/>
    </xf>
    <xf numFmtId="2" fontId="1" fillId="13" borderId="46" xfId="0" applyNumberFormat="1" applyFont="1" applyFill="1" applyBorder="1" applyAlignment="1">
      <alignment horizontal="center"/>
    </xf>
    <xf numFmtId="2" fontId="1" fillId="13" borderId="47" xfId="0" applyNumberFormat="1" applyFont="1" applyFill="1" applyBorder="1" applyAlignment="1">
      <alignment horizontal="center"/>
    </xf>
    <xf numFmtId="2" fontId="1" fillId="39" borderId="48" xfId="0" applyNumberFormat="1" applyFont="1" applyFill="1" applyBorder="1" applyAlignment="1">
      <alignment horizontal="center"/>
    </xf>
    <xf numFmtId="2" fontId="1" fillId="39" borderId="46" xfId="0" applyNumberFormat="1" applyFont="1" applyFill="1" applyBorder="1" applyAlignment="1">
      <alignment horizontal="center"/>
    </xf>
    <xf numFmtId="2" fontId="1" fillId="39" borderId="49" xfId="0" applyNumberFormat="1" applyFont="1" applyFill="1" applyBorder="1" applyAlignment="1">
      <alignment horizontal="center"/>
    </xf>
    <xf numFmtId="2" fontId="1" fillId="38" borderId="50" xfId="0" applyNumberFormat="1" applyFont="1" applyFill="1" applyBorder="1" applyAlignment="1">
      <alignment horizontal="center"/>
    </xf>
    <xf numFmtId="2" fontId="1" fillId="38" borderId="46" xfId="0" applyNumberFormat="1" applyFont="1" applyFill="1" applyBorder="1" applyAlignment="1">
      <alignment horizontal="center"/>
    </xf>
    <xf numFmtId="0" fontId="1" fillId="35" borderId="30" xfId="0" applyFont="1" applyFill="1" applyBorder="1" applyAlignment="1">
      <alignment horizontal="left"/>
    </xf>
    <xf numFmtId="2" fontId="1" fillId="35" borderId="30" xfId="0" applyNumberFormat="1" applyFont="1" applyFill="1" applyBorder="1" applyAlignment="1">
      <alignment horizontal="right"/>
    </xf>
    <xf numFmtId="1" fontId="1" fillId="35" borderId="30" xfId="0" applyNumberFormat="1" applyFont="1" applyFill="1" applyBorder="1" applyAlignment="1">
      <alignment horizontal="right"/>
    </xf>
    <xf numFmtId="1" fontId="9" fillId="35" borderId="30" xfId="0" applyNumberFormat="1" applyFont="1" applyFill="1" applyBorder="1" applyAlignment="1">
      <alignment horizontal="right"/>
    </xf>
    <xf numFmtId="167" fontId="1" fillId="35" borderId="30" xfId="0" applyNumberFormat="1" applyFont="1" applyFill="1" applyBorder="1" applyAlignment="1">
      <alignment horizontal="right"/>
    </xf>
    <xf numFmtId="2" fontId="1" fillId="35" borderId="32" xfId="0" applyNumberFormat="1" applyFont="1" applyFill="1" applyBorder="1" applyAlignment="1">
      <alignment horizontal="right"/>
    </xf>
    <xf numFmtId="0" fontId="1" fillId="35" borderId="5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39" borderId="43" xfId="0" applyFont="1" applyFill="1" applyBorder="1" applyAlignment="1">
      <alignment/>
    </xf>
    <xf numFmtId="165" fontId="1" fillId="39" borderId="25" xfId="0" applyNumberFormat="1" applyFont="1" applyFill="1" applyBorder="1" applyAlignment="1">
      <alignment horizontal="center"/>
    </xf>
    <xf numFmtId="2" fontId="1" fillId="39" borderId="25" xfId="0" applyNumberFormat="1" applyFont="1" applyFill="1" applyBorder="1" applyAlignment="1">
      <alignment horizontal="center"/>
    </xf>
    <xf numFmtId="0" fontId="1" fillId="39" borderId="23" xfId="0" applyFont="1" applyFill="1" applyBorder="1" applyAlignment="1">
      <alignment/>
    </xf>
    <xf numFmtId="165" fontId="1" fillId="39" borderId="16" xfId="0" applyNumberFormat="1" applyFont="1" applyFill="1" applyBorder="1" applyAlignment="1">
      <alignment horizontal="center"/>
    </xf>
    <xf numFmtId="0" fontId="1" fillId="39" borderId="43" xfId="0" applyFont="1" applyFill="1" applyBorder="1" applyAlignment="1" applyProtection="1">
      <alignment/>
      <protection locked="0"/>
    </xf>
    <xf numFmtId="0" fontId="1" fillId="39" borderId="41" xfId="0" applyFont="1" applyFill="1" applyBorder="1" applyAlignment="1" applyProtection="1">
      <alignment/>
      <protection locked="0"/>
    </xf>
    <xf numFmtId="0" fontId="1" fillId="39" borderId="20" xfId="0" applyFont="1" applyFill="1" applyBorder="1" applyAlignment="1" applyProtection="1">
      <alignment horizontal="left"/>
      <protection locked="0"/>
    </xf>
    <xf numFmtId="0" fontId="1" fillId="39" borderId="18" xfId="0" applyFont="1" applyFill="1" applyBorder="1" applyAlignment="1">
      <alignment horizontal="center"/>
    </xf>
    <xf numFmtId="0" fontId="1" fillId="13" borderId="20" xfId="0" applyFont="1" applyFill="1" applyBorder="1" applyAlignment="1" applyProtection="1">
      <alignment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40" borderId="15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/>
      <protection locked="0"/>
    </xf>
    <xf numFmtId="165" fontId="1" fillId="34" borderId="10" xfId="0" applyNumberFormat="1" applyFont="1" applyFill="1" applyBorder="1" applyAlignment="1" applyProtection="1">
      <alignment/>
      <protection locked="0"/>
    </xf>
    <xf numFmtId="165" fontId="1" fillId="34" borderId="15" xfId="0" applyNumberFormat="1" applyFont="1" applyFill="1" applyBorder="1" applyAlignment="1" applyProtection="1">
      <alignment/>
      <protection locked="0"/>
    </xf>
    <xf numFmtId="165" fontId="1" fillId="13" borderId="14" xfId="0" applyNumberFormat="1" applyFont="1" applyFill="1" applyBorder="1" applyAlignment="1" applyProtection="1">
      <alignment/>
      <protection locked="0"/>
    </xf>
    <xf numFmtId="165" fontId="1" fillId="13" borderId="10" xfId="0" applyNumberFormat="1" applyFont="1" applyFill="1" applyBorder="1" applyAlignment="1" applyProtection="1">
      <alignment/>
      <protection locked="0"/>
    </xf>
    <xf numFmtId="165" fontId="1" fillId="39" borderId="30" xfId="0" applyNumberFormat="1" applyFont="1" applyFill="1" applyBorder="1" applyAlignment="1" applyProtection="1">
      <alignment horizontal="center"/>
      <protection locked="0"/>
    </xf>
    <xf numFmtId="165" fontId="1" fillId="40" borderId="20" xfId="0" applyNumberFormat="1" applyFont="1" applyFill="1" applyBorder="1" applyAlignment="1" applyProtection="1">
      <alignment horizontal="center"/>
      <protection locked="0"/>
    </xf>
    <xf numFmtId="0" fontId="1" fillId="40" borderId="15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/>
      <protection locked="0"/>
    </xf>
    <xf numFmtId="0" fontId="1" fillId="35" borderId="26" xfId="0" applyFont="1" applyFill="1" applyBorder="1" applyAlignment="1" applyProtection="1">
      <alignment horizontal="center"/>
      <protection locked="0"/>
    </xf>
    <xf numFmtId="165" fontId="1" fillId="35" borderId="26" xfId="0" applyNumberFormat="1" applyFont="1" applyFill="1" applyBorder="1" applyAlignment="1" applyProtection="1">
      <alignment horizontal="center"/>
      <protection locked="0"/>
    </xf>
    <xf numFmtId="165" fontId="1" fillId="35" borderId="27" xfId="0" applyNumberFormat="1" applyFont="1" applyFill="1" applyBorder="1" applyAlignment="1" applyProtection="1">
      <alignment horizontal="center"/>
      <protection locked="0"/>
    </xf>
    <xf numFmtId="0" fontId="1" fillId="13" borderId="14" xfId="0" applyFont="1" applyFill="1" applyBorder="1" applyAlignment="1" applyProtection="1">
      <alignment/>
      <protection locked="0"/>
    </xf>
    <xf numFmtId="166" fontId="1" fillId="33" borderId="20" xfId="0" applyNumberFormat="1" applyFont="1" applyFill="1" applyBorder="1" applyAlignment="1" applyProtection="1">
      <alignment/>
      <protection locked="0"/>
    </xf>
    <xf numFmtId="166" fontId="1" fillId="13" borderId="14" xfId="0" applyNumberFormat="1" applyFont="1" applyFill="1" applyBorder="1" applyAlignment="1" applyProtection="1">
      <alignment/>
      <protection locked="0"/>
    </xf>
    <xf numFmtId="166" fontId="1" fillId="13" borderId="10" xfId="0" applyNumberFormat="1" applyFont="1" applyFill="1" applyBorder="1" applyAlignment="1" applyProtection="1">
      <alignment/>
      <protection locked="0"/>
    </xf>
    <xf numFmtId="166" fontId="1" fillId="13" borderId="15" xfId="0" applyNumberFormat="1" applyFont="1" applyFill="1" applyBorder="1" applyAlignment="1" applyProtection="1">
      <alignment/>
      <protection locked="0"/>
    </xf>
    <xf numFmtId="166" fontId="1" fillId="39" borderId="14" xfId="0" applyNumberFormat="1" applyFont="1" applyFill="1" applyBorder="1" applyAlignment="1" applyProtection="1">
      <alignment/>
      <protection locked="0"/>
    </xf>
    <xf numFmtId="166" fontId="1" fillId="39" borderId="10" xfId="0" applyNumberFormat="1" applyFont="1" applyFill="1" applyBorder="1" applyAlignment="1" applyProtection="1">
      <alignment/>
      <protection locked="0"/>
    </xf>
    <xf numFmtId="166" fontId="1" fillId="38" borderId="10" xfId="0" applyNumberFormat="1" applyFont="1" applyFill="1" applyBorder="1" applyAlignment="1" applyProtection="1">
      <alignment horizontal="left" indent="4"/>
      <protection locked="0"/>
    </xf>
    <xf numFmtId="166" fontId="1" fillId="39" borderId="15" xfId="0" applyNumberFormat="1" applyFont="1" applyFill="1" applyBorder="1" applyAlignment="1" applyProtection="1">
      <alignment/>
      <protection locked="0"/>
    </xf>
    <xf numFmtId="0" fontId="1" fillId="36" borderId="20" xfId="0" applyFont="1" applyFill="1" applyBorder="1" applyAlignment="1" applyProtection="1">
      <alignment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1" fillId="39" borderId="10" xfId="58" applyFont="1" applyFill="1" applyBorder="1" applyAlignment="1" applyProtection="1">
      <alignment vertical="top"/>
      <protection locked="0"/>
    </xf>
    <xf numFmtId="3" fontId="9" fillId="39" borderId="10" xfId="58" applyNumberFormat="1" applyFont="1" applyFill="1" applyBorder="1" applyAlignment="1" applyProtection="1">
      <alignment vertical="top"/>
      <protection locked="0"/>
    </xf>
    <xf numFmtId="0" fontId="1" fillId="39" borderId="10" xfId="58" applyFont="1" applyFill="1" applyBorder="1" applyAlignment="1" applyProtection="1">
      <alignment horizontal="center"/>
      <protection locked="0"/>
    </xf>
    <xf numFmtId="0" fontId="1" fillId="36" borderId="10" xfId="58" applyFont="1" applyFill="1" applyBorder="1" applyAlignment="1" applyProtection="1">
      <alignment vertical="top"/>
      <protection locked="0"/>
    </xf>
    <xf numFmtId="3" fontId="9" fillId="36" borderId="10" xfId="58" applyNumberFormat="1" applyFont="1" applyFill="1" applyBorder="1" applyAlignment="1" applyProtection="1">
      <alignment vertical="top"/>
      <protection locked="0"/>
    </xf>
    <xf numFmtId="0" fontId="1" fillId="36" borderId="10" xfId="58" applyFont="1" applyFill="1" applyBorder="1" applyAlignment="1" applyProtection="1">
      <alignment horizontal="center"/>
      <protection locked="0"/>
    </xf>
    <xf numFmtId="0" fontId="1" fillId="13" borderId="10" xfId="58" applyFont="1" applyFill="1" applyBorder="1" applyAlignment="1" applyProtection="1">
      <alignment vertical="top"/>
      <protection locked="0"/>
    </xf>
    <xf numFmtId="3" fontId="9" fillId="13" borderId="10" xfId="58" applyNumberFormat="1" applyFont="1" applyFill="1" applyBorder="1" applyAlignment="1" applyProtection="1">
      <alignment vertical="top"/>
      <protection locked="0"/>
    </xf>
    <xf numFmtId="0" fontId="1" fillId="13" borderId="10" xfId="58" applyFont="1" applyFill="1" applyBorder="1" applyAlignment="1" applyProtection="1">
      <alignment horizontal="center"/>
      <protection locked="0"/>
    </xf>
    <xf numFmtId="0" fontId="1" fillId="38" borderId="10" xfId="58" applyFont="1" applyFill="1" applyBorder="1" applyAlignment="1" applyProtection="1">
      <alignment vertical="top"/>
      <protection locked="0"/>
    </xf>
    <xf numFmtId="3" fontId="9" fillId="38" borderId="10" xfId="58" applyNumberFormat="1" applyFont="1" applyFill="1" applyBorder="1" applyAlignment="1" applyProtection="1">
      <alignment vertical="top"/>
      <protection locked="0"/>
    </xf>
    <xf numFmtId="0" fontId="1" fillId="38" borderId="10" xfId="58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1" fillId="13" borderId="3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>
      <alignment horizontal="center"/>
    </xf>
    <xf numFmtId="166" fontId="1" fillId="33" borderId="10" xfId="0" applyNumberFormat="1" applyFont="1" applyFill="1" applyBorder="1" applyAlignment="1" applyProtection="1">
      <alignment/>
      <protection locked="0"/>
    </xf>
    <xf numFmtId="166" fontId="1" fillId="33" borderId="15" xfId="0" applyNumberFormat="1" applyFont="1" applyFill="1" applyBorder="1" applyAlignment="1" applyProtection="1">
      <alignment/>
      <protection locked="0"/>
    </xf>
    <xf numFmtId="2" fontId="1" fillId="40" borderId="17" xfId="0" applyNumberFormat="1" applyFont="1" applyFill="1" applyBorder="1" applyAlignment="1">
      <alignment horizontal="center"/>
    </xf>
    <xf numFmtId="165" fontId="1" fillId="40" borderId="15" xfId="0" applyNumberFormat="1" applyFont="1" applyFill="1" applyBorder="1" applyAlignment="1">
      <alignment horizontal="center"/>
    </xf>
    <xf numFmtId="166" fontId="1" fillId="35" borderId="14" xfId="0" applyNumberFormat="1" applyFont="1" applyFill="1" applyBorder="1" applyAlignment="1" applyProtection="1">
      <alignment/>
      <protection locked="0"/>
    </xf>
    <xf numFmtId="0" fontId="1" fillId="39" borderId="23" xfId="0" applyFont="1" applyFill="1" applyBorder="1" applyAlignment="1">
      <alignment horizontal="left"/>
    </xf>
    <xf numFmtId="0" fontId="1" fillId="40" borderId="10" xfId="62" applyFont="1" applyFill="1" applyBorder="1">
      <alignment/>
      <protection/>
    </xf>
    <xf numFmtId="0" fontId="1" fillId="40" borderId="10" xfId="62" applyFont="1" applyFill="1" applyBorder="1" applyAlignment="1">
      <alignment horizontal="center"/>
      <protection/>
    </xf>
    <xf numFmtId="165" fontId="1" fillId="40" borderId="10" xfId="62" applyNumberFormat="1" applyFont="1" applyFill="1" applyBorder="1" applyAlignment="1">
      <alignment horizontal="center"/>
      <protection/>
    </xf>
    <xf numFmtId="1" fontId="1" fillId="40" borderId="10" xfId="62" applyNumberFormat="1" applyFont="1" applyFill="1" applyBorder="1" applyAlignment="1">
      <alignment horizontal="center"/>
      <protection/>
    </xf>
    <xf numFmtId="167" fontId="1" fillId="40" borderId="10" xfId="62" applyNumberFormat="1" applyFont="1" applyFill="1" applyBorder="1" applyAlignment="1">
      <alignment horizontal="center"/>
      <protection/>
    </xf>
    <xf numFmtId="2" fontId="1" fillId="40" borderId="10" xfId="62" applyNumberFormat="1" applyFont="1" applyFill="1" applyBorder="1" applyAlignment="1">
      <alignment horizontal="center"/>
      <protection/>
    </xf>
    <xf numFmtId="2" fontId="1" fillId="40" borderId="20" xfId="62" applyNumberFormat="1" applyFont="1" applyFill="1" applyBorder="1" applyAlignment="1">
      <alignment horizontal="center"/>
      <protection/>
    </xf>
    <xf numFmtId="2" fontId="1" fillId="40" borderId="48" xfId="62" applyNumberFormat="1" applyFont="1" applyFill="1" applyBorder="1" applyAlignment="1">
      <alignment horizontal="center"/>
      <protection/>
    </xf>
    <xf numFmtId="2" fontId="1" fillId="40" borderId="17" xfId="62" applyNumberFormat="1" applyFont="1" applyFill="1" applyBorder="1" applyAlignment="1">
      <alignment horizontal="center"/>
      <protection/>
    </xf>
    <xf numFmtId="0" fontId="1" fillId="40" borderId="20" xfId="0" applyFont="1" applyFill="1" applyBorder="1" applyAlignment="1" applyProtection="1">
      <alignment horizontal="left"/>
      <protection locked="0"/>
    </xf>
    <xf numFmtId="0" fontId="1" fillId="40" borderId="20" xfId="0" applyFont="1" applyFill="1" applyBorder="1" applyAlignment="1" applyProtection="1">
      <alignment horizontal="center"/>
      <protection locked="0"/>
    </xf>
    <xf numFmtId="0" fontId="1" fillId="40" borderId="15" xfId="0" applyFont="1" applyFill="1" applyBorder="1" applyAlignment="1" applyProtection="1">
      <alignment horizontal="left"/>
      <protection locked="0"/>
    </xf>
    <xf numFmtId="165" fontId="1" fillId="40" borderId="15" xfId="0" applyNumberFormat="1" applyFont="1" applyFill="1" applyBorder="1" applyAlignment="1" applyProtection="1">
      <alignment horizontal="center"/>
      <protection locked="0"/>
    </xf>
    <xf numFmtId="1" fontId="1" fillId="40" borderId="15" xfId="0" applyNumberFormat="1" applyFont="1" applyFill="1" applyBorder="1" applyAlignment="1" applyProtection="1">
      <alignment horizontal="center"/>
      <protection locked="0"/>
    </xf>
    <xf numFmtId="167" fontId="1" fillId="40" borderId="15" xfId="0" applyNumberFormat="1" applyFont="1" applyFill="1" applyBorder="1" applyAlignment="1" applyProtection="1">
      <alignment horizontal="center"/>
      <protection/>
    </xf>
    <xf numFmtId="2" fontId="1" fillId="40" borderId="15" xfId="0" applyNumberFormat="1" applyFont="1" applyFill="1" applyBorder="1" applyAlignment="1" applyProtection="1">
      <alignment horizontal="center"/>
      <protection locked="0"/>
    </xf>
    <xf numFmtId="2" fontId="1" fillId="40" borderId="15" xfId="0" applyNumberFormat="1" applyFont="1" applyFill="1" applyBorder="1" applyAlignment="1" applyProtection="1">
      <alignment horizontal="center"/>
      <protection/>
    </xf>
    <xf numFmtId="2" fontId="1" fillId="40" borderId="18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166" fontId="1" fillId="35" borderId="15" xfId="0" applyNumberFormat="1" applyFont="1" applyFill="1" applyBorder="1" applyAlignment="1" applyProtection="1">
      <alignment/>
      <protection locked="0"/>
    </xf>
    <xf numFmtId="0" fontId="1" fillId="38" borderId="11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1" fillId="34" borderId="42" xfId="0" applyFont="1" applyFill="1" applyBorder="1" applyAlignment="1" applyProtection="1">
      <alignment/>
      <protection locked="0"/>
    </xf>
    <xf numFmtId="0" fontId="1" fillId="35" borderId="42" xfId="0" applyFont="1" applyFill="1" applyBorder="1" applyAlignment="1" applyProtection="1">
      <alignment/>
      <protection locked="0"/>
    </xf>
    <xf numFmtId="0" fontId="1" fillId="35" borderId="42" xfId="0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/>
      <protection locked="0"/>
    </xf>
    <xf numFmtId="2" fontId="1" fillId="36" borderId="2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166" fontId="1" fillId="0" borderId="0" xfId="0" applyNumberFormat="1" applyFont="1" applyFill="1" applyBorder="1" applyAlignment="1" applyProtection="1">
      <alignment/>
      <protection locked="0"/>
    </xf>
    <xf numFmtId="166" fontId="1" fillId="0" borderId="0" xfId="0" applyNumberFormat="1" applyFont="1" applyFill="1" applyBorder="1" applyAlignment="1" applyProtection="1">
      <alignment horizontal="left" indent="4"/>
      <protection locked="0"/>
    </xf>
    <xf numFmtId="167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 horizontal="left" indent="3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39" borderId="20" xfId="0" applyFont="1" applyFill="1" applyBorder="1" applyAlignment="1" applyProtection="1">
      <alignment/>
      <protection locked="0"/>
    </xf>
    <xf numFmtId="166" fontId="1" fillId="39" borderId="15" xfId="0" applyNumberFormat="1" applyFont="1" applyFill="1" applyBorder="1" applyAlignment="1" applyProtection="1">
      <alignment horizontal="center"/>
      <protection locked="0"/>
    </xf>
    <xf numFmtId="165" fontId="1" fillId="13" borderId="19" xfId="0" applyNumberFormat="1" applyFont="1" applyFill="1" applyBorder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165" fontId="1" fillId="38" borderId="25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1" fillId="13" borderId="14" xfId="0" applyNumberFormat="1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2" fontId="1" fillId="13" borderId="15" xfId="0" applyNumberFormat="1" applyFont="1" applyFill="1" applyBorder="1" applyAlignment="1">
      <alignment horizontal="center" vertical="center"/>
    </xf>
    <xf numFmtId="2" fontId="1" fillId="39" borderId="14" xfId="0" applyNumberFormat="1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/>
    </xf>
    <xf numFmtId="2" fontId="1" fillId="39" borderId="15" xfId="0" applyNumberFormat="1" applyFont="1" applyFill="1" applyBorder="1" applyAlignment="1">
      <alignment horizontal="center" vertical="center"/>
    </xf>
    <xf numFmtId="2" fontId="1" fillId="38" borderId="14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38" borderId="15" xfId="0" applyNumberFormat="1" applyFont="1" applyFill="1" applyBorder="1" applyAlignment="1">
      <alignment horizontal="center" vertical="center"/>
    </xf>
    <xf numFmtId="1" fontId="1" fillId="39" borderId="30" xfId="0" applyNumberFormat="1" applyFont="1" applyFill="1" applyBorder="1" applyAlignment="1" applyProtection="1">
      <alignment horizontal="center"/>
      <protection locked="0"/>
    </xf>
    <xf numFmtId="1" fontId="1" fillId="38" borderId="30" xfId="0" applyNumberFormat="1" applyFont="1" applyFill="1" applyBorder="1" applyAlignment="1" applyProtection="1">
      <alignment horizontal="center"/>
      <protection locked="0"/>
    </xf>
    <xf numFmtId="2" fontId="1" fillId="39" borderId="30" xfId="0" applyNumberFormat="1" applyFont="1" applyFill="1" applyBorder="1" applyAlignment="1" applyProtection="1">
      <alignment horizontal="center"/>
      <protection locked="0"/>
    </xf>
    <xf numFmtId="2" fontId="1" fillId="38" borderId="30" xfId="0" applyNumberFormat="1" applyFont="1" applyFill="1" applyBorder="1" applyAlignment="1" applyProtection="1">
      <alignment horizontal="center"/>
      <protection locked="0"/>
    </xf>
    <xf numFmtId="1" fontId="1" fillId="39" borderId="10" xfId="58" applyNumberFormat="1" applyFont="1" applyFill="1" applyBorder="1" applyAlignment="1">
      <alignment horizontal="center" vertical="top" wrapText="1"/>
      <protection/>
    </xf>
    <xf numFmtId="165" fontId="1" fillId="39" borderId="10" xfId="58" applyNumberFormat="1" applyFont="1" applyFill="1" applyBorder="1" applyAlignment="1">
      <alignment horizontal="center" vertical="top" wrapText="1"/>
      <protection/>
    </xf>
    <xf numFmtId="2" fontId="1" fillId="36" borderId="20" xfId="0" applyNumberFormat="1" applyFont="1" applyFill="1" applyBorder="1" applyAlignment="1" applyProtection="1">
      <alignment horizontal="center"/>
      <protection locked="0"/>
    </xf>
    <xf numFmtId="167" fontId="1" fillId="36" borderId="20" xfId="0" applyNumberFormat="1" applyFont="1" applyFill="1" applyBorder="1" applyAlignment="1" applyProtection="1">
      <alignment horizontal="center"/>
      <protection/>
    </xf>
    <xf numFmtId="1" fontId="1" fillId="36" borderId="20" xfId="0" applyNumberFormat="1" applyFont="1" applyFill="1" applyBorder="1" applyAlignment="1" applyProtection="1">
      <alignment horizontal="center"/>
      <protection locked="0"/>
    </xf>
    <xf numFmtId="2" fontId="1" fillId="36" borderId="42" xfId="0" applyNumberFormat="1" applyFont="1" applyFill="1" applyBorder="1" applyAlignment="1" applyProtection="1">
      <alignment horizontal="center"/>
      <protection locked="0"/>
    </xf>
    <xf numFmtId="1" fontId="9" fillId="36" borderId="10" xfId="58" applyNumberFormat="1" applyFont="1" applyFill="1" applyBorder="1" applyAlignment="1" applyProtection="1">
      <alignment horizontal="center" vertical="top"/>
      <protection locked="0"/>
    </xf>
    <xf numFmtId="1" fontId="9" fillId="13" borderId="10" xfId="58" applyNumberFormat="1" applyFont="1" applyFill="1" applyBorder="1" applyAlignment="1" applyProtection="1">
      <alignment horizontal="center" vertical="top"/>
      <protection locked="0"/>
    </xf>
    <xf numFmtId="1" fontId="9" fillId="39" borderId="10" xfId="58" applyNumberFormat="1" applyFont="1" applyFill="1" applyBorder="1" applyAlignment="1" applyProtection="1">
      <alignment horizontal="center" vertical="top"/>
      <protection locked="0"/>
    </xf>
    <xf numFmtId="1" fontId="9" fillId="38" borderId="10" xfId="58" applyNumberFormat="1" applyFont="1" applyFill="1" applyBorder="1" applyAlignment="1" applyProtection="1">
      <alignment horizontal="center" vertical="top"/>
      <protection locked="0"/>
    </xf>
    <xf numFmtId="165" fontId="1" fillId="36" borderId="10" xfId="58" applyNumberFormat="1" applyFont="1" applyFill="1" applyBorder="1" applyAlignment="1" applyProtection="1">
      <alignment horizontal="center"/>
      <protection locked="0"/>
    </xf>
    <xf numFmtId="165" fontId="9" fillId="36" borderId="10" xfId="58" applyNumberFormat="1" applyFont="1" applyFill="1" applyBorder="1" applyAlignment="1" applyProtection="1">
      <alignment horizontal="center" vertical="top"/>
      <protection locked="0"/>
    </xf>
    <xf numFmtId="167" fontId="1" fillId="36" borderId="10" xfId="58" applyNumberFormat="1" applyFont="1" applyFill="1" applyBorder="1" applyAlignment="1" applyProtection="1">
      <alignment horizontal="center"/>
      <protection/>
    </xf>
    <xf numFmtId="2" fontId="1" fillId="36" borderId="10" xfId="58" applyNumberFormat="1" applyFont="1" applyFill="1" applyBorder="1" applyAlignment="1" applyProtection="1">
      <alignment horizontal="center"/>
      <protection locked="0"/>
    </xf>
    <xf numFmtId="2" fontId="1" fillId="36" borderId="10" xfId="58" applyNumberFormat="1" applyFont="1" applyFill="1" applyBorder="1" applyAlignment="1" applyProtection="1">
      <alignment horizontal="center"/>
      <protection/>
    </xf>
    <xf numFmtId="165" fontId="1" fillId="13" borderId="10" xfId="58" applyNumberFormat="1" applyFont="1" applyFill="1" applyBorder="1" applyAlignment="1" applyProtection="1">
      <alignment horizontal="center"/>
      <protection locked="0"/>
    </xf>
    <xf numFmtId="165" fontId="9" fillId="13" borderId="10" xfId="58" applyNumberFormat="1" applyFont="1" applyFill="1" applyBorder="1" applyAlignment="1" applyProtection="1">
      <alignment horizontal="center" vertical="top"/>
      <protection locked="0"/>
    </xf>
    <xf numFmtId="167" fontId="1" fillId="13" borderId="10" xfId="58" applyNumberFormat="1" applyFont="1" applyFill="1" applyBorder="1" applyAlignment="1" applyProtection="1">
      <alignment horizontal="center"/>
      <protection/>
    </xf>
    <xf numFmtId="2" fontId="1" fillId="13" borderId="10" xfId="58" applyNumberFormat="1" applyFont="1" applyFill="1" applyBorder="1" applyAlignment="1" applyProtection="1">
      <alignment horizontal="center"/>
      <protection locked="0"/>
    </xf>
    <xf numFmtId="2" fontId="1" fillId="13" borderId="10" xfId="58" applyNumberFormat="1" applyFont="1" applyFill="1" applyBorder="1" applyAlignment="1" applyProtection="1">
      <alignment horizontal="center"/>
      <protection/>
    </xf>
    <xf numFmtId="165" fontId="1" fillId="39" borderId="10" xfId="58" applyNumberFormat="1" applyFont="1" applyFill="1" applyBorder="1" applyAlignment="1" applyProtection="1">
      <alignment horizontal="center"/>
      <protection locked="0"/>
    </xf>
    <xf numFmtId="165" fontId="9" fillId="39" borderId="10" xfId="58" applyNumberFormat="1" applyFont="1" applyFill="1" applyBorder="1" applyAlignment="1" applyProtection="1">
      <alignment horizontal="center" vertical="top"/>
      <protection locked="0"/>
    </xf>
    <xf numFmtId="167" fontId="1" fillId="39" borderId="10" xfId="58" applyNumberFormat="1" applyFont="1" applyFill="1" applyBorder="1" applyAlignment="1" applyProtection="1">
      <alignment horizontal="center"/>
      <protection/>
    </xf>
    <xf numFmtId="2" fontId="1" fillId="39" borderId="10" xfId="58" applyNumberFormat="1" applyFont="1" applyFill="1" applyBorder="1" applyAlignment="1" applyProtection="1">
      <alignment horizontal="center"/>
      <protection locked="0"/>
    </xf>
    <xf numFmtId="2" fontId="1" fillId="39" borderId="10" xfId="58" applyNumberFormat="1" applyFont="1" applyFill="1" applyBorder="1" applyAlignment="1" applyProtection="1">
      <alignment horizontal="center"/>
      <protection/>
    </xf>
    <xf numFmtId="165" fontId="1" fillId="38" borderId="10" xfId="58" applyNumberFormat="1" applyFont="1" applyFill="1" applyBorder="1" applyAlignment="1" applyProtection="1">
      <alignment horizontal="center"/>
      <protection locked="0"/>
    </xf>
    <xf numFmtId="165" fontId="9" fillId="38" borderId="10" xfId="58" applyNumberFormat="1" applyFont="1" applyFill="1" applyBorder="1" applyAlignment="1" applyProtection="1">
      <alignment horizontal="center" vertical="top"/>
      <protection locked="0"/>
    </xf>
    <xf numFmtId="167" fontId="1" fillId="38" borderId="10" xfId="58" applyNumberFormat="1" applyFont="1" applyFill="1" applyBorder="1" applyAlignment="1" applyProtection="1">
      <alignment horizontal="center"/>
      <protection/>
    </xf>
    <xf numFmtId="2" fontId="1" fillId="38" borderId="10" xfId="58" applyNumberFormat="1" applyFont="1" applyFill="1" applyBorder="1" applyAlignment="1" applyProtection="1">
      <alignment horizontal="center"/>
      <protection locked="0"/>
    </xf>
    <xf numFmtId="2" fontId="1" fillId="38" borderId="10" xfId="58" applyNumberFormat="1" applyFont="1" applyFill="1" applyBorder="1" applyAlignment="1" applyProtection="1">
      <alignment horizontal="center"/>
      <protection/>
    </xf>
    <xf numFmtId="2" fontId="1" fillId="13" borderId="50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13" borderId="14" xfId="0" applyNumberFormat="1" applyFont="1" applyFill="1" applyBorder="1" applyAlignment="1">
      <alignment horizontal="center"/>
    </xf>
    <xf numFmtId="165" fontId="1" fillId="34" borderId="30" xfId="0" applyNumberFormat="1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165" fontId="1" fillId="33" borderId="14" xfId="42" applyNumberFormat="1" applyFont="1" applyFill="1" applyBorder="1" applyAlignment="1">
      <alignment horizontal="center"/>
    </xf>
    <xf numFmtId="2" fontId="1" fillId="13" borderId="48" xfId="0" applyNumberFormat="1" applyFont="1" applyFill="1" applyBorder="1" applyAlignment="1">
      <alignment horizontal="center"/>
    </xf>
    <xf numFmtId="2" fontId="1" fillId="40" borderId="20" xfId="0" applyNumberFormat="1" applyFont="1" applyFill="1" applyBorder="1" applyAlignment="1">
      <alignment horizontal="center"/>
    </xf>
    <xf numFmtId="167" fontId="1" fillId="40" borderId="20" xfId="0" applyNumberFormat="1" applyFont="1" applyFill="1" applyBorder="1" applyAlignment="1">
      <alignment horizontal="center"/>
    </xf>
    <xf numFmtId="2" fontId="1" fillId="40" borderId="24" xfId="0" applyNumberFormat="1" applyFont="1" applyFill="1" applyBorder="1" applyAlignment="1">
      <alignment horizontal="center"/>
    </xf>
    <xf numFmtId="2" fontId="1" fillId="40" borderId="48" xfId="0" applyNumberFormat="1" applyFont="1" applyFill="1" applyBorder="1" applyAlignment="1">
      <alignment horizontal="center"/>
    </xf>
    <xf numFmtId="2" fontId="1" fillId="38" borderId="48" xfId="0" applyNumberFormat="1" applyFont="1" applyFill="1" applyBorder="1" applyAlignment="1">
      <alignment horizontal="center"/>
    </xf>
    <xf numFmtId="166" fontId="1" fillId="34" borderId="20" xfId="0" applyNumberFormat="1" applyFont="1" applyFill="1" applyBorder="1" applyAlignment="1" applyProtection="1">
      <alignment horizontal="center"/>
      <protection locked="0"/>
    </xf>
    <xf numFmtId="2" fontId="1" fillId="13" borderId="24" xfId="0" applyNumberFormat="1" applyFont="1" applyFill="1" applyBorder="1" applyAlignment="1" applyProtection="1">
      <alignment horizontal="center"/>
      <protection/>
    </xf>
    <xf numFmtId="167" fontId="1" fillId="38" borderId="11" xfId="0" applyNumberFormat="1" applyFont="1" applyFill="1" applyBorder="1" applyAlignment="1" applyProtection="1">
      <alignment horizontal="center"/>
      <protection/>
    </xf>
    <xf numFmtId="2" fontId="1" fillId="38" borderId="11" xfId="0" applyNumberFormat="1" applyFont="1" applyFill="1" applyBorder="1" applyAlignment="1" applyProtection="1">
      <alignment horizontal="center"/>
      <protection/>
    </xf>
    <xf numFmtId="2" fontId="1" fillId="38" borderId="12" xfId="0" applyNumberFormat="1" applyFont="1" applyFill="1" applyBorder="1" applyAlignment="1" applyProtection="1">
      <alignment horizontal="center"/>
      <protection/>
    </xf>
    <xf numFmtId="165" fontId="1" fillId="38" borderId="10" xfId="0" applyNumberFormat="1" applyFont="1" applyFill="1" applyBorder="1" applyAlignment="1">
      <alignment horizontal="center"/>
    </xf>
    <xf numFmtId="165" fontId="1" fillId="38" borderId="11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1" fontId="1" fillId="38" borderId="11" xfId="0" applyNumberFormat="1" applyFont="1" applyFill="1" applyBorder="1" applyAlignment="1">
      <alignment horizontal="center"/>
    </xf>
    <xf numFmtId="2" fontId="1" fillId="38" borderId="11" xfId="0" applyNumberFormat="1" applyFont="1" applyFill="1" applyBorder="1" applyAlignment="1" applyProtection="1">
      <alignment horizontal="center"/>
      <protection locked="0"/>
    </xf>
    <xf numFmtId="165" fontId="1" fillId="13" borderId="42" xfId="0" applyNumberFormat="1" applyFont="1" applyFill="1" applyBorder="1" applyAlignment="1" applyProtection="1">
      <alignment horizontal="center"/>
      <protection locked="0"/>
    </xf>
    <xf numFmtId="165" fontId="1" fillId="35" borderId="24" xfId="0" applyNumberFormat="1" applyFont="1" applyFill="1" applyBorder="1" applyAlignment="1" applyProtection="1">
      <alignment horizontal="center"/>
      <protection locked="0"/>
    </xf>
    <xf numFmtId="2" fontId="1" fillId="35" borderId="24" xfId="0" applyNumberFormat="1" applyFont="1" applyFill="1" applyBorder="1" applyAlignment="1" applyProtection="1">
      <alignment horizontal="center"/>
      <protection locked="0"/>
    </xf>
    <xf numFmtId="2" fontId="1" fillId="38" borderId="24" xfId="0" applyNumberFormat="1" applyFont="1" applyFill="1" applyBorder="1" applyAlignment="1" applyProtection="1">
      <alignment horizontal="center"/>
      <protection locked="0"/>
    </xf>
    <xf numFmtId="2" fontId="1" fillId="38" borderId="39" xfId="0" applyNumberFormat="1" applyFont="1" applyFill="1" applyBorder="1" applyAlignment="1" applyProtection="1">
      <alignment horizontal="center"/>
      <protection/>
    </xf>
    <xf numFmtId="2" fontId="1" fillId="35" borderId="24" xfId="0" applyNumberFormat="1" applyFont="1" applyFill="1" applyBorder="1" applyAlignment="1" applyProtection="1">
      <alignment horizontal="center"/>
      <protection/>
    </xf>
    <xf numFmtId="2" fontId="1" fillId="35" borderId="32" xfId="0" applyNumberFormat="1" applyFont="1" applyFill="1" applyBorder="1" applyAlignment="1" applyProtection="1">
      <alignment horizontal="center"/>
      <protection/>
    </xf>
    <xf numFmtId="167" fontId="1" fillId="33" borderId="14" xfId="0" applyNumberFormat="1" applyFont="1" applyFill="1" applyBorder="1" applyAlignment="1" applyProtection="1">
      <alignment horizontal="center" vertical="center"/>
      <protection/>
    </xf>
    <xf numFmtId="2" fontId="1" fillId="33" borderId="42" xfId="0" applyNumberFormat="1" applyFont="1" applyFill="1" applyBorder="1" applyAlignment="1" applyProtection="1">
      <alignment horizontal="center" vertical="center"/>
      <protection locked="0"/>
    </xf>
    <xf numFmtId="2" fontId="1" fillId="33" borderId="25" xfId="0" applyNumberFormat="1" applyFont="1" applyFill="1" applyBorder="1" applyAlignment="1" applyProtection="1">
      <alignment horizontal="center" vertical="center"/>
      <protection/>
    </xf>
    <xf numFmtId="2" fontId="1" fillId="33" borderId="29" xfId="0" applyNumberFormat="1" applyFont="1" applyFill="1" applyBorder="1" applyAlignment="1" applyProtection="1">
      <alignment horizontal="center" vertical="center"/>
      <protection/>
    </xf>
    <xf numFmtId="2" fontId="1" fillId="13" borderId="20" xfId="0" applyNumberFormat="1" applyFont="1" applyFill="1" applyBorder="1" applyAlignment="1" applyProtection="1">
      <alignment horizontal="center" vertical="center"/>
      <protection locked="0"/>
    </xf>
    <xf numFmtId="2" fontId="1" fillId="13" borderId="10" xfId="0" applyNumberFormat="1" applyFont="1" applyFill="1" applyBorder="1" applyAlignment="1" applyProtection="1">
      <alignment horizontal="center" vertical="center"/>
      <protection locked="0"/>
    </xf>
    <xf numFmtId="167" fontId="1" fillId="13" borderId="10" xfId="0" applyNumberFormat="1" applyFont="1" applyFill="1" applyBorder="1" applyAlignment="1" applyProtection="1">
      <alignment horizontal="center" vertical="center"/>
      <protection/>
    </xf>
    <xf numFmtId="2" fontId="1" fillId="13" borderId="10" xfId="0" applyNumberFormat="1" applyFont="1" applyFill="1" applyBorder="1" applyAlignment="1" applyProtection="1">
      <alignment horizontal="center" vertical="center"/>
      <protection/>
    </xf>
    <xf numFmtId="2" fontId="1" fillId="13" borderId="27" xfId="0" applyNumberFormat="1" applyFont="1" applyFill="1" applyBorder="1" applyAlignment="1" applyProtection="1">
      <alignment horizontal="center" vertical="center"/>
      <protection/>
    </xf>
    <xf numFmtId="2" fontId="1" fillId="13" borderId="17" xfId="0" applyNumberFormat="1" applyFont="1" applyFill="1" applyBorder="1" applyAlignment="1" applyProtection="1">
      <alignment horizontal="center" vertical="center"/>
      <protection/>
    </xf>
    <xf numFmtId="2" fontId="1" fillId="39" borderId="10" xfId="0" applyNumberFormat="1" applyFont="1" applyFill="1" applyBorder="1" applyAlignment="1" applyProtection="1">
      <alignment horizontal="center" vertical="center"/>
      <protection locked="0"/>
    </xf>
    <xf numFmtId="167" fontId="1" fillId="39" borderId="10" xfId="0" applyNumberFormat="1" applyFont="1" applyFill="1" applyBorder="1" applyAlignment="1" applyProtection="1">
      <alignment horizontal="center" vertical="center"/>
      <protection/>
    </xf>
    <xf numFmtId="2" fontId="1" fillId="39" borderId="10" xfId="0" applyNumberFormat="1" applyFont="1" applyFill="1" applyBorder="1" applyAlignment="1" applyProtection="1">
      <alignment horizontal="center" vertical="center"/>
      <protection/>
    </xf>
    <xf numFmtId="2" fontId="1" fillId="39" borderId="20" xfId="0" applyNumberFormat="1" applyFont="1" applyFill="1" applyBorder="1" applyAlignment="1" applyProtection="1">
      <alignment horizontal="center" vertical="center"/>
      <protection locked="0"/>
    </xf>
    <xf numFmtId="167" fontId="1" fillId="39" borderId="20" xfId="0" applyNumberFormat="1" applyFont="1" applyFill="1" applyBorder="1" applyAlignment="1" applyProtection="1">
      <alignment horizontal="center" vertical="center"/>
      <protection/>
    </xf>
    <xf numFmtId="2" fontId="1" fillId="39" borderId="20" xfId="0" applyNumberFormat="1" applyFont="1" applyFill="1" applyBorder="1" applyAlignment="1" applyProtection="1">
      <alignment horizontal="center" vertical="center"/>
      <protection/>
    </xf>
    <xf numFmtId="2" fontId="1" fillId="39" borderId="28" xfId="0" applyNumberFormat="1" applyFont="1" applyFill="1" applyBorder="1" applyAlignment="1" applyProtection="1">
      <alignment horizontal="center" vertical="center"/>
      <protection/>
    </xf>
    <xf numFmtId="2" fontId="1" fillId="39" borderId="17" xfId="0" applyNumberFormat="1" applyFont="1" applyFill="1" applyBorder="1" applyAlignment="1" applyProtection="1">
      <alignment horizontal="center" vertical="center"/>
      <protection/>
    </xf>
    <xf numFmtId="2" fontId="1" fillId="38" borderId="20" xfId="0" applyNumberFormat="1" applyFont="1" applyFill="1" applyBorder="1" applyAlignment="1" applyProtection="1">
      <alignment horizontal="center" vertical="center"/>
      <protection locked="0"/>
    </xf>
    <xf numFmtId="167" fontId="1" fillId="38" borderId="10" xfId="0" applyNumberFormat="1" applyFont="1" applyFill="1" applyBorder="1" applyAlignment="1" applyProtection="1">
      <alignment horizontal="center" vertical="center"/>
      <protection/>
    </xf>
    <xf numFmtId="2" fontId="1" fillId="38" borderId="10" xfId="0" applyNumberFormat="1" applyFont="1" applyFill="1" applyBorder="1" applyAlignment="1" applyProtection="1">
      <alignment horizontal="center" vertical="center"/>
      <protection/>
    </xf>
    <xf numFmtId="2" fontId="1" fillId="38" borderId="20" xfId="0" applyNumberFormat="1" applyFont="1" applyFill="1" applyBorder="1" applyAlignment="1" applyProtection="1">
      <alignment horizontal="center" vertical="center"/>
      <protection/>
    </xf>
    <xf numFmtId="2" fontId="1" fillId="38" borderId="17" xfId="0" applyNumberFormat="1" applyFont="1" applyFill="1" applyBorder="1" applyAlignment="1" applyProtection="1">
      <alignment horizontal="center" vertical="center"/>
      <protection/>
    </xf>
    <xf numFmtId="0" fontId="9" fillId="38" borderId="10" xfId="0" applyFont="1" applyFill="1" applyBorder="1" applyAlignment="1" applyProtection="1">
      <alignment horizontal="center"/>
      <protection locked="0"/>
    </xf>
    <xf numFmtId="0" fontId="1" fillId="38" borderId="20" xfId="0" applyFont="1" applyFill="1" applyBorder="1" applyAlignment="1" applyProtection="1">
      <alignment horizontal="center"/>
      <protection locked="0"/>
    </xf>
    <xf numFmtId="167" fontId="1" fillId="38" borderId="20" xfId="0" applyNumberFormat="1" applyFont="1" applyFill="1" applyBorder="1" applyAlignment="1" applyProtection="1">
      <alignment horizontal="center" vertical="center"/>
      <protection/>
    </xf>
    <xf numFmtId="2" fontId="1" fillId="38" borderId="28" xfId="0" applyNumberFormat="1" applyFont="1" applyFill="1" applyBorder="1" applyAlignment="1" applyProtection="1">
      <alignment horizontal="center" vertical="center"/>
      <protection/>
    </xf>
    <xf numFmtId="0" fontId="1" fillId="38" borderId="11" xfId="0" applyFont="1" applyFill="1" applyBorder="1" applyAlignment="1" applyProtection="1">
      <alignment horizontal="center"/>
      <protection locked="0"/>
    </xf>
    <xf numFmtId="165" fontId="1" fillId="33" borderId="14" xfId="0" applyNumberFormat="1" applyFont="1" applyFill="1" applyBorder="1" applyAlignment="1" applyProtection="1">
      <alignment horizontal="center" vertical="center"/>
      <protection locked="0"/>
    </xf>
    <xf numFmtId="165" fontId="1" fillId="13" borderId="20" xfId="0" applyNumberFormat="1" applyFont="1" applyFill="1" applyBorder="1" applyAlignment="1" applyProtection="1">
      <alignment horizontal="center" vertical="center"/>
      <protection locked="0"/>
    </xf>
    <xf numFmtId="165" fontId="1" fillId="13" borderId="10" xfId="0" applyNumberFormat="1" applyFont="1" applyFill="1" applyBorder="1" applyAlignment="1" applyProtection="1">
      <alignment horizontal="center" vertical="center"/>
      <protection locked="0"/>
    </xf>
    <xf numFmtId="165" fontId="1" fillId="39" borderId="10" xfId="0" applyNumberFormat="1" applyFont="1" applyFill="1" applyBorder="1" applyAlignment="1" applyProtection="1">
      <alignment horizontal="center" vertical="center"/>
      <protection locked="0"/>
    </xf>
    <xf numFmtId="165" fontId="1" fillId="39" borderId="24" xfId="0" applyNumberFormat="1" applyFont="1" applyFill="1" applyBorder="1" applyAlignment="1" applyProtection="1">
      <alignment horizontal="center" vertical="center"/>
      <protection locked="0"/>
    </xf>
    <xf numFmtId="165" fontId="1" fillId="39" borderId="20" xfId="0" applyNumberFormat="1" applyFont="1" applyFill="1" applyBorder="1" applyAlignment="1" applyProtection="1">
      <alignment horizontal="center" vertical="center"/>
      <protection locked="0"/>
    </xf>
    <xf numFmtId="165" fontId="1" fillId="38" borderId="10" xfId="0" applyNumberFormat="1" applyFont="1" applyFill="1" applyBorder="1" applyAlignment="1" applyProtection="1">
      <alignment horizontal="center" vertical="center"/>
      <protection locked="0"/>
    </xf>
    <xf numFmtId="165" fontId="1" fillId="38" borderId="20" xfId="0" applyNumberFormat="1" applyFont="1" applyFill="1" applyBorder="1" applyAlignment="1" applyProtection="1">
      <alignment horizontal="center" vertical="center"/>
      <protection locked="0"/>
    </xf>
    <xf numFmtId="1" fontId="1" fillId="33" borderId="14" xfId="0" applyNumberFormat="1" applyFont="1" applyFill="1" applyBorder="1" applyAlignment="1" applyProtection="1">
      <alignment horizontal="center" vertical="center"/>
      <protection locked="0"/>
    </xf>
    <xf numFmtId="1" fontId="1" fillId="13" borderId="10" xfId="0" applyNumberFormat="1" applyFont="1" applyFill="1" applyBorder="1" applyAlignment="1" applyProtection="1">
      <alignment horizontal="center" vertical="center"/>
      <protection locked="0"/>
    </xf>
    <xf numFmtId="1" fontId="1" fillId="39" borderId="10" xfId="0" applyNumberFormat="1" applyFont="1" applyFill="1" applyBorder="1" applyAlignment="1" applyProtection="1">
      <alignment horizontal="center" vertical="center"/>
      <protection locked="0"/>
    </xf>
    <xf numFmtId="1" fontId="1" fillId="39" borderId="20" xfId="0" applyNumberFormat="1" applyFont="1" applyFill="1" applyBorder="1" applyAlignment="1" applyProtection="1">
      <alignment horizontal="center" vertical="center"/>
      <protection locked="0"/>
    </xf>
    <xf numFmtId="1" fontId="1" fillId="38" borderId="10" xfId="0" applyNumberFormat="1" applyFont="1" applyFill="1" applyBorder="1" applyAlignment="1" applyProtection="1">
      <alignment horizontal="center" vertical="center"/>
      <protection locked="0"/>
    </xf>
    <xf numFmtId="1" fontId="1" fillId="38" borderId="20" xfId="0" applyNumberFormat="1" applyFont="1" applyFill="1" applyBorder="1" applyAlignment="1" applyProtection="1">
      <alignment horizontal="center" vertical="center"/>
      <protection locked="0"/>
    </xf>
    <xf numFmtId="165" fontId="1" fillId="38" borderId="24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left" vertical="center" wrapText="1"/>
    </xf>
    <xf numFmtId="165" fontId="9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165" fontId="9" fillId="13" borderId="10" xfId="0" applyNumberFormat="1" applyFont="1" applyFill="1" applyBorder="1" applyAlignment="1">
      <alignment horizontal="center" vertical="top" wrapText="1"/>
    </xf>
    <xf numFmtId="165" fontId="1" fillId="13" borderId="10" xfId="0" applyNumberFormat="1" applyFont="1" applyFill="1" applyBorder="1" applyAlignment="1">
      <alignment horizontal="center" vertical="center" wrapText="1"/>
    </xf>
    <xf numFmtId="165" fontId="9" fillId="13" borderId="11" xfId="0" applyNumberFormat="1" applyFont="1" applyFill="1" applyBorder="1" applyAlignment="1">
      <alignment horizontal="center" vertical="top" wrapText="1"/>
    </xf>
    <xf numFmtId="165" fontId="1" fillId="13" borderId="11" xfId="0" applyNumberFormat="1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/>
    </xf>
    <xf numFmtId="0" fontId="1" fillId="13" borderId="41" xfId="0" applyFont="1" applyFill="1" applyBorder="1" applyAlignment="1">
      <alignment/>
    </xf>
    <xf numFmtId="0" fontId="1" fillId="39" borderId="41" xfId="0" applyFont="1" applyFill="1" applyBorder="1" applyAlignment="1">
      <alignment/>
    </xf>
    <xf numFmtId="0" fontId="1" fillId="38" borderId="43" xfId="0" applyFont="1" applyFill="1" applyBorder="1" applyAlignment="1">
      <alignment/>
    </xf>
    <xf numFmtId="0" fontId="1" fillId="38" borderId="41" xfId="0" applyFont="1" applyFill="1" applyBorder="1" applyAlignment="1" applyProtection="1">
      <alignment/>
      <protection locked="0"/>
    </xf>
    <xf numFmtId="0" fontId="1" fillId="38" borderId="20" xfId="0" applyFont="1" applyFill="1" applyBorder="1" applyAlignment="1" applyProtection="1">
      <alignment/>
      <protection locked="0"/>
    </xf>
    <xf numFmtId="0" fontId="1" fillId="13" borderId="26" xfId="0" applyFont="1" applyFill="1" applyBorder="1" applyAlignment="1" applyProtection="1">
      <alignment/>
      <protection locked="0"/>
    </xf>
    <xf numFmtId="0" fontId="1" fillId="13" borderId="45" xfId="0" applyFont="1" applyFill="1" applyBorder="1" applyAlignment="1" applyProtection="1">
      <alignment/>
      <protection locked="0"/>
    </xf>
    <xf numFmtId="0" fontId="1" fillId="13" borderId="20" xfId="58" applyFont="1" applyFill="1" applyBorder="1" applyAlignment="1" applyProtection="1">
      <alignment vertical="top"/>
      <protection locked="0"/>
    </xf>
    <xf numFmtId="3" fontId="9" fillId="13" borderId="20" xfId="58" applyNumberFormat="1" applyFont="1" applyFill="1" applyBorder="1" applyAlignment="1" applyProtection="1">
      <alignment vertical="top"/>
      <protection locked="0"/>
    </xf>
    <xf numFmtId="0" fontId="1" fillId="13" borderId="20" xfId="58" applyFont="1" applyFill="1" applyBorder="1" applyAlignment="1" applyProtection="1">
      <alignment horizontal="center"/>
      <protection locked="0"/>
    </xf>
    <xf numFmtId="165" fontId="1" fillId="13" borderId="20" xfId="58" applyNumberFormat="1" applyFont="1" applyFill="1" applyBorder="1" applyAlignment="1" applyProtection="1">
      <alignment horizontal="center"/>
      <protection locked="0"/>
    </xf>
    <xf numFmtId="165" fontId="9" fillId="13" borderId="20" xfId="58" applyNumberFormat="1" applyFont="1" applyFill="1" applyBorder="1" applyAlignment="1" applyProtection="1">
      <alignment horizontal="center" vertical="top"/>
      <protection locked="0"/>
    </xf>
    <xf numFmtId="1" fontId="9" fillId="13" borderId="20" xfId="58" applyNumberFormat="1" applyFont="1" applyFill="1" applyBorder="1" applyAlignment="1" applyProtection="1">
      <alignment horizontal="center" vertical="top"/>
      <protection locked="0"/>
    </xf>
    <xf numFmtId="167" fontId="1" fillId="13" borderId="20" xfId="58" applyNumberFormat="1" applyFont="1" applyFill="1" applyBorder="1" applyAlignment="1" applyProtection="1">
      <alignment horizontal="center"/>
      <protection/>
    </xf>
    <xf numFmtId="2" fontId="1" fillId="13" borderId="20" xfId="58" applyNumberFormat="1" applyFont="1" applyFill="1" applyBorder="1" applyAlignment="1" applyProtection="1">
      <alignment horizontal="center"/>
      <protection locked="0"/>
    </xf>
    <xf numFmtId="2" fontId="1" fillId="13" borderId="20" xfId="58" applyNumberFormat="1" applyFont="1" applyFill="1" applyBorder="1" applyAlignment="1" applyProtection="1">
      <alignment horizontal="center"/>
      <protection/>
    </xf>
    <xf numFmtId="0" fontId="1" fillId="36" borderId="15" xfId="58" applyFont="1" applyFill="1" applyBorder="1" applyAlignment="1" applyProtection="1">
      <alignment vertical="top"/>
      <protection locked="0"/>
    </xf>
    <xf numFmtId="3" fontId="9" fillId="36" borderId="15" xfId="58" applyNumberFormat="1" applyFont="1" applyFill="1" applyBorder="1" applyAlignment="1" applyProtection="1">
      <alignment vertical="top"/>
      <protection locked="0"/>
    </xf>
    <xf numFmtId="0" fontId="1" fillId="36" borderId="15" xfId="58" applyFont="1" applyFill="1" applyBorder="1" applyAlignment="1" applyProtection="1">
      <alignment horizontal="center"/>
      <protection locked="0"/>
    </xf>
    <xf numFmtId="165" fontId="1" fillId="36" borderId="15" xfId="58" applyNumberFormat="1" applyFont="1" applyFill="1" applyBorder="1" applyAlignment="1" applyProtection="1">
      <alignment horizontal="center"/>
      <protection locked="0"/>
    </xf>
    <xf numFmtId="165" fontId="9" fillId="36" borderId="15" xfId="58" applyNumberFormat="1" applyFont="1" applyFill="1" applyBorder="1" applyAlignment="1" applyProtection="1">
      <alignment horizontal="center" vertical="top"/>
      <protection locked="0"/>
    </xf>
    <xf numFmtId="1" fontId="9" fillId="36" borderId="15" xfId="58" applyNumberFormat="1" applyFont="1" applyFill="1" applyBorder="1" applyAlignment="1" applyProtection="1">
      <alignment horizontal="center" vertical="top"/>
      <protection locked="0"/>
    </xf>
    <xf numFmtId="167" fontId="1" fillId="36" borderId="15" xfId="58" applyNumberFormat="1" applyFont="1" applyFill="1" applyBorder="1" applyAlignment="1" applyProtection="1">
      <alignment horizontal="center"/>
      <protection/>
    </xf>
    <xf numFmtId="2" fontId="1" fillId="36" borderId="15" xfId="58" applyNumberFormat="1" applyFont="1" applyFill="1" applyBorder="1" applyAlignment="1" applyProtection="1">
      <alignment horizontal="center"/>
      <protection locked="0"/>
    </xf>
    <xf numFmtId="2" fontId="1" fillId="36" borderId="15" xfId="58" applyNumberFormat="1" applyFont="1" applyFill="1" applyBorder="1" applyAlignment="1" applyProtection="1">
      <alignment horizontal="center"/>
      <protection/>
    </xf>
    <xf numFmtId="2" fontId="1" fillId="36" borderId="29" xfId="58" applyNumberFormat="1" applyFont="1" applyFill="1" applyBorder="1" applyAlignment="1" applyProtection="1">
      <alignment horizontal="center"/>
      <protection/>
    </xf>
    <xf numFmtId="2" fontId="1" fillId="36" borderId="17" xfId="58" applyNumberFormat="1" applyFont="1" applyFill="1" applyBorder="1" applyAlignment="1" applyProtection="1">
      <alignment horizontal="center"/>
      <protection/>
    </xf>
    <xf numFmtId="2" fontId="1" fillId="36" borderId="18" xfId="58" applyNumberFormat="1" applyFont="1" applyFill="1" applyBorder="1" applyAlignment="1" applyProtection="1">
      <alignment horizontal="center"/>
      <protection/>
    </xf>
    <xf numFmtId="2" fontId="1" fillId="13" borderId="28" xfId="58" applyNumberFormat="1" applyFont="1" applyFill="1" applyBorder="1" applyAlignment="1" applyProtection="1">
      <alignment horizontal="center"/>
      <protection/>
    </xf>
    <xf numFmtId="2" fontId="1" fillId="13" borderId="17" xfId="58" applyNumberFormat="1" applyFont="1" applyFill="1" applyBorder="1" applyAlignment="1" applyProtection="1">
      <alignment horizontal="center"/>
      <protection/>
    </xf>
    <xf numFmtId="2" fontId="1" fillId="39" borderId="17" xfId="58" applyNumberFormat="1" applyFont="1" applyFill="1" applyBorder="1" applyAlignment="1" applyProtection="1">
      <alignment horizontal="center"/>
      <protection/>
    </xf>
    <xf numFmtId="2" fontId="1" fillId="38" borderId="17" xfId="58" applyNumberFormat="1" applyFont="1" applyFill="1" applyBorder="1" applyAlignment="1" applyProtection="1">
      <alignment horizontal="center"/>
      <protection/>
    </xf>
    <xf numFmtId="0" fontId="1" fillId="39" borderId="20" xfId="58" applyFont="1" applyFill="1" applyBorder="1" applyAlignment="1" applyProtection="1">
      <alignment vertical="top"/>
      <protection locked="0"/>
    </xf>
    <xf numFmtId="3" fontId="9" fillId="39" borderId="20" xfId="58" applyNumberFormat="1" applyFont="1" applyFill="1" applyBorder="1" applyAlignment="1" applyProtection="1">
      <alignment vertical="top"/>
      <protection locked="0"/>
    </xf>
    <xf numFmtId="0" fontId="1" fillId="39" borderId="20" xfId="58" applyFont="1" applyFill="1" applyBorder="1" applyAlignment="1" applyProtection="1">
      <alignment horizontal="center"/>
      <protection locked="0"/>
    </xf>
    <xf numFmtId="165" fontId="1" fillId="39" borderId="20" xfId="58" applyNumberFormat="1" applyFont="1" applyFill="1" applyBorder="1" applyAlignment="1" applyProtection="1">
      <alignment horizontal="center"/>
      <protection locked="0"/>
    </xf>
    <xf numFmtId="165" fontId="9" fillId="39" borderId="20" xfId="58" applyNumberFormat="1" applyFont="1" applyFill="1" applyBorder="1" applyAlignment="1" applyProtection="1">
      <alignment horizontal="center" vertical="top"/>
      <protection locked="0"/>
    </xf>
    <xf numFmtId="1" fontId="9" fillId="39" borderId="20" xfId="58" applyNumberFormat="1" applyFont="1" applyFill="1" applyBorder="1" applyAlignment="1" applyProtection="1">
      <alignment horizontal="center" vertical="top"/>
      <protection locked="0"/>
    </xf>
    <xf numFmtId="167" fontId="1" fillId="39" borderId="20" xfId="58" applyNumberFormat="1" applyFont="1" applyFill="1" applyBorder="1" applyAlignment="1" applyProtection="1">
      <alignment horizontal="center"/>
      <protection/>
    </xf>
    <xf numFmtId="2" fontId="1" fillId="39" borderId="20" xfId="58" applyNumberFormat="1" applyFont="1" applyFill="1" applyBorder="1" applyAlignment="1" applyProtection="1">
      <alignment horizontal="center"/>
      <protection locked="0"/>
    </xf>
    <xf numFmtId="2" fontId="1" fillId="39" borderId="20" xfId="58" applyNumberFormat="1" applyFont="1" applyFill="1" applyBorder="1" applyAlignment="1" applyProtection="1">
      <alignment horizontal="center"/>
      <protection/>
    </xf>
    <xf numFmtId="2" fontId="1" fillId="39" borderId="28" xfId="58" applyNumberFormat="1" applyFont="1" applyFill="1" applyBorder="1" applyAlignment="1" applyProtection="1">
      <alignment horizontal="center"/>
      <protection/>
    </xf>
    <xf numFmtId="0" fontId="1" fillId="13" borderId="15" xfId="58" applyFont="1" applyFill="1" applyBorder="1" applyAlignment="1" applyProtection="1">
      <alignment vertical="top"/>
      <protection locked="0"/>
    </xf>
    <xf numFmtId="3" fontId="9" fillId="13" borderId="15" xfId="58" applyNumberFormat="1" applyFont="1" applyFill="1" applyBorder="1" applyAlignment="1" applyProtection="1">
      <alignment vertical="top"/>
      <protection locked="0"/>
    </xf>
    <xf numFmtId="0" fontId="1" fillId="13" borderId="15" xfId="58" applyFont="1" applyFill="1" applyBorder="1" applyAlignment="1" applyProtection="1">
      <alignment horizontal="center"/>
      <protection locked="0"/>
    </xf>
    <xf numFmtId="165" fontId="1" fillId="13" borderId="15" xfId="58" applyNumberFormat="1" applyFont="1" applyFill="1" applyBorder="1" applyAlignment="1" applyProtection="1">
      <alignment horizontal="center"/>
      <protection locked="0"/>
    </xf>
    <xf numFmtId="165" fontId="9" fillId="13" borderId="15" xfId="58" applyNumberFormat="1" applyFont="1" applyFill="1" applyBorder="1" applyAlignment="1" applyProtection="1">
      <alignment horizontal="center" vertical="top"/>
      <protection locked="0"/>
    </xf>
    <xf numFmtId="1" fontId="9" fillId="13" borderId="15" xfId="58" applyNumberFormat="1" applyFont="1" applyFill="1" applyBorder="1" applyAlignment="1" applyProtection="1">
      <alignment horizontal="center" vertical="top"/>
      <protection locked="0"/>
    </xf>
    <xf numFmtId="167" fontId="1" fillId="13" borderId="15" xfId="58" applyNumberFormat="1" applyFont="1" applyFill="1" applyBorder="1" applyAlignment="1" applyProtection="1">
      <alignment horizontal="center"/>
      <protection/>
    </xf>
    <xf numFmtId="2" fontId="1" fillId="13" borderId="15" xfId="58" applyNumberFormat="1" applyFont="1" applyFill="1" applyBorder="1" applyAlignment="1" applyProtection="1">
      <alignment horizontal="center"/>
      <protection locked="0"/>
    </xf>
    <xf numFmtId="2" fontId="1" fillId="13" borderId="15" xfId="58" applyNumberFormat="1" applyFont="1" applyFill="1" applyBorder="1" applyAlignment="1" applyProtection="1">
      <alignment horizontal="center"/>
      <protection/>
    </xf>
    <xf numFmtId="2" fontId="1" fillId="13" borderId="18" xfId="58" applyNumberFormat="1" applyFont="1" applyFill="1" applyBorder="1" applyAlignment="1" applyProtection="1">
      <alignment horizontal="center"/>
      <protection/>
    </xf>
    <xf numFmtId="0" fontId="1" fillId="38" borderId="20" xfId="58" applyFont="1" applyFill="1" applyBorder="1" applyAlignment="1" applyProtection="1">
      <alignment vertical="top"/>
      <protection locked="0"/>
    </xf>
    <xf numFmtId="3" fontId="9" fillId="38" borderId="20" xfId="58" applyNumberFormat="1" applyFont="1" applyFill="1" applyBorder="1" applyAlignment="1" applyProtection="1">
      <alignment vertical="top"/>
      <protection locked="0"/>
    </xf>
    <xf numFmtId="0" fontId="1" fillId="38" borderId="20" xfId="58" applyFont="1" applyFill="1" applyBorder="1" applyAlignment="1" applyProtection="1">
      <alignment horizontal="center"/>
      <protection locked="0"/>
    </xf>
    <xf numFmtId="165" fontId="1" fillId="38" borderId="20" xfId="58" applyNumberFormat="1" applyFont="1" applyFill="1" applyBorder="1" applyAlignment="1" applyProtection="1">
      <alignment horizontal="center"/>
      <protection locked="0"/>
    </xf>
    <xf numFmtId="165" fontId="9" fillId="38" borderId="20" xfId="58" applyNumberFormat="1" applyFont="1" applyFill="1" applyBorder="1" applyAlignment="1" applyProtection="1">
      <alignment horizontal="center" vertical="top"/>
      <protection locked="0"/>
    </xf>
    <xf numFmtId="1" fontId="9" fillId="38" borderId="20" xfId="58" applyNumberFormat="1" applyFont="1" applyFill="1" applyBorder="1" applyAlignment="1" applyProtection="1">
      <alignment horizontal="center" vertical="top"/>
      <protection locked="0"/>
    </xf>
    <xf numFmtId="167" fontId="1" fillId="38" borderId="20" xfId="58" applyNumberFormat="1" applyFont="1" applyFill="1" applyBorder="1" applyAlignment="1" applyProtection="1">
      <alignment horizontal="center"/>
      <protection/>
    </xf>
    <xf numFmtId="2" fontId="1" fillId="38" borderId="20" xfId="58" applyNumberFormat="1" applyFont="1" applyFill="1" applyBorder="1" applyAlignment="1" applyProtection="1">
      <alignment horizontal="center"/>
      <protection locked="0"/>
    </xf>
    <xf numFmtId="2" fontId="1" fillId="38" borderId="20" xfId="58" applyNumberFormat="1" applyFont="1" applyFill="1" applyBorder="1" applyAlignment="1" applyProtection="1">
      <alignment horizontal="center"/>
      <protection/>
    </xf>
    <xf numFmtId="2" fontId="1" fillId="38" borderId="28" xfId="58" applyNumberFormat="1" applyFont="1" applyFill="1" applyBorder="1" applyAlignment="1" applyProtection="1">
      <alignment horizontal="center"/>
      <protection/>
    </xf>
    <xf numFmtId="0" fontId="1" fillId="39" borderId="15" xfId="58" applyFont="1" applyFill="1" applyBorder="1" applyAlignment="1" applyProtection="1">
      <alignment vertical="top"/>
      <protection locked="0"/>
    </xf>
    <xf numFmtId="3" fontId="9" fillId="39" borderId="15" xfId="58" applyNumberFormat="1" applyFont="1" applyFill="1" applyBorder="1" applyAlignment="1" applyProtection="1">
      <alignment vertical="top"/>
      <protection locked="0"/>
    </xf>
    <xf numFmtId="0" fontId="1" fillId="39" borderId="15" xfId="58" applyFont="1" applyFill="1" applyBorder="1" applyAlignment="1" applyProtection="1">
      <alignment horizontal="center"/>
      <protection locked="0"/>
    </xf>
    <xf numFmtId="165" fontId="1" fillId="39" borderId="15" xfId="58" applyNumberFormat="1" applyFont="1" applyFill="1" applyBorder="1" applyAlignment="1" applyProtection="1">
      <alignment horizontal="center"/>
      <protection locked="0"/>
    </xf>
    <xf numFmtId="165" fontId="9" fillId="39" borderId="15" xfId="58" applyNumberFormat="1" applyFont="1" applyFill="1" applyBorder="1" applyAlignment="1" applyProtection="1">
      <alignment horizontal="center" vertical="top"/>
      <protection locked="0"/>
    </xf>
    <xf numFmtId="1" fontId="9" fillId="39" borderId="15" xfId="58" applyNumberFormat="1" applyFont="1" applyFill="1" applyBorder="1" applyAlignment="1" applyProtection="1">
      <alignment horizontal="center" vertical="top"/>
      <protection locked="0"/>
    </xf>
    <xf numFmtId="167" fontId="1" fillId="39" borderId="15" xfId="58" applyNumberFormat="1" applyFont="1" applyFill="1" applyBorder="1" applyAlignment="1" applyProtection="1">
      <alignment horizontal="center"/>
      <protection/>
    </xf>
    <xf numFmtId="2" fontId="1" fillId="39" borderId="15" xfId="58" applyNumberFormat="1" applyFont="1" applyFill="1" applyBorder="1" applyAlignment="1" applyProtection="1">
      <alignment horizontal="center"/>
      <protection locked="0"/>
    </xf>
    <xf numFmtId="2" fontId="1" fillId="39" borderId="15" xfId="58" applyNumberFormat="1" applyFont="1" applyFill="1" applyBorder="1" applyAlignment="1" applyProtection="1">
      <alignment horizontal="center"/>
      <protection/>
    </xf>
    <xf numFmtId="2" fontId="1" fillId="39" borderId="18" xfId="58" applyNumberFormat="1" applyFont="1" applyFill="1" applyBorder="1" applyAlignment="1" applyProtection="1">
      <alignment horizontal="center"/>
      <protection/>
    </xf>
    <xf numFmtId="0" fontId="1" fillId="38" borderId="15" xfId="58" applyFont="1" applyFill="1" applyBorder="1" applyAlignment="1" applyProtection="1">
      <alignment vertical="top"/>
      <protection locked="0"/>
    </xf>
    <xf numFmtId="3" fontId="9" fillId="38" borderId="15" xfId="58" applyNumberFormat="1" applyFont="1" applyFill="1" applyBorder="1" applyAlignment="1" applyProtection="1">
      <alignment vertical="top"/>
      <protection locked="0"/>
    </xf>
    <xf numFmtId="0" fontId="1" fillId="38" borderId="15" xfId="58" applyFont="1" applyFill="1" applyBorder="1" applyAlignment="1" applyProtection="1">
      <alignment horizontal="center"/>
      <protection locked="0"/>
    </xf>
    <xf numFmtId="165" fontId="1" fillId="38" borderId="15" xfId="58" applyNumberFormat="1" applyFont="1" applyFill="1" applyBorder="1" applyAlignment="1" applyProtection="1">
      <alignment horizontal="center"/>
      <protection locked="0"/>
    </xf>
    <xf numFmtId="165" fontId="9" fillId="38" borderId="15" xfId="58" applyNumberFormat="1" applyFont="1" applyFill="1" applyBorder="1" applyAlignment="1" applyProtection="1">
      <alignment horizontal="center" vertical="top"/>
      <protection locked="0"/>
    </xf>
    <xf numFmtId="1" fontId="9" fillId="38" borderId="15" xfId="58" applyNumberFormat="1" applyFont="1" applyFill="1" applyBorder="1" applyAlignment="1" applyProtection="1">
      <alignment horizontal="center" vertical="top"/>
      <protection locked="0"/>
    </xf>
    <xf numFmtId="167" fontId="1" fillId="38" borderId="15" xfId="58" applyNumberFormat="1" applyFont="1" applyFill="1" applyBorder="1" applyAlignment="1" applyProtection="1">
      <alignment horizontal="center"/>
      <protection/>
    </xf>
    <xf numFmtId="2" fontId="1" fillId="38" borderId="15" xfId="58" applyNumberFormat="1" applyFont="1" applyFill="1" applyBorder="1" applyAlignment="1" applyProtection="1">
      <alignment horizontal="center"/>
      <protection locked="0"/>
    </xf>
    <xf numFmtId="2" fontId="1" fillId="38" borderId="15" xfId="58" applyNumberFormat="1" applyFont="1" applyFill="1" applyBorder="1" applyAlignment="1" applyProtection="1">
      <alignment horizontal="center"/>
      <protection/>
    </xf>
    <xf numFmtId="2" fontId="1" fillId="38" borderId="18" xfId="58" applyNumberFormat="1" applyFont="1" applyFill="1" applyBorder="1" applyAlignment="1" applyProtection="1">
      <alignment horizontal="center"/>
      <protection/>
    </xf>
    <xf numFmtId="2" fontId="1" fillId="39" borderId="24" xfId="0" applyNumberFormat="1" applyFont="1" applyFill="1" applyBorder="1" applyAlignment="1" applyProtection="1">
      <alignment horizontal="center"/>
      <protection locked="0"/>
    </xf>
    <xf numFmtId="2" fontId="1" fillId="38" borderId="47" xfId="0" applyNumberFormat="1" applyFont="1" applyFill="1" applyBorder="1" applyAlignment="1">
      <alignment horizontal="center"/>
    </xf>
    <xf numFmtId="0" fontId="1" fillId="38" borderId="20" xfId="0" applyFont="1" applyFill="1" applyBorder="1" applyAlignment="1">
      <alignment/>
    </xf>
    <xf numFmtId="165" fontId="1" fillId="38" borderId="20" xfId="0" applyNumberFormat="1" applyFont="1" applyFill="1" applyBorder="1" applyAlignment="1">
      <alignment horizontal="center"/>
    </xf>
    <xf numFmtId="165" fontId="1" fillId="40" borderId="15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 applyProtection="1">
      <alignment horizontal="left" indent="3"/>
      <protection/>
    </xf>
    <xf numFmtId="166" fontId="1" fillId="0" borderId="35" xfId="0" applyNumberFormat="1" applyFont="1" applyFill="1" applyBorder="1" applyAlignment="1" applyProtection="1">
      <alignment/>
      <protection locked="0"/>
    </xf>
    <xf numFmtId="0" fontId="1" fillId="0" borderId="35" xfId="0" applyFont="1" applyFill="1" applyBorder="1" applyAlignment="1">
      <alignment/>
    </xf>
    <xf numFmtId="165" fontId="1" fillId="39" borderId="15" xfId="0" applyNumberFormat="1" applyFont="1" applyFill="1" applyBorder="1" applyAlignment="1" applyProtection="1">
      <alignment horizontal="center" vertical="center"/>
      <protection locked="0"/>
    </xf>
    <xf numFmtId="1" fontId="1" fillId="39" borderId="15" xfId="0" applyNumberFormat="1" applyFont="1" applyFill="1" applyBorder="1" applyAlignment="1" applyProtection="1">
      <alignment horizontal="center" vertical="center"/>
      <protection locked="0"/>
    </xf>
    <xf numFmtId="167" fontId="1" fillId="39" borderId="15" xfId="0" applyNumberFormat="1" applyFont="1" applyFill="1" applyBorder="1" applyAlignment="1" applyProtection="1">
      <alignment horizontal="center" vertical="center"/>
      <protection/>
    </xf>
    <xf numFmtId="2" fontId="1" fillId="39" borderId="15" xfId="0" applyNumberFormat="1" applyFont="1" applyFill="1" applyBorder="1" applyAlignment="1" applyProtection="1">
      <alignment horizontal="center" vertical="center"/>
      <protection locked="0"/>
    </xf>
    <xf numFmtId="2" fontId="1" fillId="39" borderId="15" xfId="0" applyNumberFormat="1" applyFont="1" applyFill="1" applyBorder="1" applyAlignment="1" applyProtection="1">
      <alignment horizontal="center" vertical="center"/>
      <protection/>
    </xf>
    <xf numFmtId="2" fontId="1" fillId="39" borderId="18" xfId="0" applyNumberFormat="1" applyFont="1" applyFill="1" applyBorder="1" applyAlignment="1" applyProtection="1">
      <alignment horizontal="center" vertical="center"/>
      <protection/>
    </xf>
    <xf numFmtId="2" fontId="1" fillId="33" borderId="28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>
      <alignment horizontal="left" vertical="center" wrapText="1"/>
    </xf>
    <xf numFmtId="165" fontId="9" fillId="33" borderId="15" xfId="0" applyNumberFormat="1" applyFont="1" applyFill="1" applyBorder="1" applyAlignment="1">
      <alignment horizontal="center" vertical="top" wrapText="1"/>
    </xf>
    <xf numFmtId="165" fontId="1" fillId="33" borderId="15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/>
    </xf>
    <xf numFmtId="175" fontId="9" fillId="33" borderId="15" xfId="0" applyNumberFormat="1" applyFont="1" applyFill="1" applyBorder="1" applyAlignment="1">
      <alignment horizontal="center" vertical="top" wrapText="1"/>
    </xf>
    <xf numFmtId="175" fontId="1" fillId="33" borderId="15" xfId="0" applyNumberFormat="1" applyFont="1" applyFill="1" applyBorder="1" applyAlignment="1">
      <alignment horizontal="center" vertical="center" wrapText="1"/>
    </xf>
    <xf numFmtId="175" fontId="9" fillId="13" borderId="15" xfId="0" applyNumberFormat="1" applyFont="1" applyFill="1" applyBorder="1" applyAlignment="1">
      <alignment horizontal="center" vertical="top" wrapText="1"/>
    </xf>
    <xf numFmtId="1" fontId="1" fillId="13" borderId="15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/>
      <protection locked="0"/>
    </xf>
    <xf numFmtId="0" fontId="1" fillId="36" borderId="1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13" borderId="10" xfId="0" applyFont="1" applyFill="1" applyBorder="1" applyAlignment="1" applyProtection="1">
      <alignment horizontal="left"/>
      <protection locked="0"/>
    </xf>
    <xf numFmtId="0" fontId="1" fillId="13" borderId="11" xfId="0" applyFont="1" applyFill="1" applyBorder="1" applyAlignment="1" applyProtection="1">
      <alignment horizontal="left"/>
      <protection locked="0"/>
    </xf>
    <xf numFmtId="0" fontId="1" fillId="39" borderId="10" xfId="0" applyFont="1" applyFill="1" applyBorder="1" applyAlignment="1" applyProtection="1">
      <alignment horizontal="left"/>
      <protection locked="0"/>
    </xf>
    <xf numFmtId="0" fontId="1" fillId="39" borderId="15" xfId="0" applyFont="1" applyFill="1" applyBorder="1" applyAlignment="1" applyProtection="1">
      <alignment horizontal="left"/>
      <protection locked="0"/>
    </xf>
    <xf numFmtId="0" fontId="1" fillId="38" borderId="20" xfId="0" applyFont="1" applyFill="1" applyBorder="1" applyAlignment="1" applyProtection="1">
      <alignment horizontal="left"/>
      <protection locked="0"/>
    </xf>
    <xf numFmtId="0" fontId="9" fillId="38" borderId="10" xfId="0" applyFont="1" applyFill="1" applyBorder="1" applyAlignment="1" applyProtection="1">
      <alignment horizontal="left"/>
      <protection locked="0"/>
    </xf>
    <xf numFmtId="0" fontId="1" fillId="38" borderId="10" xfId="0" applyFont="1" applyFill="1" applyBorder="1" applyAlignment="1" applyProtection="1">
      <alignment horizontal="left"/>
      <protection locked="0"/>
    </xf>
    <xf numFmtId="0" fontId="1" fillId="38" borderId="11" xfId="0" applyFont="1" applyFill="1" applyBorder="1" applyAlignment="1" applyProtection="1">
      <alignment horizontal="left"/>
      <protection locked="0"/>
    </xf>
    <xf numFmtId="0" fontId="1" fillId="39" borderId="10" xfId="0" applyFont="1" applyFill="1" applyBorder="1" applyAlignment="1" applyProtection="1">
      <alignment/>
      <protection locked="0"/>
    </xf>
    <xf numFmtId="0" fontId="1" fillId="39" borderId="20" xfId="0" applyFont="1" applyFill="1" applyBorder="1" applyAlignment="1" applyProtection="1">
      <alignment/>
      <protection locked="0"/>
    </xf>
    <xf numFmtId="0" fontId="1" fillId="39" borderId="15" xfId="0" applyFont="1" applyFill="1" applyBorder="1" applyAlignment="1" applyProtection="1">
      <alignment/>
      <protection locked="0"/>
    </xf>
    <xf numFmtId="165" fontId="1" fillId="39" borderId="24" xfId="0" applyNumberFormat="1" applyFont="1" applyFill="1" applyBorder="1" applyAlignment="1">
      <alignment horizontal="center"/>
    </xf>
    <xf numFmtId="166" fontId="1" fillId="39" borderId="11" xfId="0" applyNumberFormat="1" applyFont="1" applyFill="1" applyBorder="1" applyAlignment="1" applyProtection="1">
      <alignment horizontal="center"/>
      <protection locked="0"/>
    </xf>
    <xf numFmtId="0" fontId="1" fillId="35" borderId="42" xfId="0" applyFont="1" applyFill="1" applyBorder="1" applyAlignment="1">
      <alignment/>
    </xf>
    <xf numFmtId="0" fontId="1" fillId="35" borderId="42" xfId="0" applyFont="1" applyFill="1" applyBorder="1" applyAlignment="1">
      <alignment horizontal="center"/>
    </xf>
    <xf numFmtId="167" fontId="1" fillId="35" borderId="24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1" fontId="1" fillId="35" borderId="42" xfId="0" applyNumberFormat="1" applyFont="1" applyFill="1" applyBorder="1" applyAlignment="1">
      <alignment horizontal="center"/>
    </xf>
    <xf numFmtId="165" fontId="9" fillId="13" borderId="15" xfId="0" applyNumberFormat="1" applyFont="1" applyFill="1" applyBorder="1" applyAlignment="1">
      <alignment horizontal="center" vertical="top" wrapText="1"/>
    </xf>
    <xf numFmtId="2" fontId="1" fillId="35" borderId="12" xfId="0" applyNumberFormat="1" applyFont="1" applyFill="1" applyBorder="1" applyAlignment="1">
      <alignment horizontal="center"/>
    </xf>
    <xf numFmtId="2" fontId="1" fillId="35" borderId="24" xfId="0" applyNumberFormat="1" applyFont="1" applyFill="1" applyBorder="1" applyAlignment="1">
      <alignment horizontal="center"/>
    </xf>
    <xf numFmtId="0" fontId="4" fillId="13" borderId="52" xfId="0" applyFont="1" applyFill="1" applyBorder="1" applyAlignment="1">
      <alignment horizontal="center" vertical="center" textRotation="90" wrapText="1"/>
    </xf>
    <xf numFmtId="0" fontId="1" fillId="13" borderId="53" xfId="0" applyFont="1" applyFill="1" applyBorder="1" applyAlignment="1">
      <alignment horizontal="center" vertical="center" textRotation="90" wrapText="1"/>
    </xf>
    <xf numFmtId="0" fontId="1" fillId="13" borderId="54" xfId="0" applyFont="1" applyFill="1" applyBorder="1" applyAlignment="1">
      <alignment horizontal="center" vertical="center" textRotation="90" wrapText="1"/>
    </xf>
    <xf numFmtId="0" fontId="4" fillId="39" borderId="52" xfId="0" applyFont="1" applyFill="1" applyBorder="1" applyAlignment="1">
      <alignment horizontal="center" vertical="center" textRotation="90" wrapText="1"/>
    </xf>
    <xf numFmtId="0" fontId="1" fillId="39" borderId="53" xfId="0" applyFont="1" applyFill="1" applyBorder="1" applyAlignment="1">
      <alignment horizontal="center" vertical="center" textRotation="90" wrapText="1"/>
    </xf>
    <xf numFmtId="0" fontId="1" fillId="39" borderId="54" xfId="0" applyFont="1" applyFill="1" applyBorder="1" applyAlignment="1">
      <alignment horizontal="center" vertical="center" textRotation="90" wrapText="1"/>
    </xf>
    <xf numFmtId="0" fontId="1" fillId="38" borderId="52" xfId="0" applyFont="1" applyFill="1" applyBorder="1" applyAlignment="1">
      <alignment horizontal="center" vertical="center" textRotation="90" wrapText="1"/>
    </xf>
    <xf numFmtId="0" fontId="1" fillId="38" borderId="53" xfId="0" applyFont="1" applyFill="1" applyBorder="1" applyAlignment="1">
      <alignment horizontal="center" vertical="center" textRotation="90" wrapText="1"/>
    </xf>
    <xf numFmtId="0" fontId="1" fillId="38" borderId="54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51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6" borderId="52" xfId="0" applyFont="1" applyFill="1" applyBorder="1" applyAlignment="1">
      <alignment horizontal="center" vertical="center" textRotation="90" wrapText="1"/>
    </xf>
    <xf numFmtId="0" fontId="1" fillId="36" borderId="53" xfId="0" applyFont="1" applyFill="1" applyBorder="1" applyAlignment="1">
      <alignment horizontal="center" vertical="center" textRotation="90" wrapText="1"/>
    </xf>
    <xf numFmtId="0" fontId="1" fillId="36" borderId="54" xfId="0" applyFont="1" applyFill="1" applyBorder="1" applyAlignment="1">
      <alignment horizontal="center" vertical="center" textRotation="90" wrapText="1"/>
    </xf>
    <xf numFmtId="0" fontId="1" fillId="13" borderId="56" xfId="0" applyFont="1" applyFill="1" applyBorder="1" applyAlignment="1" applyProtection="1">
      <alignment horizontal="center" vertical="center" textRotation="90" wrapText="1"/>
      <protection locked="0"/>
    </xf>
    <xf numFmtId="0" fontId="1" fillId="34" borderId="44" xfId="0" applyFont="1" applyFill="1" applyBorder="1" applyAlignment="1" applyProtection="1">
      <alignment horizontal="center" vertical="center" textRotation="90" wrapText="1"/>
      <protection locked="0"/>
    </xf>
    <xf numFmtId="0" fontId="4" fillId="35" borderId="52" xfId="0" applyFont="1" applyFill="1" applyBorder="1" applyAlignment="1" applyProtection="1">
      <alignment horizontal="center" vertical="center" textRotation="90" wrapText="1"/>
      <protection locked="0"/>
    </xf>
    <xf numFmtId="0" fontId="1" fillId="35" borderId="53" xfId="0" applyFont="1" applyFill="1" applyBorder="1" applyAlignment="1" applyProtection="1">
      <alignment horizontal="center" vertical="center" textRotation="90" wrapText="1"/>
      <protection locked="0"/>
    </xf>
    <xf numFmtId="0" fontId="1" fillId="35" borderId="54" xfId="0" applyFont="1" applyFill="1" applyBorder="1" applyAlignment="1" applyProtection="1">
      <alignment horizontal="center" vertical="center" textRotation="90" wrapText="1"/>
      <protection locked="0"/>
    </xf>
    <xf numFmtId="0" fontId="4" fillId="13" borderId="58" xfId="0" applyFont="1" applyFill="1" applyBorder="1" applyAlignment="1">
      <alignment horizontal="center" vertical="center" textRotation="90" wrapText="1"/>
    </xf>
    <xf numFmtId="0" fontId="1" fillId="13" borderId="59" xfId="0" applyFont="1" applyFill="1" applyBorder="1" applyAlignment="1">
      <alignment horizontal="center" vertical="center" textRotation="90" wrapText="1"/>
    </xf>
    <xf numFmtId="0" fontId="1" fillId="13" borderId="60" xfId="0" applyFont="1" applyFill="1" applyBorder="1" applyAlignment="1">
      <alignment horizontal="center" vertical="center" textRotation="90" wrapText="1"/>
    </xf>
    <xf numFmtId="0" fontId="4" fillId="39" borderId="58" xfId="0" applyFont="1" applyFill="1" applyBorder="1" applyAlignment="1">
      <alignment horizontal="center" vertical="center" textRotation="90" wrapText="1"/>
    </xf>
    <xf numFmtId="0" fontId="4" fillId="39" borderId="61" xfId="0" applyFont="1" applyFill="1" applyBorder="1" applyAlignment="1">
      <alignment horizontal="center" vertical="center" textRotation="90" wrapText="1"/>
    </xf>
    <xf numFmtId="0" fontId="1" fillId="39" borderId="59" xfId="0" applyFont="1" applyFill="1" applyBorder="1" applyAlignment="1">
      <alignment horizontal="center" vertical="center" textRotation="90" wrapText="1"/>
    </xf>
    <xf numFmtId="0" fontId="1" fillId="39" borderId="62" xfId="0" applyFont="1" applyFill="1" applyBorder="1" applyAlignment="1">
      <alignment horizontal="center" vertical="center" textRotation="90" wrapText="1"/>
    </xf>
    <xf numFmtId="0" fontId="1" fillId="39" borderId="6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textRotation="90" wrapText="1"/>
    </xf>
    <xf numFmtId="0" fontId="4" fillId="33" borderId="34" xfId="0" applyFont="1" applyFill="1" applyBorder="1" applyAlignment="1">
      <alignment horizontal="center" vertical="center" textRotation="90" wrapText="1"/>
    </xf>
    <xf numFmtId="0" fontId="4" fillId="33" borderId="58" xfId="0" applyFont="1" applyFill="1" applyBorder="1" applyAlignment="1">
      <alignment horizontal="center" vertical="center" textRotation="90" wrapText="1"/>
    </xf>
    <xf numFmtId="0" fontId="1" fillId="33" borderId="59" xfId="0" applyFont="1" applyFill="1" applyBorder="1" applyAlignment="1">
      <alignment horizontal="center" vertical="center" textRotation="90" wrapText="1"/>
    </xf>
    <xf numFmtId="0" fontId="1" fillId="33" borderId="6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4" fillId="13" borderId="55" xfId="0" applyFont="1" applyFill="1" applyBorder="1" applyAlignment="1">
      <alignment horizontal="center" vertical="center" textRotation="90" wrapText="1"/>
    </xf>
    <xf numFmtId="0" fontId="4" fillId="13" borderId="56" xfId="0" applyFont="1" applyFill="1" applyBorder="1" applyAlignment="1">
      <alignment horizontal="center" vertical="center" textRotation="90" wrapText="1"/>
    </xf>
    <xf numFmtId="0" fontId="4" fillId="13" borderId="44" xfId="0" applyFont="1" applyFill="1" applyBorder="1" applyAlignment="1">
      <alignment horizontal="center" vertical="center" textRotation="90" wrapText="1"/>
    </xf>
    <xf numFmtId="0" fontId="4" fillId="35" borderId="65" xfId="0" applyFont="1" applyFill="1" applyBorder="1" applyAlignment="1">
      <alignment horizontal="center" vertical="center" textRotation="90" wrapText="1"/>
    </xf>
    <xf numFmtId="0" fontId="4" fillId="35" borderId="66" xfId="0" applyFont="1" applyFill="1" applyBorder="1" applyAlignment="1">
      <alignment horizontal="center" vertical="center" textRotation="90" wrapText="1"/>
    </xf>
    <xf numFmtId="0" fontId="4" fillId="35" borderId="67" xfId="0" applyFont="1" applyFill="1" applyBorder="1" applyAlignment="1">
      <alignment horizontal="center" vertical="center" textRotation="90" wrapText="1"/>
    </xf>
    <xf numFmtId="0" fontId="4" fillId="33" borderId="55" xfId="0" applyFont="1" applyFill="1" applyBorder="1" applyAlignment="1">
      <alignment horizontal="center" vertical="center" textRotation="90" wrapText="1"/>
    </xf>
    <xf numFmtId="0" fontId="4" fillId="33" borderId="56" xfId="0" applyFont="1" applyFill="1" applyBorder="1" applyAlignment="1">
      <alignment horizontal="center" vertical="center" textRotation="90" wrapText="1"/>
    </xf>
    <xf numFmtId="0" fontId="4" fillId="33" borderId="44" xfId="0" applyFont="1" applyFill="1" applyBorder="1" applyAlignment="1">
      <alignment horizontal="center" vertical="center" textRotation="90" wrapText="1"/>
    </xf>
    <xf numFmtId="0" fontId="1" fillId="13" borderId="55" xfId="0" applyFont="1" applyFill="1" applyBorder="1" applyAlignment="1" applyProtection="1">
      <alignment horizontal="center" vertical="center" textRotation="90" wrapText="1"/>
      <protection locked="0"/>
    </xf>
    <xf numFmtId="0" fontId="1" fillId="36" borderId="68" xfId="0" applyFont="1" applyFill="1" applyBorder="1" applyAlignment="1">
      <alignment horizontal="center" vertical="center" textRotation="90" wrapText="1"/>
    </xf>
    <xf numFmtId="0" fontId="4" fillId="35" borderId="52" xfId="0" applyFont="1" applyFill="1" applyBorder="1" applyAlignment="1">
      <alignment horizontal="center" vertical="center" textRotation="90" wrapText="1"/>
    </xf>
    <xf numFmtId="0" fontId="1" fillId="34" borderId="64" xfId="0" applyFont="1" applyFill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 textRotation="90" wrapText="1"/>
    </xf>
    <xf numFmtId="0" fontId="4" fillId="35" borderId="0" xfId="0" applyFont="1" applyFill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textRotation="90" wrapText="1"/>
    </xf>
    <xf numFmtId="0" fontId="4" fillId="40" borderId="55" xfId="0" applyFont="1" applyFill="1" applyBorder="1" applyAlignment="1">
      <alignment horizontal="center" vertical="center" textRotation="90" wrapText="1"/>
    </xf>
    <xf numFmtId="0" fontId="4" fillId="40" borderId="56" xfId="0" applyFont="1" applyFill="1" applyBorder="1" applyAlignment="1">
      <alignment horizontal="center" vertical="center" textRotation="90" wrapText="1"/>
    </xf>
    <xf numFmtId="0" fontId="4" fillId="40" borderId="44" xfId="0" applyFont="1" applyFill="1" applyBorder="1" applyAlignment="1">
      <alignment horizontal="center" vertical="center" textRotation="90" wrapText="1"/>
    </xf>
    <xf numFmtId="0" fontId="4" fillId="35" borderId="55" xfId="0" applyFont="1" applyFill="1" applyBorder="1" applyAlignment="1">
      <alignment horizontal="center" vertical="center" textRotation="90" wrapText="1"/>
    </xf>
    <xf numFmtId="0" fontId="4" fillId="35" borderId="56" xfId="0" applyFont="1" applyFill="1" applyBorder="1" applyAlignment="1">
      <alignment horizontal="center" vertical="center" textRotation="90" wrapText="1"/>
    </xf>
    <xf numFmtId="0" fontId="4" fillId="35" borderId="44" xfId="0" applyFont="1" applyFill="1" applyBorder="1" applyAlignment="1">
      <alignment horizontal="center" vertical="center" textRotation="90" wrapText="1"/>
    </xf>
    <xf numFmtId="2" fontId="1" fillId="33" borderId="55" xfId="0" applyNumberFormat="1" applyFont="1" applyFill="1" applyBorder="1" applyAlignment="1">
      <alignment horizontal="center" vertical="center" textRotation="90" wrapText="1"/>
    </xf>
    <xf numFmtId="2" fontId="1" fillId="33" borderId="56" xfId="0" applyNumberFormat="1" applyFont="1" applyFill="1" applyBorder="1" applyAlignment="1">
      <alignment horizontal="center" vertical="center" textRotation="90" wrapText="1"/>
    </xf>
    <xf numFmtId="0" fontId="4" fillId="35" borderId="35" xfId="0" applyFont="1" applyFill="1" applyBorder="1" applyAlignment="1" applyProtection="1">
      <alignment horizontal="center" vertical="center" textRotation="90" wrapText="1"/>
      <protection locked="0"/>
    </xf>
    <xf numFmtId="0" fontId="4" fillId="35" borderId="0" xfId="0" applyFont="1" applyFill="1" applyBorder="1" applyAlignment="1" applyProtection="1">
      <alignment horizontal="center" vertical="center" textRotation="90" wrapText="1"/>
      <protection locked="0"/>
    </xf>
    <xf numFmtId="0" fontId="4" fillId="35" borderId="58" xfId="0" applyFont="1" applyFill="1" applyBorder="1" applyAlignment="1">
      <alignment horizontal="center" vertical="center" textRotation="90" wrapText="1"/>
    </xf>
    <xf numFmtId="0" fontId="4" fillId="35" borderId="61" xfId="0" applyFont="1" applyFill="1" applyBorder="1" applyAlignment="1">
      <alignment horizontal="center" vertical="center" textRotation="90" wrapText="1"/>
    </xf>
    <xf numFmtId="0" fontId="1" fillId="35" borderId="59" xfId="0" applyFont="1" applyFill="1" applyBorder="1" applyAlignment="1">
      <alignment horizontal="center" vertical="center" textRotation="90" wrapText="1"/>
    </xf>
    <xf numFmtId="0" fontId="1" fillId="35" borderId="60" xfId="0" applyFont="1" applyFill="1" applyBorder="1" applyAlignment="1">
      <alignment horizontal="center" vertical="center" textRotation="90" wrapText="1"/>
    </xf>
    <xf numFmtId="0" fontId="4" fillId="13" borderId="61" xfId="0" applyFont="1" applyFill="1" applyBorder="1" applyAlignment="1">
      <alignment horizontal="center" vertical="center" textRotation="90" wrapText="1"/>
    </xf>
    <xf numFmtId="0" fontId="1" fillId="13" borderId="6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textRotation="90" wrapText="1"/>
    </xf>
    <xf numFmtId="0" fontId="4" fillId="33" borderId="60" xfId="0" applyFont="1" applyFill="1" applyBorder="1" applyAlignment="1">
      <alignment horizontal="center" vertical="center" textRotation="90" wrapText="1"/>
    </xf>
    <xf numFmtId="0" fontId="1" fillId="13" borderId="63" xfId="0" applyFont="1" applyFill="1" applyBorder="1" applyAlignment="1">
      <alignment horizontal="center" vertical="center" textRotation="90" wrapText="1"/>
    </xf>
    <xf numFmtId="0" fontId="1" fillId="13" borderId="34" xfId="0" applyFont="1" applyFill="1" applyBorder="1" applyAlignment="1">
      <alignment horizontal="center" vertical="center" textRotation="90" wrapText="1"/>
    </xf>
    <xf numFmtId="0" fontId="1" fillId="39" borderId="52" xfId="0" applyFont="1" applyFill="1" applyBorder="1" applyAlignment="1">
      <alignment horizontal="center" vertical="center" textRotation="90" wrapText="1"/>
    </xf>
    <xf numFmtId="0" fontId="1" fillId="39" borderId="64" xfId="0" applyFont="1" applyFill="1" applyBorder="1" applyAlignment="1">
      <alignment horizontal="center" vertical="center" textRotation="90" wrapText="1"/>
    </xf>
    <xf numFmtId="0" fontId="1" fillId="33" borderId="56" xfId="0" applyFont="1" applyFill="1" applyBorder="1" applyAlignment="1">
      <alignment horizontal="center" vertical="center" textRotation="90" wrapText="1"/>
    </xf>
    <xf numFmtId="0" fontId="1" fillId="33" borderId="44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textRotation="90" wrapText="1"/>
    </xf>
    <xf numFmtId="0" fontId="1" fillId="13" borderId="58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35" borderId="63" xfId="0" applyFont="1" applyFill="1" applyBorder="1" applyAlignment="1">
      <alignment horizontal="center" vertical="center" textRotation="90" wrapText="1"/>
    </xf>
    <xf numFmtId="0" fontId="1" fillId="35" borderId="34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1" fillId="39" borderId="58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13" borderId="56" xfId="0" applyFont="1" applyFill="1" applyBorder="1" applyAlignment="1">
      <alignment horizontal="center" vertical="center" textRotation="90" wrapText="1"/>
    </xf>
    <xf numFmtId="0" fontId="1" fillId="13" borderId="44" xfId="0" applyFont="1" applyFill="1" applyBorder="1" applyAlignment="1">
      <alignment horizontal="center" vertical="center" textRotation="90" wrapText="1"/>
    </xf>
    <xf numFmtId="0" fontId="1" fillId="34" borderId="24" xfId="0" applyFont="1" applyFill="1" applyBorder="1" applyAlignment="1">
      <alignment horizontal="center" vertical="center" textRotation="90" wrapText="1"/>
    </xf>
    <xf numFmtId="0" fontId="1" fillId="34" borderId="30" xfId="0" applyFont="1" applyFill="1" applyBorder="1" applyAlignment="1">
      <alignment horizontal="center" vertical="center" textRotation="90" wrapText="1"/>
    </xf>
    <xf numFmtId="0" fontId="1" fillId="13" borderId="52" xfId="0" applyFont="1" applyFill="1" applyBorder="1" applyAlignment="1">
      <alignment horizontal="center" vertical="center" textRotation="90" wrapText="1"/>
    </xf>
    <xf numFmtId="0" fontId="4" fillId="13" borderId="68" xfId="0" applyFont="1" applyFill="1" applyBorder="1" applyAlignment="1">
      <alignment horizontal="center" vertical="center" textRotation="90" wrapText="1"/>
    </xf>
    <xf numFmtId="0" fontId="1" fillId="13" borderId="64" xfId="0" applyFont="1" applyFill="1" applyBorder="1" applyAlignment="1">
      <alignment horizontal="center" vertical="center" textRotation="90" wrapText="1"/>
    </xf>
    <xf numFmtId="0" fontId="1" fillId="33" borderId="63" xfId="0" applyFont="1" applyFill="1" applyBorder="1" applyAlignment="1">
      <alignment horizontal="center" vertical="center" textRotation="90" wrapText="1"/>
    </xf>
    <xf numFmtId="0" fontId="1" fillId="33" borderId="34" xfId="0" applyFont="1" applyFill="1" applyBorder="1" applyAlignment="1">
      <alignment horizontal="center" vertical="center" textRotation="90" wrapText="1"/>
    </xf>
    <xf numFmtId="0" fontId="1" fillId="33" borderId="33" xfId="0" applyFont="1" applyFill="1" applyBorder="1" applyAlignment="1">
      <alignment horizontal="center" vertical="center" textRotation="90" wrapText="1"/>
    </xf>
    <xf numFmtId="0" fontId="1" fillId="13" borderId="33" xfId="0" applyFont="1" applyFill="1" applyBorder="1" applyAlignment="1">
      <alignment horizontal="center" vertical="center" textRotation="90" wrapText="1"/>
    </xf>
    <xf numFmtId="0" fontId="1" fillId="39" borderId="63" xfId="0" applyFont="1" applyFill="1" applyBorder="1" applyAlignment="1">
      <alignment horizontal="center" vertical="center" textRotation="90" wrapText="1"/>
    </xf>
    <xf numFmtId="0" fontId="1" fillId="39" borderId="34" xfId="0" applyFont="1" applyFill="1" applyBorder="1" applyAlignment="1">
      <alignment horizontal="center" vertical="center" textRotation="90" wrapText="1"/>
    </xf>
    <xf numFmtId="0" fontId="1" fillId="39" borderId="33" xfId="0" applyFont="1" applyFill="1" applyBorder="1" applyAlignment="1">
      <alignment horizontal="center" vertical="center" textRotation="90" wrapText="1"/>
    </xf>
    <xf numFmtId="0" fontId="4" fillId="39" borderId="55" xfId="0" applyFont="1" applyFill="1" applyBorder="1" applyAlignment="1">
      <alignment horizontal="center" vertical="center" textRotation="90" wrapText="1"/>
    </xf>
    <xf numFmtId="0" fontId="4" fillId="39" borderId="56" xfId="0" applyFont="1" applyFill="1" applyBorder="1" applyAlignment="1">
      <alignment horizontal="center" vertical="center" textRotation="90" wrapText="1"/>
    </xf>
    <xf numFmtId="0" fontId="4" fillId="39" borderId="44" xfId="0" applyFont="1" applyFill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4" fillId="13" borderId="20" xfId="0" applyFont="1" applyFill="1" applyBorder="1" applyAlignment="1">
      <alignment horizontal="center" vertical="center" textRotation="90" wrapText="1"/>
    </xf>
    <xf numFmtId="0" fontId="4" fillId="13" borderId="10" xfId="0" applyFont="1" applyFill="1" applyBorder="1" applyAlignment="1">
      <alignment horizontal="center" vertical="center" textRotation="90" wrapText="1"/>
    </xf>
    <xf numFmtId="0" fontId="4" fillId="13" borderId="15" xfId="0" applyFont="1" applyFill="1" applyBorder="1" applyAlignment="1">
      <alignment horizontal="center" vertical="center" textRotation="90" wrapText="1"/>
    </xf>
    <xf numFmtId="0" fontId="4" fillId="39" borderId="20" xfId="0" applyFont="1" applyFill="1" applyBorder="1" applyAlignment="1">
      <alignment horizontal="center" vertical="center" textRotation="90" wrapText="1"/>
    </xf>
    <xf numFmtId="0" fontId="1" fillId="39" borderId="10" xfId="0" applyFont="1" applyFill="1" applyBorder="1" applyAlignment="1">
      <alignment horizontal="center" vertical="center" textRotation="90" wrapText="1"/>
    </xf>
    <xf numFmtId="0" fontId="1" fillId="39" borderId="15" xfId="0" applyFont="1" applyFill="1" applyBorder="1" applyAlignment="1">
      <alignment horizontal="center" vertical="center" textRotation="90" wrapText="1"/>
    </xf>
    <xf numFmtId="0" fontId="4" fillId="35" borderId="20" xfId="0" applyFont="1" applyFill="1" applyBorder="1" applyAlignment="1">
      <alignment horizontal="center" vertical="center" textRotation="90" wrapText="1"/>
    </xf>
    <xf numFmtId="0" fontId="1" fillId="35" borderId="10" xfId="0" applyFont="1" applyFill="1" applyBorder="1" applyAlignment="1">
      <alignment horizontal="center" vertical="center" textRotation="90" wrapText="1"/>
    </xf>
    <xf numFmtId="0" fontId="1" fillId="35" borderId="1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 textRotation="90" wrapText="1"/>
    </xf>
    <xf numFmtId="0" fontId="1" fillId="35" borderId="44" xfId="0" applyFont="1" applyFill="1" applyBorder="1" applyAlignment="1">
      <alignment horizontal="center" vertical="center" textRotation="90" wrapText="1"/>
    </xf>
    <xf numFmtId="0" fontId="1" fillId="34" borderId="68" xfId="0" applyFont="1" applyFill="1" applyBorder="1" applyAlignment="1">
      <alignment horizontal="center" vertical="center" textRotation="90" wrapText="1"/>
    </xf>
    <xf numFmtId="0" fontId="4" fillId="33" borderId="52" xfId="0" applyFont="1" applyFill="1" applyBorder="1" applyAlignment="1" applyProtection="1">
      <alignment horizontal="center" vertical="center" textRotation="90" wrapText="1"/>
      <protection locked="0"/>
    </xf>
    <xf numFmtId="0" fontId="1" fillId="33" borderId="53" xfId="0" applyFont="1" applyFill="1" applyBorder="1" applyAlignment="1" applyProtection="1">
      <alignment horizontal="center" vertical="center" textRotation="90" wrapText="1"/>
      <protection locked="0"/>
    </xf>
    <xf numFmtId="0" fontId="1" fillId="33" borderId="54" xfId="0" applyFont="1" applyFill="1" applyBorder="1" applyAlignment="1" applyProtection="1">
      <alignment horizontal="center" vertical="center" textRotation="90" wrapText="1"/>
      <protection locked="0"/>
    </xf>
    <xf numFmtId="0" fontId="4" fillId="41" borderId="68" xfId="0" applyFont="1" applyFill="1" applyBorder="1" applyAlignment="1" applyProtection="1">
      <alignment horizontal="center" vertical="center" textRotation="90" wrapText="1"/>
      <protection locked="0"/>
    </xf>
    <xf numFmtId="0" fontId="1" fillId="41" borderId="53" xfId="0" applyFont="1" applyFill="1" applyBorder="1" applyAlignment="1" applyProtection="1">
      <alignment horizontal="center" vertical="center" textRotation="90" wrapText="1"/>
      <protection locked="0"/>
    </xf>
    <xf numFmtId="0" fontId="1" fillId="41" borderId="54" xfId="0" applyFont="1" applyFill="1" applyBorder="1" applyAlignment="1" applyProtection="1">
      <alignment horizontal="center" vertical="center" textRotation="90" wrapText="1"/>
      <protection locked="0"/>
    </xf>
    <xf numFmtId="0" fontId="4" fillId="34" borderId="52" xfId="0" applyFont="1" applyFill="1" applyBorder="1" applyAlignment="1" applyProtection="1">
      <alignment horizontal="center" vertical="center" textRotation="90" wrapText="1"/>
      <protection locked="0"/>
    </xf>
    <xf numFmtId="0" fontId="1" fillId="34" borderId="53" xfId="0" applyFont="1" applyFill="1" applyBorder="1" applyAlignment="1" applyProtection="1">
      <alignment horizontal="center" vertical="center" textRotation="90" wrapText="1"/>
      <protection locked="0"/>
    </xf>
    <xf numFmtId="0" fontId="1" fillId="34" borderId="54" xfId="0" applyFont="1" applyFill="1" applyBorder="1" applyAlignment="1" applyProtection="1">
      <alignment horizontal="center" vertical="center" textRotation="90" wrapText="1"/>
      <protection locked="0"/>
    </xf>
    <xf numFmtId="0" fontId="4" fillId="40" borderId="58" xfId="0" applyFont="1" applyFill="1" applyBorder="1" applyAlignment="1">
      <alignment horizontal="center" vertical="center" textRotation="90" wrapText="1"/>
    </xf>
    <xf numFmtId="0" fontId="1" fillId="40" borderId="59" xfId="0" applyFont="1" applyFill="1" applyBorder="1" applyAlignment="1">
      <alignment horizontal="center" vertical="center" textRotation="90" wrapText="1"/>
    </xf>
    <xf numFmtId="0" fontId="1" fillId="40" borderId="62" xfId="0" applyFont="1" applyFill="1" applyBorder="1" applyAlignment="1">
      <alignment horizontal="center" vertical="center" textRotation="90" wrapText="1"/>
    </xf>
    <xf numFmtId="0" fontId="1" fillId="40" borderId="60" xfId="0" applyFont="1" applyFill="1" applyBorder="1" applyAlignment="1">
      <alignment horizontal="center" vertical="center" textRotation="90" wrapText="1"/>
    </xf>
    <xf numFmtId="0" fontId="1" fillId="33" borderId="55" xfId="0" applyFont="1" applyFill="1" applyBorder="1" applyAlignment="1">
      <alignment horizontal="center" vertical="center" textRotation="90" wrapText="1"/>
    </xf>
    <xf numFmtId="0" fontId="1" fillId="34" borderId="35" xfId="0" applyFont="1" applyFill="1" applyBorder="1" applyAlignment="1">
      <alignment horizontal="center" vertical="center" textRotation="90" wrapText="1"/>
    </xf>
    <xf numFmtId="0" fontId="1" fillId="34" borderId="0" xfId="0" applyFont="1" applyFill="1" applyBorder="1" applyAlignment="1">
      <alignment horizontal="center" vertical="center" textRotation="90" wrapText="1"/>
    </xf>
    <xf numFmtId="0" fontId="1" fillId="34" borderId="51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1" fontId="1" fillId="39" borderId="10" xfId="62" applyNumberFormat="1" applyFont="1" applyFill="1" applyBorder="1" applyAlignment="1" applyProtection="1">
      <alignment horizontal="center" vertical="center" wrapText="1"/>
      <protection locked="0"/>
    </xf>
    <xf numFmtId="0" fontId="1" fillId="39" borderId="10" xfId="62" applyNumberFormat="1" applyFont="1" applyFill="1" applyBorder="1" applyAlignment="1" applyProtection="1">
      <alignment horizontal="center" vertical="center" wrapText="1"/>
      <protection locked="0"/>
    </xf>
    <xf numFmtId="0" fontId="1" fillId="39" borderId="10" xfId="62" applyFont="1" applyFill="1" applyBorder="1" applyAlignment="1" applyProtection="1">
      <alignment horizontal="center" vertical="center"/>
      <protection locked="0"/>
    </xf>
    <xf numFmtId="1" fontId="1" fillId="39" borderId="10" xfId="62" applyNumberFormat="1" applyFont="1" applyFill="1" applyBorder="1" applyAlignment="1" applyProtection="1">
      <alignment horizontal="center" vertical="center"/>
      <protection locked="0"/>
    </xf>
    <xf numFmtId="1" fontId="1" fillId="39" borderId="11" xfId="62" applyNumberFormat="1" applyFont="1" applyFill="1" applyBorder="1" applyAlignment="1" applyProtection="1">
      <alignment horizontal="center" vertical="center"/>
      <protection locked="0"/>
    </xf>
    <xf numFmtId="167" fontId="1" fillId="39" borderId="11" xfId="0" applyNumberFormat="1" applyFont="1" applyFill="1" applyBorder="1" applyAlignment="1" applyProtection="1">
      <alignment horizontal="center"/>
      <protection/>
    </xf>
    <xf numFmtId="2" fontId="1" fillId="39" borderId="11" xfId="0" applyNumberFormat="1" applyFont="1" applyFill="1" applyBorder="1" applyAlignment="1" applyProtection="1">
      <alignment horizontal="center"/>
      <protection/>
    </xf>
    <xf numFmtId="2" fontId="1" fillId="39" borderId="12" xfId="0" applyNumberFormat="1" applyFont="1" applyFill="1" applyBorder="1" applyAlignment="1" applyProtection="1">
      <alignment horizontal="center"/>
      <protection/>
    </xf>
    <xf numFmtId="0" fontId="1" fillId="36" borderId="43" xfId="0" applyFont="1" applyFill="1" applyBorder="1" applyAlignment="1" applyProtection="1">
      <alignment horizontal="left" vertical="top" wrapText="1"/>
      <protection locked="0"/>
    </xf>
    <xf numFmtId="0" fontId="1" fillId="36" borderId="14" xfId="0" applyFont="1" applyFill="1" applyBorder="1" applyAlignment="1" applyProtection="1">
      <alignment horizontal="center" vertical="center" wrapText="1"/>
      <protection locked="0"/>
    </xf>
    <xf numFmtId="0" fontId="1" fillId="36" borderId="14" xfId="0" applyFont="1" applyFill="1" applyBorder="1" applyAlignment="1" applyProtection="1">
      <alignment horizontal="center" vertical="center"/>
      <protection locked="0"/>
    </xf>
    <xf numFmtId="0" fontId="1" fillId="36" borderId="23" xfId="0" applyFont="1" applyFill="1" applyBorder="1" applyAlignment="1" applyProtection="1">
      <alignment horizontal="left" vertical="top" wrapText="1"/>
      <protection locked="0"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6" borderId="41" xfId="0" applyFont="1" applyFill="1" applyBorder="1" applyAlignment="1" applyProtection="1">
      <alignment horizontal="left" vertical="top" wrapText="1"/>
      <protection locked="0"/>
    </xf>
    <xf numFmtId="0" fontId="1" fillId="36" borderId="15" xfId="0" applyFont="1" applyFill="1" applyBorder="1" applyAlignment="1" applyProtection="1">
      <alignment horizontal="center" vertical="center" wrapText="1"/>
      <protection locked="0"/>
    </xf>
    <xf numFmtId="0" fontId="1" fillId="36" borderId="15" xfId="0" applyFont="1" applyFill="1" applyBorder="1" applyAlignment="1" applyProtection="1">
      <alignment horizontal="center" vertical="center"/>
      <protection locked="0"/>
    </xf>
    <xf numFmtId="0" fontId="53" fillId="39" borderId="14" xfId="62" applyFont="1" applyFill="1" applyBorder="1" applyAlignment="1" applyProtection="1">
      <alignment horizontal="left" vertical="center" wrapText="1"/>
      <protection locked="0"/>
    </xf>
    <xf numFmtId="0" fontId="53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53" fillId="39" borderId="14" xfId="62" applyFont="1" applyFill="1" applyBorder="1" applyAlignment="1" applyProtection="1">
      <alignment horizontal="center" vertical="center"/>
      <protection locked="0"/>
    </xf>
    <xf numFmtId="0" fontId="1" fillId="39" borderId="10" xfId="62" applyFont="1" applyFill="1" applyBorder="1" applyAlignment="1" applyProtection="1">
      <alignment horizontal="left" vertical="center" wrapText="1"/>
      <protection locked="0"/>
    </xf>
    <xf numFmtId="0" fontId="53" fillId="39" borderId="10" xfId="62" applyFont="1" applyFill="1" applyBorder="1" applyAlignment="1" applyProtection="1">
      <alignment horizontal="left" vertical="center" wrapText="1"/>
      <protection locked="0"/>
    </xf>
    <xf numFmtId="0" fontId="53" fillId="39" borderId="10" xfId="62" applyNumberFormat="1" applyFont="1" applyFill="1" applyBorder="1" applyAlignment="1" applyProtection="1">
      <alignment horizontal="center" vertical="center" wrapText="1"/>
      <protection locked="0"/>
    </xf>
    <xf numFmtId="0" fontId="53" fillId="39" borderId="10" xfId="62" applyFont="1" applyFill="1" applyBorder="1" applyAlignment="1" applyProtection="1">
      <alignment horizontal="center" vertical="center"/>
      <protection locked="0"/>
    </xf>
    <xf numFmtId="0" fontId="53" fillId="39" borderId="11" xfId="62" applyFont="1" applyFill="1" applyBorder="1" applyAlignment="1" applyProtection="1">
      <alignment horizontal="left" vertical="center" wrapText="1"/>
      <protection locked="0"/>
    </xf>
    <xf numFmtId="0" fontId="53" fillId="39" borderId="11" xfId="62" applyNumberFormat="1" applyFont="1" applyFill="1" applyBorder="1" applyAlignment="1" applyProtection="1">
      <alignment horizontal="center" vertical="center" wrapText="1"/>
      <protection locked="0"/>
    </xf>
    <xf numFmtId="0" fontId="53" fillId="39" borderId="11" xfId="62" applyFont="1" applyFill="1" applyBorder="1" applyAlignment="1" applyProtection="1">
      <alignment horizontal="center" vertical="center"/>
      <protection locked="0"/>
    </xf>
    <xf numFmtId="0" fontId="1" fillId="38" borderId="14" xfId="62" applyNumberFormat="1" applyFont="1" applyFill="1" applyBorder="1" applyAlignment="1" applyProtection="1">
      <alignment horizontal="center" vertical="center" wrapText="1"/>
      <protection locked="0"/>
    </xf>
    <xf numFmtId="0" fontId="1" fillId="38" borderId="14" xfId="62" applyFont="1" applyFill="1" applyBorder="1" applyAlignment="1" applyProtection="1">
      <alignment horizontal="center" vertical="center"/>
      <protection locked="0"/>
    </xf>
    <xf numFmtId="0" fontId="1" fillId="38" borderId="10" xfId="62" applyNumberFormat="1" applyFont="1" applyFill="1" applyBorder="1" applyAlignment="1" applyProtection="1">
      <alignment horizontal="center" vertical="center" wrapText="1"/>
      <protection locked="0"/>
    </xf>
    <xf numFmtId="0" fontId="1" fillId="38" borderId="10" xfId="62" applyFont="1" applyFill="1" applyBorder="1" applyAlignment="1" applyProtection="1">
      <alignment horizontal="center" vertical="center"/>
      <protection locked="0"/>
    </xf>
    <xf numFmtId="0" fontId="1" fillId="38" borderId="15" xfId="62" applyNumberFormat="1" applyFont="1" applyFill="1" applyBorder="1" applyAlignment="1" applyProtection="1">
      <alignment horizontal="center" vertical="center" wrapText="1"/>
      <protection locked="0"/>
    </xf>
    <xf numFmtId="0" fontId="1" fillId="38" borderId="15" xfId="62" applyFont="1" applyFill="1" applyBorder="1" applyAlignment="1" applyProtection="1">
      <alignment horizontal="center" vertical="center"/>
      <protection locked="0"/>
    </xf>
    <xf numFmtId="0" fontId="1" fillId="13" borderId="14" xfId="0" applyFont="1" applyFill="1" applyBorder="1" applyAlignment="1" applyProtection="1">
      <alignment horizontal="left" vertical="top" wrapText="1"/>
      <protection locked="0"/>
    </xf>
    <xf numFmtId="0" fontId="1" fillId="13" borderId="14" xfId="0" applyFont="1" applyFill="1" applyBorder="1" applyAlignment="1" applyProtection="1">
      <alignment horizontal="center" vertical="center" wrapText="1"/>
      <protection locked="0"/>
    </xf>
    <xf numFmtId="0" fontId="1" fillId="13" borderId="14" xfId="0" applyFont="1" applyFill="1" applyBorder="1" applyAlignment="1" applyProtection="1">
      <alignment horizontal="center" vertical="center"/>
      <protection locked="0"/>
    </xf>
    <xf numFmtId="0" fontId="1" fillId="13" borderId="10" xfId="0" applyFont="1" applyFill="1" applyBorder="1" applyAlignment="1" applyProtection="1">
      <alignment horizontal="left" vertical="top" wrapText="1"/>
      <protection locked="0"/>
    </xf>
    <xf numFmtId="0" fontId="1" fillId="13" borderId="10" xfId="0" applyFont="1" applyFill="1" applyBorder="1" applyAlignment="1" applyProtection="1">
      <alignment horizontal="center" vertical="center" wrapText="1"/>
      <protection locked="0"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0" fontId="1" fillId="13" borderId="15" xfId="0" applyFont="1" applyFill="1" applyBorder="1" applyAlignment="1" applyProtection="1">
      <alignment horizontal="left" vertical="top" wrapText="1"/>
      <protection locked="0"/>
    </xf>
    <xf numFmtId="0" fontId="1" fillId="13" borderId="15" xfId="0" applyFont="1" applyFill="1" applyBorder="1" applyAlignment="1" applyProtection="1">
      <alignment horizontal="center" vertical="center" wrapText="1"/>
      <protection locked="0"/>
    </xf>
    <xf numFmtId="0" fontId="1" fillId="13" borderId="15" xfId="0" applyFont="1" applyFill="1" applyBorder="1" applyAlignment="1" applyProtection="1">
      <alignment horizontal="center" vertical="center"/>
      <protection locked="0"/>
    </xf>
    <xf numFmtId="2" fontId="1" fillId="36" borderId="14" xfId="0" applyNumberFormat="1" applyFont="1" applyFill="1" applyBorder="1" applyAlignment="1" applyProtection="1">
      <alignment horizontal="center"/>
      <protection locked="0"/>
    </xf>
    <xf numFmtId="2" fontId="1" fillId="36" borderId="25" xfId="0" applyNumberFormat="1" applyFont="1" applyFill="1" applyBorder="1" applyAlignment="1" applyProtection="1">
      <alignment horizontal="center"/>
      <protection/>
    </xf>
    <xf numFmtId="0" fontId="1" fillId="38" borderId="23" xfId="62" applyFont="1" applyFill="1" applyBorder="1" applyAlignment="1" applyProtection="1">
      <alignment horizontal="left" vertical="center" wrapText="1"/>
      <protection locked="0"/>
    </xf>
    <xf numFmtId="0" fontId="1" fillId="38" borderId="41" xfId="62" applyFont="1" applyFill="1" applyBorder="1" applyAlignment="1" applyProtection="1">
      <alignment horizontal="left" vertical="center" wrapText="1"/>
      <protection locked="0"/>
    </xf>
    <xf numFmtId="0" fontId="1" fillId="38" borderId="25" xfId="0" applyFont="1" applyFill="1" applyBorder="1" applyAlignment="1">
      <alignment horizontal="center"/>
    </xf>
    <xf numFmtId="0" fontId="1" fillId="38" borderId="14" xfId="62" applyFont="1" applyFill="1" applyBorder="1" applyAlignment="1" applyProtection="1">
      <alignment horizontal="left" vertical="center" wrapText="1"/>
      <protection locked="0"/>
    </xf>
    <xf numFmtId="175" fontId="53" fillId="36" borderId="14" xfId="64" applyNumberFormat="1" applyFont="1" applyFill="1" applyBorder="1" applyAlignment="1">
      <alignment horizontal="center" vertical="top" wrapText="1"/>
      <protection/>
    </xf>
    <xf numFmtId="175" fontId="1" fillId="36" borderId="14" xfId="0" applyNumberFormat="1" applyFont="1" applyFill="1" applyBorder="1" applyAlignment="1" applyProtection="1">
      <alignment horizontal="center" vertical="center" wrapText="1"/>
      <protection locked="0"/>
    </xf>
    <xf numFmtId="175" fontId="53" fillId="36" borderId="10" xfId="64" applyNumberFormat="1" applyFont="1" applyFill="1" applyBorder="1" applyAlignment="1">
      <alignment horizontal="center" vertical="top" wrapText="1"/>
      <protection/>
    </xf>
    <xf numFmtId="175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175" fontId="53" fillId="36" borderId="10" xfId="0" applyNumberFormat="1" applyFont="1" applyFill="1" applyBorder="1" applyAlignment="1">
      <alignment horizontal="center" vertical="top" wrapText="1"/>
    </xf>
    <xf numFmtId="175" fontId="53" fillId="36" borderId="15" xfId="64" applyNumberFormat="1" applyFont="1" applyFill="1" applyBorder="1" applyAlignment="1">
      <alignment horizontal="center" vertical="top" wrapText="1"/>
      <protection/>
    </xf>
    <xf numFmtId="175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175" fontId="53" fillId="13" borderId="14" xfId="0" applyNumberFormat="1" applyFont="1" applyFill="1" applyBorder="1" applyAlignment="1">
      <alignment horizontal="center" vertical="top" wrapText="1"/>
    </xf>
    <xf numFmtId="175" fontId="1" fillId="13" borderId="14" xfId="0" applyNumberFormat="1" applyFont="1" applyFill="1" applyBorder="1" applyAlignment="1" applyProtection="1">
      <alignment horizontal="center" vertical="center" wrapText="1"/>
      <protection locked="0"/>
    </xf>
    <xf numFmtId="175" fontId="53" fillId="13" borderId="10" xfId="0" applyNumberFormat="1" applyFont="1" applyFill="1" applyBorder="1" applyAlignment="1">
      <alignment horizontal="center" vertical="top" wrapText="1"/>
    </xf>
    <xf numFmtId="175" fontId="1" fillId="13" borderId="10" xfId="0" applyNumberFormat="1" applyFont="1" applyFill="1" applyBorder="1" applyAlignment="1" applyProtection="1">
      <alignment horizontal="center" vertical="center" wrapText="1"/>
      <protection locked="0"/>
    </xf>
    <xf numFmtId="175" fontId="53" fillId="13" borderId="10" xfId="64" applyNumberFormat="1" applyFont="1" applyFill="1" applyBorder="1" applyAlignment="1">
      <alignment horizontal="center" vertical="top" wrapText="1"/>
      <protection/>
    </xf>
    <xf numFmtId="175" fontId="53" fillId="13" borderId="15" xfId="0" applyNumberFormat="1" applyFont="1" applyFill="1" applyBorder="1" applyAlignment="1">
      <alignment horizontal="center" vertical="top" wrapText="1"/>
    </xf>
    <xf numFmtId="175" fontId="1" fillId="13" borderId="15" xfId="0" applyNumberFormat="1" applyFont="1" applyFill="1" applyBorder="1" applyAlignment="1" applyProtection="1">
      <alignment horizontal="center" vertical="center" wrapText="1"/>
      <protection locked="0"/>
    </xf>
    <xf numFmtId="175" fontId="53" fillId="39" borderId="14" xfId="0" applyNumberFormat="1" applyFont="1" applyFill="1" applyBorder="1" applyAlignment="1">
      <alignment horizontal="center" vertical="top" wrapText="1"/>
    </xf>
    <xf numFmtId="175" fontId="53" fillId="39" borderId="14" xfId="63" applyNumberFormat="1" applyFont="1" applyFill="1" applyBorder="1" applyAlignment="1" applyProtection="1">
      <alignment horizontal="center" vertical="center" wrapText="1"/>
      <protection locked="0"/>
    </xf>
    <xf numFmtId="175" fontId="53" fillId="39" borderId="10" xfId="0" applyNumberFormat="1" applyFont="1" applyFill="1" applyBorder="1" applyAlignment="1">
      <alignment horizontal="center" vertical="top" wrapText="1"/>
    </xf>
    <xf numFmtId="175" fontId="53" fillId="39" borderId="10" xfId="63" applyNumberFormat="1" applyFont="1" applyFill="1" applyBorder="1" applyAlignment="1" applyProtection="1">
      <alignment horizontal="center" vertical="center" wrapText="1"/>
      <protection locked="0"/>
    </xf>
    <xf numFmtId="175" fontId="53" fillId="39" borderId="11" xfId="0" applyNumberFormat="1" applyFont="1" applyFill="1" applyBorder="1" applyAlignment="1">
      <alignment horizontal="center" vertical="top" wrapText="1"/>
    </xf>
    <xf numFmtId="175" fontId="53" fillId="39" borderId="11" xfId="63" applyNumberFormat="1" applyFont="1" applyFill="1" applyBorder="1" applyAlignment="1" applyProtection="1">
      <alignment horizontal="center" vertical="center" wrapText="1"/>
      <protection locked="0"/>
    </xf>
    <xf numFmtId="175" fontId="53" fillId="38" borderId="14" xfId="0" applyNumberFormat="1" applyFont="1" applyFill="1" applyBorder="1" applyAlignment="1">
      <alignment horizontal="center" vertical="top" wrapText="1"/>
    </xf>
    <xf numFmtId="175" fontId="53" fillId="38" borderId="14" xfId="63" applyNumberFormat="1" applyFont="1" applyFill="1" applyBorder="1" applyAlignment="1" applyProtection="1">
      <alignment horizontal="center" vertical="center" wrapText="1"/>
      <protection locked="0"/>
    </xf>
    <xf numFmtId="175" fontId="53" fillId="38" borderId="10" xfId="0" applyNumberFormat="1" applyFont="1" applyFill="1" applyBorder="1" applyAlignment="1">
      <alignment horizontal="center" vertical="top" wrapText="1"/>
    </xf>
    <xf numFmtId="175" fontId="53" fillId="38" borderId="10" xfId="63" applyNumberFormat="1" applyFont="1" applyFill="1" applyBorder="1" applyAlignment="1" applyProtection="1">
      <alignment horizontal="center" vertical="center" wrapText="1"/>
      <protection locked="0"/>
    </xf>
    <xf numFmtId="175" fontId="53" fillId="38" borderId="15" xfId="0" applyNumberFormat="1" applyFont="1" applyFill="1" applyBorder="1" applyAlignment="1">
      <alignment horizontal="center" vertical="top" wrapText="1"/>
    </xf>
    <xf numFmtId="175" fontId="53" fillId="38" borderId="15" xfId="63" applyNumberFormat="1" applyFont="1" applyFill="1" applyBorder="1" applyAlignment="1" applyProtection="1">
      <alignment horizontal="center" vertical="center" wrapText="1"/>
      <protection locked="0"/>
    </xf>
    <xf numFmtId="1" fontId="1" fillId="36" borderId="14" xfId="0" applyNumberFormat="1" applyFont="1" applyFill="1" applyBorder="1" applyAlignment="1" applyProtection="1">
      <alignment horizontal="center" vertical="center" wrapText="1"/>
      <protection locked="0"/>
    </xf>
    <xf numFmtId="1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36" borderId="10" xfId="0" applyNumberFormat="1" applyFont="1" applyFill="1" applyBorder="1" applyAlignment="1" applyProtection="1">
      <alignment horizontal="center" vertical="center"/>
      <protection locked="0"/>
    </xf>
    <xf numFmtId="1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13" borderId="14" xfId="0" applyNumberFormat="1" applyFont="1" applyFill="1" applyBorder="1" applyAlignment="1" applyProtection="1">
      <alignment horizontal="center" vertical="center"/>
      <protection locked="0"/>
    </xf>
    <xf numFmtId="1" fontId="1" fillId="13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13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39" borderId="14" xfId="62" applyNumberFormat="1" applyFont="1" applyFill="1" applyBorder="1" applyAlignment="1" applyProtection="1">
      <alignment horizontal="center" vertical="center" wrapText="1"/>
      <protection locked="0"/>
    </xf>
    <xf numFmtId="1" fontId="1" fillId="38" borderId="14" xfId="62" applyNumberFormat="1" applyFont="1" applyFill="1" applyBorder="1" applyAlignment="1" applyProtection="1">
      <alignment horizontal="center" vertical="center"/>
      <protection locked="0"/>
    </xf>
    <xf numFmtId="1" fontId="1" fillId="38" borderId="10" xfId="62" applyNumberFormat="1" applyFont="1" applyFill="1" applyBorder="1" applyAlignment="1" applyProtection="1">
      <alignment horizontal="center" vertical="center"/>
      <protection locked="0"/>
    </xf>
    <xf numFmtId="1" fontId="53" fillId="38" borderId="10" xfId="63" applyNumberFormat="1" applyFont="1" applyFill="1" applyBorder="1" applyAlignment="1" applyProtection="1">
      <alignment horizontal="center" vertical="center" wrapText="1"/>
      <protection locked="0"/>
    </xf>
    <xf numFmtId="1" fontId="1" fillId="38" borderId="15" xfId="62" applyNumberFormat="1" applyFont="1" applyFill="1" applyBorder="1" applyAlignment="1" applyProtection="1">
      <alignment horizontal="center" vertical="center"/>
      <protection locked="0"/>
    </xf>
    <xf numFmtId="1" fontId="1" fillId="13" borderId="14" xfId="0" applyNumberFormat="1" applyFont="1" applyFill="1" applyBorder="1" applyAlignment="1" applyProtection="1">
      <alignment horizontal="center" vertical="center" wrapText="1"/>
      <protection locked="0"/>
    </xf>
    <xf numFmtId="1" fontId="53" fillId="39" borderId="14" xfId="63" applyNumberFormat="1" applyFont="1" applyFill="1" applyBorder="1" applyAlignment="1" applyProtection="1">
      <alignment horizontal="center" vertical="center" wrapText="1"/>
      <protection locked="0"/>
    </xf>
    <xf numFmtId="1" fontId="53" fillId="39" borderId="10" xfId="63" applyNumberFormat="1" applyFont="1" applyFill="1" applyBorder="1" applyAlignment="1" applyProtection="1">
      <alignment horizontal="center" vertical="center" wrapText="1"/>
      <protection locked="0"/>
    </xf>
    <xf numFmtId="1" fontId="53" fillId="39" borderId="11" xfId="63" applyNumberFormat="1" applyFont="1" applyFill="1" applyBorder="1" applyAlignment="1" applyProtection="1">
      <alignment horizontal="center" vertical="center" wrapText="1"/>
      <protection locked="0"/>
    </xf>
    <xf numFmtId="1" fontId="53" fillId="38" borderId="14" xfId="63" applyNumberFormat="1" applyFont="1" applyFill="1" applyBorder="1" applyAlignment="1" applyProtection="1">
      <alignment horizontal="center" vertical="center" wrapText="1"/>
      <protection locked="0"/>
    </xf>
    <xf numFmtId="1" fontId="53" fillId="38" borderId="15" xfId="63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aprastas 2" xfId="62"/>
    <cellStyle name="Paprastas 3" xfId="63"/>
    <cellStyle name="Paprastas 4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71"/>
  <sheetViews>
    <sheetView tabSelected="1" zoomScalePageLayoutView="0" workbookViewId="0" topLeftCell="A1">
      <selection activeCell="T1" sqref="T1"/>
    </sheetView>
  </sheetViews>
  <sheetFormatPr defaultColWidth="9.140625" defaultRowHeight="12.75"/>
  <cols>
    <col min="1" max="1" width="11.8515625" style="1" customWidth="1"/>
    <col min="2" max="2" width="3.57421875" style="5" customWidth="1"/>
    <col min="3" max="3" width="24.28125" style="4" customWidth="1"/>
    <col min="4" max="4" width="5.00390625" style="5" customWidth="1"/>
    <col min="5" max="5" width="7.140625" style="5" customWidth="1"/>
    <col min="6" max="6" width="7.421875" style="1" customWidth="1"/>
    <col min="7" max="7" width="8.8515625" style="1" customWidth="1"/>
    <col min="8" max="8" width="11.140625" style="1" customWidth="1"/>
    <col min="9" max="9" width="8.28125" style="1" customWidth="1"/>
    <col min="10" max="10" width="7.28125" style="1" customWidth="1"/>
    <col min="11" max="11" width="12.00390625" style="1" customWidth="1"/>
    <col min="12" max="12" width="6.8515625" style="1" customWidth="1"/>
    <col min="13" max="13" width="11.00390625" style="1" customWidth="1"/>
    <col min="14" max="14" width="9.57421875" style="1" customWidth="1"/>
    <col min="15" max="15" width="10.7109375" style="1" customWidth="1"/>
    <col min="16" max="16" width="11.421875" style="1" customWidth="1"/>
    <col min="17" max="17" width="13.140625" style="1" customWidth="1"/>
    <col min="18" max="18" width="5.8515625" style="1" customWidth="1"/>
    <col min="19" max="20" width="10.8515625" style="1" customWidth="1"/>
    <col min="21" max="21" width="12.421875" style="1" bestFit="1" customWidth="1"/>
    <col min="22" max="22" width="9.140625" style="1" customWidth="1"/>
    <col min="23" max="23" width="10.421875" style="1" bestFit="1" customWidth="1"/>
    <col min="24" max="16384" width="9.140625" style="1" customWidth="1"/>
  </cols>
  <sheetData>
    <row r="1" spans="1:17" s="17" customFormat="1" ht="13.5" customHeight="1">
      <c r="A1" s="1297" t="s">
        <v>624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</row>
    <row r="2" spans="1:17" s="17" customFormat="1" ht="13.5" customHeight="1">
      <c r="A2" s="82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9" customFormat="1" ht="13.5" customHeight="1">
      <c r="A3" s="1300" t="s">
        <v>31</v>
      </c>
      <c r="B3" s="1300"/>
      <c r="C3" s="1300"/>
      <c r="D3" s="1300"/>
      <c r="E3" s="1300"/>
      <c r="F3" s="1300"/>
      <c r="G3" s="1300"/>
      <c r="H3" s="1300"/>
      <c r="I3" s="1300"/>
      <c r="J3" s="1300"/>
      <c r="K3" s="1300"/>
      <c r="L3" s="1300"/>
      <c r="M3" s="1300"/>
      <c r="N3" s="1300"/>
      <c r="O3" s="1300"/>
      <c r="P3" s="1300"/>
      <c r="Q3" s="1300"/>
    </row>
    <row r="4" spans="1:17" s="17" customFormat="1" ht="13.5" customHeight="1" thickBot="1">
      <c r="A4" s="1234" t="s">
        <v>625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  <c r="N4" s="1234"/>
      <c r="O4" s="1234"/>
      <c r="P4" s="1234"/>
      <c r="Q4" s="1234"/>
    </row>
    <row r="5" spans="1:17" ht="12.75" customHeight="1">
      <c r="A5" s="1291" t="s">
        <v>1</v>
      </c>
      <c r="B5" s="1311" t="s">
        <v>0</v>
      </c>
      <c r="C5" s="1289" t="s">
        <v>2</v>
      </c>
      <c r="D5" s="1289" t="s">
        <v>3</v>
      </c>
      <c r="E5" s="1289" t="s">
        <v>13</v>
      </c>
      <c r="F5" s="1301" t="s">
        <v>14</v>
      </c>
      <c r="G5" s="1302"/>
      <c r="H5" s="1302"/>
      <c r="I5" s="1303"/>
      <c r="J5" s="1289" t="s">
        <v>4</v>
      </c>
      <c r="K5" s="1289" t="s">
        <v>15</v>
      </c>
      <c r="L5" s="1289" t="s">
        <v>5</v>
      </c>
      <c r="M5" s="1289" t="s">
        <v>6</v>
      </c>
      <c r="N5" s="1289" t="s">
        <v>16</v>
      </c>
      <c r="O5" s="1289" t="s">
        <v>17</v>
      </c>
      <c r="P5" s="1298" t="s">
        <v>25</v>
      </c>
      <c r="Q5" s="1309" t="s">
        <v>26</v>
      </c>
    </row>
    <row r="6" spans="1:22" s="2" customFormat="1" ht="33.75">
      <c r="A6" s="1292"/>
      <c r="B6" s="1312"/>
      <c r="C6" s="1290"/>
      <c r="D6" s="1296"/>
      <c r="E6" s="1296"/>
      <c r="F6" s="9" t="s">
        <v>18</v>
      </c>
      <c r="G6" s="9" t="s">
        <v>19</v>
      </c>
      <c r="H6" s="9" t="s">
        <v>20</v>
      </c>
      <c r="I6" s="9" t="s">
        <v>21</v>
      </c>
      <c r="J6" s="1296"/>
      <c r="K6" s="1296"/>
      <c r="L6" s="1296"/>
      <c r="M6" s="1296"/>
      <c r="N6" s="1296"/>
      <c r="O6" s="1296"/>
      <c r="P6" s="1299"/>
      <c r="Q6" s="1310"/>
      <c r="S6" s="153"/>
      <c r="T6" s="153"/>
      <c r="U6" s="153"/>
      <c r="V6" s="153"/>
    </row>
    <row r="7" spans="1:22" s="3" customFormat="1" ht="13.5" customHeight="1" thickBot="1">
      <c r="A7" s="1293"/>
      <c r="B7" s="1312"/>
      <c r="C7" s="1290"/>
      <c r="D7" s="10" t="s">
        <v>7</v>
      </c>
      <c r="E7" s="10" t="s">
        <v>8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22</v>
      </c>
      <c r="K7" s="10" t="s">
        <v>9</v>
      </c>
      <c r="L7" s="10" t="s">
        <v>22</v>
      </c>
      <c r="M7" s="10" t="s">
        <v>131</v>
      </c>
      <c r="N7" s="10" t="s">
        <v>10</v>
      </c>
      <c r="O7" s="10" t="s">
        <v>132</v>
      </c>
      <c r="P7" s="15" t="s">
        <v>27</v>
      </c>
      <c r="Q7" s="11" t="s">
        <v>28</v>
      </c>
      <c r="S7" s="154"/>
      <c r="T7" s="154"/>
      <c r="U7" s="155"/>
      <c r="V7" s="155"/>
    </row>
    <row r="8" spans="1:23" ht="12.75" customHeight="1">
      <c r="A8" s="1294" t="s">
        <v>48</v>
      </c>
      <c r="B8" s="85">
        <v>1</v>
      </c>
      <c r="C8" s="484" t="s">
        <v>61</v>
      </c>
      <c r="D8" s="485">
        <v>40</v>
      </c>
      <c r="E8" s="485">
        <v>2007</v>
      </c>
      <c r="F8" s="604">
        <v>18.496</v>
      </c>
      <c r="G8" s="604">
        <v>7.080168</v>
      </c>
      <c r="H8" s="604">
        <v>3.2</v>
      </c>
      <c r="I8" s="604">
        <v>8.215833</v>
      </c>
      <c r="J8" s="586">
        <v>2350.71</v>
      </c>
      <c r="K8" s="604">
        <v>8.215834000000001</v>
      </c>
      <c r="L8" s="586">
        <v>2350.71</v>
      </c>
      <c r="M8" s="577">
        <f aca="true" t="shared" si="0" ref="M8:M48">K8/L8</f>
        <v>0.003495043625117518</v>
      </c>
      <c r="N8" s="485">
        <v>298.66</v>
      </c>
      <c r="O8" s="595">
        <f aca="true" t="shared" si="1" ref="O8:O48">M8*N8</f>
        <v>1.043829729077598</v>
      </c>
      <c r="P8" s="595">
        <f aca="true" t="shared" si="2" ref="P8:P48">M8*60*1000</f>
        <v>209.7026175070511</v>
      </c>
      <c r="Q8" s="596">
        <f aca="true" t="shared" si="3" ref="Q8:Q48">P8*N8/1000</f>
        <v>62.62978374465588</v>
      </c>
      <c r="R8" s="63"/>
      <c r="S8" s="156"/>
      <c r="T8" s="156"/>
      <c r="U8" s="157"/>
      <c r="V8" s="158"/>
      <c r="W8" s="12"/>
    </row>
    <row r="9" spans="1:23" ht="12.75">
      <c r="A9" s="1231"/>
      <c r="B9" s="81">
        <v>2</v>
      </c>
      <c r="C9" s="486" t="s">
        <v>62</v>
      </c>
      <c r="D9" s="487">
        <v>116</v>
      </c>
      <c r="E9" s="487">
        <v>2007</v>
      </c>
      <c r="F9" s="605">
        <v>58.156</v>
      </c>
      <c r="G9" s="605">
        <v>22.389255</v>
      </c>
      <c r="H9" s="605">
        <v>9.119745</v>
      </c>
      <c r="I9" s="605">
        <v>26.647</v>
      </c>
      <c r="J9" s="587">
        <v>7056.7</v>
      </c>
      <c r="K9" s="605">
        <v>26.647</v>
      </c>
      <c r="L9" s="587">
        <v>7056.7</v>
      </c>
      <c r="M9" s="578">
        <f t="shared" si="0"/>
        <v>0.0037761276517352302</v>
      </c>
      <c r="N9" s="487">
        <v>298.66</v>
      </c>
      <c r="O9" s="597">
        <f t="shared" si="1"/>
        <v>1.127778284467244</v>
      </c>
      <c r="P9" s="597">
        <f t="shared" si="2"/>
        <v>226.5676591041138</v>
      </c>
      <c r="Q9" s="598">
        <f t="shared" si="3"/>
        <v>67.66669706803462</v>
      </c>
      <c r="R9" s="63"/>
      <c r="S9" s="156"/>
      <c r="T9" s="156"/>
      <c r="U9" s="157"/>
      <c r="V9" s="158"/>
      <c r="W9" s="12"/>
    </row>
    <row r="10" spans="1:23" ht="12.75">
      <c r="A10" s="1231"/>
      <c r="B10" s="81">
        <v>3</v>
      </c>
      <c r="C10" s="465" t="s">
        <v>130</v>
      </c>
      <c r="D10" s="466">
        <v>60</v>
      </c>
      <c r="E10" s="466">
        <v>1965</v>
      </c>
      <c r="F10" s="606">
        <v>29.428</v>
      </c>
      <c r="G10" s="606">
        <v>7.316001</v>
      </c>
      <c r="H10" s="606">
        <v>9.6</v>
      </c>
      <c r="I10" s="606">
        <v>12.511999</v>
      </c>
      <c r="J10" s="588">
        <v>2700.04</v>
      </c>
      <c r="K10" s="606">
        <v>12.512003</v>
      </c>
      <c r="L10" s="588">
        <v>2700.04</v>
      </c>
      <c r="M10" s="579">
        <f t="shared" si="0"/>
        <v>0.004634006533236545</v>
      </c>
      <c r="N10" s="466">
        <v>298.66</v>
      </c>
      <c r="O10" s="599">
        <f t="shared" si="1"/>
        <v>1.3839923912164265</v>
      </c>
      <c r="P10" s="599">
        <f t="shared" si="2"/>
        <v>278.04039199419265</v>
      </c>
      <c r="Q10" s="600">
        <f t="shared" si="3"/>
        <v>83.03954347298557</v>
      </c>
      <c r="R10" s="63"/>
      <c r="S10" s="63"/>
      <c r="T10" s="63"/>
      <c r="U10" s="14"/>
      <c r="V10" s="12"/>
      <c r="W10" s="12"/>
    </row>
    <row r="11" spans="1:23" ht="12.75">
      <c r="A11" s="1231"/>
      <c r="B11" s="842">
        <v>4</v>
      </c>
      <c r="C11" s="486" t="s">
        <v>63</v>
      </c>
      <c r="D11" s="487">
        <v>52</v>
      </c>
      <c r="E11" s="487">
        <v>2009</v>
      </c>
      <c r="F11" s="605">
        <v>23.991</v>
      </c>
      <c r="G11" s="605">
        <v>7.307916</v>
      </c>
      <c r="H11" s="605">
        <v>4.16</v>
      </c>
      <c r="I11" s="605">
        <v>12.523084</v>
      </c>
      <c r="J11" s="587">
        <v>2687.24</v>
      </c>
      <c r="K11" s="605">
        <v>12.523084999999998</v>
      </c>
      <c r="L11" s="587">
        <v>2687.24</v>
      </c>
      <c r="M11" s="578">
        <f t="shared" si="0"/>
        <v>0.004660203405724833</v>
      </c>
      <c r="N11" s="487">
        <v>298.66</v>
      </c>
      <c r="O11" s="597">
        <f t="shared" si="1"/>
        <v>1.3918163491537787</v>
      </c>
      <c r="P11" s="597">
        <f t="shared" si="2"/>
        <v>279.61220434348996</v>
      </c>
      <c r="Q11" s="598">
        <f t="shared" si="3"/>
        <v>83.50898094922672</v>
      </c>
      <c r="R11" s="63"/>
      <c r="S11" s="63"/>
      <c r="T11" s="63"/>
      <c r="U11" s="14"/>
      <c r="V11" s="12"/>
      <c r="W11" s="12"/>
    </row>
    <row r="12" spans="1:23" ht="12.75">
      <c r="A12" s="1231"/>
      <c r="B12" s="81">
        <v>5</v>
      </c>
      <c r="C12" s="486" t="s">
        <v>129</v>
      </c>
      <c r="D12" s="487">
        <v>58</v>
      </c>
      <c r="E12" s="487">
        <v>2007</v>
      </c>
      <c r="F12" s="605">
        <v>35.856</v>
      </c>
      <c r="G12" s="605">
        <v>10.367841</v>
      </c>
      <c r="H12" s="605">
        <v>4.64</v>
      </c>
      <c r="I12" s="605">
        <v>20.848159000000003</v>
      </c>
      <c r="J12" s="587">
        <v>3796.56</v>
      </c>
      <c r="K12" s="605">
        <v>20.848162000000002</v>
      </c>
      <c r="L12" s="587">
        <v>3796.56</v>
      </c>
      <c r="M12" s="578">
        <f t="shared" si="0"/>
        <v>0.005491329519354364</v>
      </c>
      <c r="N12" s="487">
        <v>298.66</v>
      </c>
      <c r="O12" s="597">
        <f t="shared" si="1"/>
        <v>1.6400404742503745</v>
      </c>
      <c r="P12" s="597">
        <f t="shared" si="2"/>
        <v>329.4797711612618</v>
      </c>
      <c r="Q12" s="598">
        <f t="shared" si="3"/>
        <v>98.40242845502246</v>
      </c>
      <c r="R12" s="63"/>
      <c r="S12" s="63"/>
      <c r="T12" s="63"/>
      <c r="U12" s="14"/>
      <c r="V12" s="12"/>
      <c r="W12" s="12"/>
    </row>
    <row r="13" spans="1:23" ht="12.75">
      <c r="A13" s="1231"/>
      <c r="B13" s="81">
        <v>6</v>
      </c>
      <c r="C13" s="486" t="s">
        <v>65</v>
      </c>
      <c r="D13" s="487">
        <v>64</v>
      </c>
      <c r="E13" s="487">
        <v>2006</v>
      </c>
      <c r="F13" s="605">
        <v>35.1</v>
      </c>
      <c r="G13" s="605">
        <v>11.428375</v>
      </c>
      <c r="H13" s="605">
        <v>5.12</v>
      </c>
      <c r="I13" s="605">
        <v>18.551626</v>
      </c>
      <c r="J13" s="587">
        <v>3331.47</v>
      </c>
      <c r="K13" s="605">
        <v>18.551625</v>
      </c>
      <c r="L13" s="587">
        <v>3331.47</v>
      </c>
      <c r="M13" s="578">
        <f t="shared" si="0"/>
        <v>0.005568600347594306</v>
      </c>
      <c r="N13" s="487">
        <v>298.66</v>
      </c>
      <c r="O13" s="597">
        <f t="shared" si="1"/>
        <v>1.6631181798125154</v>
      </c>
      <c r="P13" s="597">
        <f t="shared" si="2"/>
        <v>334.11602085565835</v>
      </c>
      <c r="Q13" s="598">
        <f t="shared" si="3"/>
        <v>99.78709078875093</v>
      </c>
      <c r="R13" s="63"/>
      <c r="S13" s="63"/>
      <c r="T13" s="63"/>
      <c r="U13" s="14"/>
      <c r="V13" s="12"/>
      <c r="W13" s="12"/>
    </row>
    <row r="14" spans="1:23" ht="12.75">
      <c r="A14" s="1231"/>
      <c r="B14" s="81">
        <v>7</v>
      </c>
      <c r="C14" s="486" t="s">
        <v>66</v>
      </c>
      <c r="D14" s="487">
        <v>56</v>
      </c>
      <c r="E14" s="487">
        <v>2008</v>
      </c>
      <c r="F14" s="605">
        <v>32.117</v>
      </c>
      <c r="G14" s="605">
        <v>8.251682</v>
      </c>
      <c r="H14" s="605">
        <v>4.48</v>
      </c>
      <c r="I14" s="605">
        <v>19.385317999999998</v>
      </c>
      <c r="J14" s="587">
        <v>3105.9</v>
      </c>
      <c r="K14" s="605">
        <v>19.385319</v>
      </c>
      <c r="L14" s="587">
        <v>3105.9</v>
      </c>
      <c r="M14" s="578">
        <f t="shared" si="0"/>
        <v>0.006241449821307833</v>
      </c>
      <c r="N14" s="487">
        <v>298.66</v>
      </c>
      <c r="O14" s="597">
        <f t="shared" si="1"/>
        <v>1.8640714036317976</v>
      </c>
      <c r="P14" s="597">
        <f t="shared" si="2"/>
        <v>374.48698927846993</v>
      </c>
      <c r="Q14" s="598">
        <f t="shared" si="3"/>
        <v>111.84428421790784</v>
      </c>
      <c r="R14" s="63"/>
      <c r="S14" s="63"/>
      <c r="T14" s="63"/>
      <c r="U14" s="14"/>
      <c r="V14" s="12"/>
      <c r="W14" s="12"/>
    </row>
    <row r="15" spans="1:23" ht="12.75">
      <c r="A15" s="1231"/>
      <c r="B15" s="81">
        <v>8</v>
      </c>
      <c r="C15" s="486" t="s">
        <v>67</v>
      </c>
      <c r="D15" s="487">
        <v>21</v>
      </c>
      <c r="E15" s="487">
        <v>2005</v>
      </c>
      <c r="F15" s="605">
        <v>20.305</v>
      </c>
      <c r="G15" s="605">
        <v>5.625642</v>
      </c>
      <c r="H15" s="605">
        <v>1.68</v>
      </c>
      <c r="I15" s="605">
        <v>12.999358</v>
      </c>
      <c r="J15" s="587">
        <v>1763.36</v>
      </c>
      <c r="K15" s="605">
        <v>12.999358</v>
      </c>
      <c r="L15" s="587">
        <v>1763.36</v>
      </c>
      <c r="M15" s="578">
        <f t="shared" si="0"/>
        <v>0.007371925188276927</v>
      </c>
      <c r="N15" s="487">
        <v>298.66</v>
      </c>
      <c r="O15" s="597">
        <f t="shared" si="1"/>
        <v>2.201699176730787</v>
      </c>
      <c r="P15" s="597">
        <f t="shared" si="2"/>
        <v>442.3155112966156</v>
      </c>
      <c r="Q15" s="598">
        <f t="shared" si="3"/>
        <v>132.10195060384726</v>
      </c>
      <c r="R15" s="63"/>
      <c r="S15" s="63"/>
      <c r="T15" s="63"/>
      <c r="U15" s="14"/>
      <c r="V15" s="12"/>
      <c r="W15" s="12"/>
    </row>
    <row r="16" spans="1:23" ht="12.75">
      <c r="A16" s="1231"/>
      <c r="B16" s="81">
        <v>9</v>
      </c>
      <c r="C16" s="486" t="s">
        <v>69</v>
      </c>
      <c r="D16" s="487">
        <v>60</v>
      </c>
      <c r="E16" s="487">
        <v>1994</v>
      </c>
      <c r="F16" s="605">
        <v>34.667</v>
      </c>
      <c r="G16" s="605">
        <v>7.146999</v>
      </c>
      <c r="H16" s="605">
        <v>9.52</v>
      </c>
      <c r="I16" s="605">
        <v>18.000001</v>
      </c>
      <c r="J16" s="587">
        <v>2203.82</v>
      </c>
      <c r="K16" s="605">
        <v>17.999999000000003</v>
      </c>
      <c r="L16" s="587">
        <v>2203.82</v>
      </c>
      <c r="M16" s="578">
        <f t="shared" si="0"/>
        <v>0.008167635741575991</v>
      </c>
      <c r="N16" s="487">
        <v>298.66</v>
      </c>
      <c r="O16" s="597">
        <f t="shared" si="1"/>
        <v>2.4393460905790856</v>
      </c>
      <c r="P16" s="597">
        <f t="shared" si="2"/>
        <v>490.0581444945595</v>
      </c>
      <c r="Q16" s="598">
        <f t="shared" si="3"/>
        <v>146.36076543474513</v>
      </c>
      <c r="R16" s="63"/>
      <c r="S16" s="63"/>
      <c r="T16" s="63"/>
      <c r="U16" s="14"/>
      <c r="V16" s="12"/>
      <c r="W16" s="12"/>
    </row>
    <row r="17" spans="1:23" ht="13.5" thickBot="1">
      <c r="A17" s="1232"/>
      <c r="B17" s="82">
        <v>10</v>
      </c>
      <c r="C17" s="512" t="s">
        <v>70</v>
      </c>
      <c r="D17" s="513">
        <v>45</v>
      </c>
      <c r="E17" s="513">
        <v>2001</v>
      </c>
      <c r="F17" s="675">
        <v>43.291</v>
      </c>
      <c r="G17" s="675">
        <v>8.8893</v>
      </c>
      <c r="H17" s="675">
        <v>7.12</v>
      </c>
      <c r="I17" s="675">
        <v>27.2817</v>
      </c>
      <c r="J17" s="680">
        <v>3135.61</v>
      </c>
      <c r="K17" s="675">
        <v>27.281706</v>
      </c>
      <c r="L17" s="680">
        <v>3135.61</v>
      </c>
      <c r="M17" s="668">
        <f t="shared" si="0"/>
        <v>0.00870060562378612</v>
      </c>
      <c r="N17" s="513">
        <v>298.66</v>
      </c>
      <c r="O17" s="669">
        <f t="shared" si="1"/>
        <v>2.5985228755999628</v>
      </c>
      <c r="P17" s="669">
        <f t="shared" si="2"/>
        <v>522.0363374271673</v>
      </c>
      <c r="Q17" s="814">
        <f t="shared" si="3"/>
        <v>155.9113725359978</v>
      </c>
      <c r="R17" s="63"/>
      <c r="S17" s="63"/>
      <c r="T17" s="63"/>
      <c r="U17" s="14"/>
      <c r="V17" s="12"/>
      <c r="W17" s="12"/>
    </row>
    <row r="18" spans="1:23" ht="12.75" customHeight="1">
      <c r="A18" s="1295" t="s">
        <v>45</v>
      </c>
      <c r="B18" s="457">
        <v>1</v>
      </c>
      <c r="C18" s="429" t="s">
        <v>71</v>
      </c>
      <c r="D18" s="404">
        <v>59</v>
      </c>
      <c r="E18" s="404">
        <v>2001</v>
      </c>
      <c r="F18" s="430">
        <v>47.944</v>
      </c>
      <c r="G18" s="430">
        <v>8.054348</v>
      </c>
      <c r="H18" s="430">
        <v>9.12</v>
      </c>
      <c r="I18" s="430">
        <v>30.769652</v>
      </c>
      <c r="J18" s="431">
        <v>3432.83</v>
      </c>
      <c r="K18" s="430">
        <v>30.769652</v>
      </c>
      <c r="L18" s="431">
        <v>3432.83</v>
      </c>
      <c r="M18" s="445">
        <f t="shared" si="0"/>
        <v>0.008963348607417205</v>
      </c>
      <c r="N18" s="404">
        <v>298.66</v>
      </c>
      <c r="O18" s="432">
        <f t="shared" si="1"/>
        <v>2.6769936950912223</v>
      </c>
      <c r="P18" s="432">
        <f t="shared" si="2"/>
        <v>537.8009164450323</v>
      </c>
      <c r="Q18" s="433">
        <f t="shared" si="3"/>
        <v>160.61962170547335</v>
      </c>
      <c r="R18" s="63"/>
      <c r="S18" s="63"/>
      <c r="T18" s="63"/>
      <c r="U18" s="14"/>
      <c r="V18" s="12"/>
      <c r="W18" s="12"/>
    </row>
    <row r="19" spans="1:24" s="7" customFormat="1" ht="12.75">
      <c r="A19" s="1219"/>
      <c r="B19" s="458">
        <v>2</v>
      </c>
      <c r="C19" s="414" t="s">
        <v>68</v>
      </c>
      <c r="D19" s="377">
        <v>50</v>
      </c>
      <c r="E19" s="377">
        <v>2006</v>
      </c>
      <c r="F19" s="379">
        <v>36.407</v>
      </c>
      <c r="G19" s="379">
        <v>9.484724</v>
      </c>
      <c r="H19" s="379">
        <v>4</v>
      </c>
      <c r="I19" s="379">
        <v>22.922276</v>
      </c>
      <c r="J19" s="380">
        <v>2532.37</v>
      </c>
      <c r="K19" s="379">
        <v>22.922275</v>
      </c>
      <c r="L19" s="380">
        <v>2532.37</v>
      </c>
      <c r="M19" s="381">
        <f t="shared" si="0"/>
        <v>0.009051708478618843</v>
      </c>
      <c r="N19" s="377">
        <v>298.66</v>
      </c>
      <c r="O19" s="382">
        <f t="shared" si="1"/>
        <v>2.703383254224304</v>
      </c>
      <c r="P19" s="382">
        <f t="shared" si="2"/>
        <v>543.1025087171306</v>
      </c>
      <c r="Q19" s="383">
        <f t="shared" si="3"/>
        <v>162.20299525345825</v>
      </c>
      <c r="R19" s="63"/>
      <c r="S19" s="63"/>
      <c r="T19" s="63"/>
      <c r="U19" s="14"/>
      <c r="V19" s="12"/>
      <c r="W19" s="12"/>
      <c r="X19" s="1"/>
    </row>
    <row r="20" spans="1:24" ht="12.75">
      <c r="A20" s="1219"/>
      <c r="B20" s="458">
        <v>3</v>
      </c>
      <c r="C20" s="414" t="s">
        <v>72</v>
      </c>
      <c r="D20" s="377">
        <v>50</v>
      </c>
      <c r="E20" s="377">
        <v>2000</v>
      </c>
      <c r="F20" s="379">
        <v>37.138</v>
      </c>
      <c r="G20" s="379">
        <v>5.20506</v>
      </c>
      <c r="H20" s="379">
        <v>8</v>
      </c>
      <c r="I20" s="379">
        <v>23.93294</v>
      </c>
      <c r="J20" s="380">
        <v>2639.5</v>
      </c>
      <c r="K20" s="379">
        <v>23.93294</v>
      </c>
      <c r="L20" s="380">
        <v>2639.5</v>
      </c>
      <c r="M20" s="381">
        <f t="shared" si="0"/>
        <v>0.009067224853191893</v>
      </c>
      <c r="N20" s="377">
        <v>298.66</v>
      </c>
      <c r="O20" s="382">
        <f t="shared" si="1"/>
        <v>2.708017374654291</v>
      </c>
      <c r="P20" s="382">
        <f t="shared" si="2"/>
        <v>544.0334911915136</v>
      </c>
      <c r="Q20" s="383">
        <f t="shared" si="3"/>
        <v>162.48104247925744</v>
      </c>
      <c r="R20" s="63"/>
      <c r="S20" s="63"/>
      <c r="T20" s="63"/>
      <c r="U20" s="14"/>
      <c r="V20" s="13"/>
      <c r="W20" s="13"/>
      <c r="X20" s="8"/>
    </row>
    <row r="21" spans="1:23" ht="12.75">
      <c r="A21" s="1219"/>
      <c r="B21" s="458">
        <v>4</v>
      </c>
      <c r="C21" s="414" t="s">
        <v>73</v>
      </c>
      <c r="D21" s="377">
        <v>40</v>
      </c>
      <c r="E21" s="377">
        <v>1996</v>
      </c>
      <c r="F21" s="379">
        <v>43.654</v>
      </c>
      <c r="G21" s="379">
        <v>5.85837</v>
      </c>
      <c r="H21" s="379">
        <v>7.19516</v>
      </c>
      <c r="I21" s="379">
        <v>30.60047</v>
      </c>
      <c r="J21" s="380">
        <v>2861.83</v>
      </c>
      <c r="K21" s="379">
        <v>30.600468</v>
      </c>
      <c r="L21" s="380">
        <v>2861.83</v>
      </c>
      <c r="M21" s="381">
        <f t="shared" si="0"/>
        <v>0.010692622552702293</v>
      </c>
      <c r="N21" s="377">
        <v>298.66</v>
      </c>
      <c r="O21" s="382">
        <f t="shared" si="1"/>
        <v>3.193458651590067</v>
      </c>
      <c r="P21" s="382">
        <f t="shared" si="2"/>
        <v>641.5573531621376</v>
      </c>
      <c r="Q21" s="383">
        <f t="shared" si="3"/>
        <v>191.60751909540403</v>
      </c>
      <c r="R21" s="63"/>
      <c r="S21" s="63"/>
      <c r="T21" s="63"/>
      <c r="U21" s="14"/>
      <c r="V21" s="12"/>
      <c r="W21" s="12"/>
    </row>
    <row r="22" spans="1:24" ht="12.75">
      <c r="A22" s="1219"/>
      <c r="B22" s="458">
        <v>5</v>
      </c>
      <c r="C22" s="414" t="s">
        <v>77</v>
      </c>
      <c r="D22" s="377">
        <v>39</v>
      </c>
      <c r="E22" s="377">
        <v>1999</v>
      </c>
      <c r="F22" s="379">
        <v>37.719</v>
      </c>
      <c r="G22" s="379">
        <v>5.1102</v>
      </c>
      <c r="H22" s="379">
        <v>6.24</v>
      </c>
      <c r="I22" s="379">
        <v>26.3688</v>
      </c>
      <c r="J22" s="380">
        <v>2296.95</v>
      </c>
      <c r="K22" s="379">
        <v>26.3688</v>
      </c>
      <c r="L22" s="380">
        <v>2296.95</v>
      </c>
      <c r="M22" s="381">
        <f t="shared" si="0"/>
        <v>0.01147991902305231</v>
      </c>
      <c r="N22" s="377">
        <v>298.66</v>
      </c>
      <c r="O22" s="382">
        <f t="shared" si="1"/>
        <v>3.428592615424803</v>
      </c>
      <c r="P22" s="382">
        <f t="shared" si="2"/>
        <v>688.7951413831386</v>
      </c>
      <c r="Q22" s="383">
        <f t="shared" si="3"/>
        <v>205.71555692548816</v>
      </c>
      <c r="R22" s="63"/>
      <c r="S22" s="63"/>
      <c r="T22" s="63"/>
      <c r="U22" s="14"/>
      <c r="V22" s="12"/>
      <c r="W22" s="12"/>
      <c r="X22" s="7"/>
    </row>
    <row r="23" spans="1:24" ht="12.75">
      <c r="A23" s="1219"/>
      <c r="B23" s="458">
        <v>6</v>
      </c>
      <c r="C23" s="414" t="s">
        <v>78</v>
      </c>
      <c r="D23" s="377">
        <v>40</v>
      </c>
      <c r="E23" s="377">
        <v>1995</v>
      </c>
      <c r="F23" s="379">
        <v>45.483</v>
      </c>
      <c r="G23" s="379">
        <v>7.123757</v>
      </c>
      <c r="H23" s="379">
        <v>6.4</v>
      </c>
      <c r="I23" s="379">
        <v>31.959243</v>
      </c>
      <c r="J23" s="380">
        <v>2734.01</v>
      </c>
      <c r="K23" s="379">
        <v>31.959244</v>
      </c>
      <c r="L23" s="380">
        <v>2734.01</v>
      </c>
      <c r="M23" s="381">
        <f t="shared" si="0"/>
        <v>0.011689512474350862</v>
      </c>
      <c r="N23" s="377">
        <v>298.66</v>
      </c>
      <c r="O23" s="382">
        <f t="shared" si="1"/>
        <v>3.4911897955896287</v>
      </c>
      <c r="P23" s="382">
        <f t="shared" si="2"/>
        <v>701.3707484610518</v>
      </c>
      <c r="Q23" s="383">
        <f t="shared" si="3"/>
        <v>209.47138773537773</v>
      </c>
      <c r="R23" s="63"/>
      <c r="S23" s="63"/>
      <c r="T23" s="63"/>
      <c r="U23" s="14"/>
      <c r="V23" s="13"/>
      <c r="W23" s="13"/>
      <c r="X23" s="8"/>
    </row>
    <row r="24" spans="1:23" ht="12.75">
      <c r="A24" s="1219"/>
      <c r="B24" s="458">
        <v>7</v>
      </c>
      <c r="C24" s="414" t="s">
        <v>76</v>
      </c>
      <c r="D24" s="377">
        <v>71</v>
      </c>
      <c r="E24" s="377">
        <v>2006</v>
      </c>
      <c r="F24" s="379">
        <v>53.351</v>
      </c>
      <c r="G24" s="379">
        <v>6.2679</v>
      </c>
      <c r="H24" s="379">
        <v>5.68</v>
      </c>
      <c r="I24" s="379">
        <v>41.4031</v>
      </c>
      <c r="J24" s="380">
        <v>3533.18</v>
      </c>
      <c r="K24" s="379">
        <v>41.4031</v>
      </c>
      <c r="L24" s="380">
        <v>3533.18</v>
      </c>
      <c r="M24" s="381">
        <f t="shared" si="0"/>
        <v>0.011718367023474605</v>
      </c>
      <c r="N24" s="377">
        <v>298.66</v>
      </c>
      <c r="O24" s="382">
        <f t="shared" si="1"/>
        <v>3.4998074952309257</v>
      </c>
      <c r="P24" s="382">
        <f t="shared" si="2"/>
        <v>703.1020214084763</v>
      </c>
      <c r="Q24" s="383">
        <f t="shared" si="3"/>
        <v>209.98844971385554</v>
      </c>
      <c r="R24" s="63"/>
      <c r="S24" s="63"/>
      <c r="T24" s="63"/>
      <c r="U24" s="14"/>
      <c r="V24" s="12"/>
      <c r="W24" s="12"/>
    </row>
    <row r="25" spans="1:24" s="8" customFormat="1" ht="12.75">
      <c r="A25" s="1219"/>
      <c r="B25" s="458">
        <v>8</v>
      </c>
      <c r="C25" s="414" t="s">
        <v>133</v>
      </c>
      <c r="D25" s="377">
        <v>28</v>
      </c>
      <c r="E25" s="377">
        <v>2000</v>
      </c>
      <c r="F25" s="379">
        <v>25.444</v>
      </c>
      <c r="G25" s="379">
        <v>2.51685</v>
      </c>
      <c r="H25" s="379">
        <v>4.4</v>
      </c>
      <c r="I25" s="379">
        <v>18.52715</v>
      </c>
      <c r="J25" s="380">
        <v>1552.52</v>
      </c>
      <c r="K25" s="379">
        <v>17.467089</v>
      </c>
      <c r="L25" s="380">
        <v>1463.69</v>
      </c>
      <c r="M25" s="381">
        <f t="shared" si="0"/>
        <v>0.011933598644521723</v>
      </c>
      <c r="N25" s="377">
        <v>298.66</v>
      </c>
      <c r="O25" s="382">
        <f t="shared" si="1"/>
        <v>3.564088571172858</v>
      </c>
      <c r="P25" s="382">
        <f t="shared" si="2"/>
        <v>716.0159186713033</v>
      </c>
      <c r="Q25" s="383">
        <f t="shared" si="3"/>
        <v>213.84531427037146</v>
      </c>
      <c r="R25" s="63"/>
      <c r="S25" s="63"/>
      <c r="T25" s="63"/>
      <c r="U25" s="14"/>
      <c r="V25" s="12"/>
      <c r="W25" s="12"/>
      <c r="X25" s="1"/>
    </row>
    <row r="26" spans="1:24" s="8" customFormat="1" ht="12.75">
      <c r="A26" s="1219"/>
      <c r="B26" s="458">
        <v>9</v>
      </c>
      <c r="C26" s="414" t="s">
        <v>74</v>
      </c>
      <c r="D26" s="377">
        <v>42</v>
      </c>
      <c r="E26" s="377">
        <v>2000</v>
      </c>
      <c r="F26" s="379">
        <v>48.0971</v>
      </c>
      <c r="G26" s="379">
        <v>6.69375</v>
      </c>
      <c r="H26" s="379">
        <v>6.64</v>
      </c>
      <c r="I26" s="379">
        <v>34.76335</v>
      </c>
      <c r="J26" s="380">
        <v>2801.5899999999997</v>
      </c>
      <c r="K26" s="379">
        <v>34.237603</v>
      </c>
      <c r="L26" s="380">
        <v>2759.22</v>
      </c>
      <c r="M26" s="381">
        <f t="shared" si="0"/>
        <v>0.012408435354919145</v>
      </c>
      <c r="N26" s="377">
        <v>298.66</v>
      </c>
      <c r="O26" s="382">
        <f t="shared" si="1"/>
        <v>3.7059033031001523</v>
      </c>
      <c r="P26" s="382">
        <f t="shared" si="2"/>
        <v>744.5061212951487</v>
      </c>
      <c r="Q26" s="383">
        <f t="shared" si="3"/>
        <v>222.3541981860091</v>
      </c>
      <c r="R26" s="63"/>
      <c r="S26" s="63"/>
      <c r="T26" s="63"/>
      <c r="U26" s="14"/>
      <c r="V26" s="12"/>
      <c r="W26" s="12"/>
      <c r="X26" s="1"/>
    </row>
    <row r="27" spans="1:23" ht="13.5" customHeight="1" thickBot="1">
      <c r="A27" s="1220"/>
      <c r="B27" s="459">
        <v>10</v>
      </c>
      <c r="C27" s="422" t="s">
        <v>75</v>
      </c>
      <c r="D27" s="388">
        <v>28</v>
      </c>
      <c r="E27" s="388">
        <v>1999</v>
      </c>
      <c r="F27" s="389">
        <v>38.984</v>
      </c>
      <c r="G27" s="389">
        <v>6.15468</v>
      </c>
      <c r="H27" s="389">
        <v>4.16</v>
      </c>
      <c r="I27" s="389">
        <v>28.66932</v>
      </c>
      <c r="J27" s="390">
        <v>2189.32</v>
      </c>
      <c r="K27" s="389">
        <v>28.669318</v>
      </c>
      <c r="L27" s="390">
        <v>2189.32</v>
      </c>
      <c r="M27" s="391">
        <f t="shared" si="0"/>
        <v>0.013095078837264539</v>
      </c>
      <c r="N27" s="388">
        <v>298.66</v>
      </c>
      <c r="O27" s="392">
        <f t="shared" si="1"/>
        <v>3.9109762455374275</v>
      </c>
      <c r="P27" s="392">
        <f t="shared" si="2"/>
        <v>785.7047302358723</v>
      </c>
      <c r="Q27" s="394">
        <f t="shared" si="3"/>
        <v>234.65857473224563</v>
      </c>
      <c r="R27" s="63"/>
      <c r="S27" s="63"/>
      <c r="T27" s="63"/>
      <c r="U27" s="14"/>
      <c r="V27" s="12"/>
      <c r="W27" s="12"/>
    </row>
    <row r="28" spans="1:23" ht="12.75" customHeight="1">
      <c r="A28" s="1308" t="s">
        <v>46</v>
      </c>
      <c r="B28" s="475">
        <v>1</v>
      </c>
      <c r="C28" s="476" t="s">
        <v>84</v>
      </c>
      <c r="D28" s="477">
        <v>49</v>
      </c>
      <c r="E28" s="477">
        <v>1986</v>
      </c>
      <c r="F28" s="548">
        <v>61.324</v>
      </c>
      <c r="G28" s="548">
        <v>6.148356</v>
      </c>
      <c r="H28" s="548">
        <v>7.68</v>
      </c>
      <c r="I28" s="548">
        <v>47.495644</v>
      </c>
      <c r="J28" s="589">
        <v>2820.68</v>
      </c>
      <c r="K28" s="548">
        <v>47.495643</v>
      </c>
      <c r="L28" s="589">
        <v>2820.68</v>
      </c>
      <c r="M28" s="580">
        <f t="shared" si="0"/>
        <v>0.016838366280471376</v>
      </c>
      <c r="N28" s="477">
        <v>298.66</v>
      </c>
      <c r="O28" s="547">
        <f t="shared" si="1"/>
        <v>5.028946473325582</v>
      </c>
      <c r="P28" s="547">
        <f t="shared" si="2"/>
        <v>1010.3019768282826</v>
      </c>
      <c r="Q28" s="549">
        <f t="shared" si="3"/>
        <v>301.7367883995349</v>
      </c>
      <c r="R28" s="63"/>
      <c r="S28" s="63"/>
      <c r="T28" s="63"/>
      <c r="U28" s="14"/>
      <c r="V28" s="12"/>
      <c r="W28" s="12"/>
    </row>
    <row r="29" spans="1:24" s="7" customFormat="1" ht="12.75">
      <c r="A29" s="1223"/>
      <c r="B29" s="478">
        <v>2</v>
      </c>
      <c r="C29" s="479" t="s">
        <v>81</v>
      </c>
      <c r="D29" s="480">
        <v>60</v>
      </c>
      <c r="E29" s="480">
        <v>1981</v>
      </c>
      <c r="F29" s="607">
        <v>74.454</v>
      </c>
      <c r="G29" s="607">
        <v>9.462499</v>
      </c>
      <c r="H29" s="607">
        <v>9.6</v>
      </c>
      <c r="I29" s="607">
        <v>55.391501</v>
      </c>
      <c r="J29" s="590">
        <v>3285.91</v>
      </c>
      <c r="K29" s="607">
        <v>55.391499</v>
      </c>
      <c r="L29" s="590">
        <v>3285.91</v>
      </c>
      <c r="M29" s="581">
        <f t="shared" si="0"/>
        <v>0.016857278196907403</v>
      </c>
      <c r="N29" s="480">
        <v>298.66</v>
      </c>
      <c r="O29" s="550">
        <f t="shared" si="1"/>
        <v>5.034594706288366</v>
      </c>
      <c r="P29" s="550">
        <f t="shared" si="2"/>
        <v>1011.4366918144442</v>
      </c>
      <c r="Q29" s="601">
        <f t="shared" si="3"/>
        <v>302.0756823773019</v>
      </c>
      <c r="R29" s="63"/>
      <c r="S29" s="63"/>
      <c r="T29" s="63"/>
      <c r="U29" s="14"/>
      <c r="V29" s="12"/>
      <c r="W29" s="12"/>
      <c r="X29" s="1"/>
    </row>
    <row r="30" spans="1:24" ht="12.75">
      <c r="A30" s="1223"/>
      <c r="B30" s="478">
        <v>3</v>
      </c>
      <c r="C30" s="479" t="s">
        <v>86</v>
      </c>
      <c r="D30" s="480">
        <v>22</v>
      </c>
      <c r="E30" s="480">
        <v>1989</v>
      </c>
      <c r="F30" s="607">
        <v>26.799</v>
      </c>
      <c r="G30" s="607">
        <v>3.028574</v>
      </c>
      <c r="H30" s="607">
        <v>3.52</v>
      </c>
      <c r="I30" s="607">
        <v>20.250426</v>
      </c>
      <c r="J30" s="590">
        <v>1179.64</v>
      </c>
      <c r="K30" s="607">
        <v>20.250424</v>
      </c>
      <c r="L30" s="590">
        <v>1179.64</v>
      </c>
      <c r="M30" s="581">
        <f t="shared" si="0"/>
        <v>0.017166613543114845</v>
      </c>
      <c r="N30" s="480">
        <v>298.66</v>
      </c>
      <c r="O30" s="550">
        <f t="shared" si="1"/>
        <v>5.12698080078668</v>
      </c>
      <c r="P30" s="550">
        <f t="shared" si="2"/>
        <v>1029.9968125868909</v>
      </c>
      <c r="Q30" s="601">
        <f t="shared" si="3"/>
        <v>307.61884804720086</v>
      </c>
      <c r="R30" s="63"/>
      <c r="S30" s="63"/>
      <c r="T30" s="63"/>
      <c r="U30" s="14"/>
      <c r="V30" s="12"/>
      <c r="W30" s="12"/>
      <c r="X30" s="7"/>
    </row>
    <row r="31" spans="1:23" s="7" customFormat="1" ht="12.75">
      <c r="A31" s="1223"/>
      <c r="B31" s="478">
        <v>4</v>
      </c>
      <c r="C31" s="479" t="s">
        <v>80</v>
      </c>
      <c r="D31" s="480">
        <v>60</v>
      </c>
      <c r="E31" s="480">
        <v>1985</v>
      </c>
      <c r="F31" s="607">
        <v>77.674</v>
      </c>
      <c r="G31" s="607">
        <v>7.977022</v>
      </c>
      <c r="H31" s="607">
        <v>9.6</v>
      </c>
      <c r="I31" s="607">
        <v>60.096978</v>
      </c>
      <c r="J31" s="590">
        <v>3189.58</v>
      </c>
      <c r="K31" s="607">
        <v>60.096981</v>
      </c>
      <c r="L31" s="590">
        <v>3189.58</v>
      </c>
      <c r="M31" s="581">
        <f t="shared" si="0"/>
        <v>0.01884165971695333</v>
      </c>
      <c r="N31" s="480">
        <v>298.66</v>
      </c>
      <c r="O31" s="550">
        <f t="shared" si="1"/>
        <v>5.6272500910652825</v>
      </c>
      <c r="P31" s="550">
        <f t="shared" si="2"/>
        <v>1130.4995830171997</v>
      </c>
      <c r="Q31" s="601">
        <f t="shared" si="3"/>
        <v>337.63500546391685</v>
      </c>
      <c r="R31" s="63"/>
      <c r="S31" s="63"/>
      <c r="T31" s="63"/>
      <c r="U31" s="14"/>
      <c r="V31" s="12"/>
      <c r="W31" s="12"/>
    </row>
    <row r="32" spans="1:23" ht="12.75">
      <c r="A32" s="1223"/>
      <c r="B32" s="478">
        <v>5</v>
      </c>
      <c r="C32" s="479" t="s">
        <v>85</v>
      </c>
      <c r="D32" s="480">
        <v>40</v>
      </c>
      <c r="E32" s="480">
        <v>1985</v>
      </c>
      <c r="F32" s="607">
        <v>51.579</v>
      </c>
      <c r="G32" s="607">
        <v>4.412948</v>
      </c>
      <c r="H32" s="607">
        <v>6.4</v>
      </c>
      <c r="I32" s="607">
        <v>40.766052</v>
      </c>
      <c r="J32" s="590">
        <v>2161.15</v>
      </c>
      <c r="K32" s="607">
        <v>40.766055</v>
      </c>
      <c r="L32" s="590">
        <v>2161.15</v>
      </c>
      <c r="M32" s="581">
        <f t="shared" si="0"/>
        <v>0.018863130740577935</v>
      </c>
      <c r="N32" s="480">
        <v>298.66</v>
      </c>
      <c r="O32" s="550">
        <f t="shared" si="1"/>
        <v>5.633662626981007</v>
      </c>
      <c r="P32" s="550">
        <f t="shared" si="2"/>
        <v>1131.7878444346761</v>
      </c>
      <c r="Q32" s="601">
        <f t="shared" si="3"/>
        <v>338.0197576188604</v>
      </c>
      <c r="R32" s="63"/>
      <c r="S32" s="63"/>
      <c r="T32" s="63"/>
      <c r="U32" s="14"/>
      <c r="V32" s="12"/>
      <c r="W32" s="12"/>
    </row>
    <row r="33" spans="1:23" ht="12.75">
      <c r="A33" s="1223"/>
      <c r="B33" s="478">
        <v>6</v>
      </c>
      <c r="C33" s="479" t="s">
        <v>79</v>
      </c>
      <c r="D33" s="480">
        <v>38</v>
      </c>
      <c r="E33" s="480" t="s">
        <v>64</v>
      </c>
      <c r="F33" s="607">
        <v>53.32</v>
      </c>
      <c r="G33" s="607">
        <v>3.982086</v>
      </c>
      <c r="H33" s="607">
        <v>6</v>
      </c>
      <c r="I33" s="607">
        <v>43.337914</v>
      </c>
      <c r="J33" s="590">
        <v>2277.52</v>
      </c>
      <c r="K33" s="607">
        <v>43.337914</v>
      </c>
      <c r="L33" s="590">
        <v>2277.52</v>
      </c>
      <c r="M33" s="581">
        <f t="shared" si="0"/>
        <v>0.019028554743756365</v>
      </c>
      <c r="N33" s="480">
        <v>298.66</v>
      </c>
      <c r="O33" s="550">
        <f t="shared" si="1"/>
        <v>5.683068159770277</v>
      </c>
      <c r="P33" s="550">
        <f t="shared" si="2"/>
        <v>1141.713284625382</v>
      </c>
      <c r="Q33" s="601">
        <f t="shared" si="3"/>
        <v>340.9840895862166</v>
      </c>
      <c r="R33" s="63"/>
      <c r="S33" s="63"/>
      <c r="T33" s="63"/>
      <c r="U33" s="14"/>
      <c r="V33" s="12"/>
      <c r="W33" s="12"/>
    </row>
    <row r="34" spans="1:24" s="7" customFormat="1" ht="12.75">
      <c r="A34" s="1223"/>
      <c r="B34" s="478">
        <v>7</v>
      </c>
      <c r="C34" s="479" t="s">
        <v>82</v>
      </c>
      <c r="D34" s="480">
        <v>145</v>
      </c>
      <c r="E34" s="480">
        <v>1980</v>
      </c>
      <c r="F34" s="607">
        <v>205.705</v>
      </c>
      <c r="G34" s="607">
        <v>20.130409</v>
      </c>
      <c r="H34" s="607">
        <v>22.88</v>
      </c>
      <c r="I34" s="607">
        <v>162.694591</v>
      </c>
      <c r="J34" s="590">
        <v>8328.31</v>
      </c>
      <c r="K34" s="607">
        <v>162.694585</v>
      </c>
      <c r="L34" s="590">
        <v>8328.31</v>
      </c>
      <c r="M34" s="581">
        <f t="shared" si="0"/>
        <v>0.019535125973937088</v>
      </c>
      <c r="N34" s="480">
        <v>298.66</v>
      </c>
      <c r="O34" s="550">
        <f t="shared" si="1"/>
        <v>5.834360723376051</v>
      </c>
      <c r="P34" s="550">
        <f t="shared" si="2"/>
        <v>1172.1075584362252</v>
      </c>
      <c r="Q34" s="601">
        <f t="shared" si="3"/>
        <v>350.06164340256305</v>
      </c>
      <c r="R34" s="63"/>
      <c r="S34" s="63"/>
      <c r="T34" s="63"/>
      <c r="U34" s="14"/>
      <c r="V34" s="12"/>
      <c r="W34" s="12"/>
      <c r="X34" s="1"/>
    </row>
    <row r="35" spans="1:24" ht="12.75">
      <c r="A35" s="1223"/>
      <c r="B35" s="478">
        <v>8</v>
      </c>
      <c r="C35" s="479" t="s">
        <v>83</v>
      </c>
      <c r="D35" s="480">
        <v>72</v>
      </c>
      <c r="E35" s="480">
        <v>1980</v>
      </c>
      <c r="F35" s="607">
        <v>104.891</v>
      </c>
      <c r="G35" s="607">
        <v>10.23935</v>
      </c>
      <c r="H35" s="607">
        <v>11.52</v>
      </c>
      <c r="I35" s="607">
        <v>83.13165</v>
      </c>
      <c r="J35" s="590">
        <v>4129.55</v>
      </c>
      <c r="K35" s="607">
        <v>83.131661</v>
      </c>
      <c r="L35" s="590">
        <v>4129.55</v>
      </c>
      <c r="M35" s="581">
        <f t="shared" si="0"/>
        <v>0.020130924919180053</v>
      </c>
      <c r="N35" s="480">
        <v>298.66</v>
      </c>
      <c r="O35" s="550">
        <f t="shared" si="1"/>
        <v>6.012302036362315</v>
      </c>
      <c r="P35" s="550">
        <f t="shared" si="2"/>
        <v>1207.855495150803</v>
      </c>
      <c r="Q35" s="601">
        <f t="shared" si="3"/>
        <v>360.7381221817389</v>
      </c>
      <c r="R35" s="63"/>
      <c r="S35" s="63"/>
      <c r="T35" s="63"/>
      <c r="U35" s="14"/>
      <c r="V35" s="12"/>
      <c r="W35" s="12"/>
      <c r="X35" s="7"/>
    </row>
    <row r="36" spans="1:23" s="7" customFormat="1" ht="12.75">
      <c r="A36" s="1223"/>
      <c r="B36" s="478">
        <v>9</v>
      </c>
      <c r="C36" s="479" t="s">
        <v>88</v>
      </c>
      <c r="D36" s="480">
        <v>44</v>
      </c>
      <c r="E36" s="480" t="s">
        <v>64</v>
      </c>
      <c r="F36" s="607">
        <v>60.327</v>
      </c>
      <c r="G36" s="607">
        <v>6.1047</v>
      </c>
      <c r="H36" s="607">
        <v>7.04</v>
      </c>
      <c r="I36" s="607">
        <v>47.1823</v>
      </c>
      <c r="J36" s="590">
        <v>2337.92</v>
      </c>
      <c r="K36" s="607">
        <v>47.1823</v>
      </c>
      <c r="L36" s="590">
        <v>2337.92</v>
      </c>
      <c r="M36" s="581">
        <f t="shared" si="0"/>
        <v>0.020181315015056118</v>
      </c>
      <c r="N36" s="480">
        <v>298.66</v>
      </c>
      <c r="O36" s="550">
        <f t="shared" si="1"/>
        <v>6.02735154239666</v>
      </c>
      <c r="P36" s="550">
        <f t="shared" si="2"/>
        <v>1210.8789009033671</v>
      </c>
      <c r="Q36" s="601">
        <f t="shared" si="3"/>
        <v>361.6410925437997</v>
      </c>
      <c r="R36" s="63"/>
      <c r="S36" s="63"/>
      <c r="T36" s="63"/>
      <c r="U36" s="14"/>
      <c r="V36" s="12"/>
      <c r="W36" s="12"/>
    </row>
    <row r="37" spans="1:23" ht="13.5" thickBot="1">
      <c r="A37" s="1225"/>
      <c r="B37" s="481">
        <v>10</v>
      </c>
      <c r="C37" s="514" t="s">
        <v>87</v>
      </c>
      <c r="D37" s="489">
        <v>37</v>
      </c>
      <c r="E37" s="489">
        <v>1987</v>
      </c>
      <c r="F37" s="532">
        <v>54.13</v>
      </c>
      <c r="G37" s="532">
        <v>4.696121</v>
      </c>
      <c r="H37" s="532">
        <v>5.76</v>
      </c>
      <c r="I37" s="532">
        <v>43.673879</v>
      </c>
      <c r="J37" s="533">
        <v>2115.27</v>
      </c>
      <c r="K37" s="532">
        <v>43.673877</v>
      </c>
      <c r="L37" s="533">
        <v>2115.27</v>
      </c>
      <c r="M37" s="534">
        <f t="shared" si="0"/>
        <v>0.020646951453005997</v>
      </c>
      <c r="N37" s="489">
        <v>298.66</v>
      </c>
      <c r="O37" s="535">
        <f t="shared" si="1"/>
        <v>6.166418520954772</v>
      </c>
      <c r="P37" s="535">
        <f t="shared" si="2"/>
        <v>1238.81708718036</v>
      </c>
      <c r="Q37" s="537">
        <f t="shared" si="3"/>
        <v>369.98511125728635</v>
      </c>
      <c r="R37" s="63"/>
      <c r="S37" s="63"/>
      <c r="T37" s="63"/>
      <c r="U37" s="14"/>
      <c r="V37" s="12"/>
      <c r="W37" s="12"/>
    </row>
    <row r="38" spans="1:23" s="7" customFormat="1" ht="12.75" customHeight="1">
      <c r="A38" s="1305" t="s">
        <v>49</v>
      </c>
      <c r="B38" s="83">
        <v>1</v>
      </c>
      <c r="C38" s="467" t="s">
        <v>96</v>
      </c>
      <c r="D38" s="468">
        <v>108</v>
      </c>
      <c r="E38" s="468" t="s">
        <v>64</v>
      </c>
      <c r="F38" s="556">
        <v>82.183</v>
      </c>
      <c r="G38" s="556">
        <v>10.377082</v>
      </c>
      <c r="H38" s="556">
        <v>17.13</v>
      </c>
      <c r="I38" s="556">
        <v>54.675918</v>
      </c>
      <c r="J38" s="592">
        <v>2584.77</v>
      </c>
      <c r="K38" s="556">
        <v>54.67592</v>
      </c>
      <c r="L38" s="592">
        <v>2584.77</v>
      </c>
      <c r="M38" s="583">
        <f t="shared" si="0"/>
        <v>0.02115310840036057</v>
      </c>
      <c r="N38" s="468">
        <v>298.66</v>
      </c>
      <c r="O38" s="555">
        <f t="shared" si="1"/>
        <v>6.317587354851689</v>
      </c>
      <c r="P38" s="555">
        <f t="shared" si="2"/>
        <v>1269.1865040216344</v>
      </c>
      <c r="Q38" s="557">
        <f t="shared" si="3"/>
        <v>379.05524129110137</v>
      </c>
      <c r="R38" s="63"/>
      <c r="S38" s="63"/>
      <c r="T38" s="63"/>
      <c r="U38" s="14"/>
      <c r="V38" s="12"/>
      <c r="W38" s="12"/>
    </row>
    <row r="39" spans="1:24" s="7" customFormat="1" ht="12.75">
      <c r="A39" s="1306"/>
      <c r="B39" s="29">
        <v>2</v>
      </c>
      <c r="C39" s="471" t="s">
        <v>93</v>
      </c>
      <c r="D39" s="472">
        <v>35</v>
      </c>
      <c r="E39" s="472">
        <v>1965</v>
      </c>
      <c r="F39" s="609">
        <v>24.339</v>
      </c>
      <c r="G39" s="609">
        <v>7.498447</v>
      </c>
      <c r="H39" s="609">
        <v>0.826</v>
      </c>
      <c r="I39" s="609">
        <v>16.014553</v>
      </c>
      <c r="J39" s="593">
        <v>687.58</v>
      </c>
      <c r="K39" s="609">
        <v>16.014555</v>
      </c>
      <c r="L39" s="593">
        <v>687.58</v>
      </c>
      <c r="M39" s="584">
        <f t="shared" si="0"/>
        <v>0.023291187934494896</v>
      </c>
      <c r="N39" s="470">
        <v>298.66</v>
      </c>
      <c r="O39" s="558">
        <f t="shared" si="1"/>
        <v>6.9561461885162466</v>
      </c>
      <c r="P39" s="558">
        <f t="shared" si="2"/>
        <v>1397.4712760696937</v>
      </c>
      <c r="Q39" s="602">
        <f t="shared" si="3"/>
        <v>417.36877131097475</v>
      </c>
      <c r="R39" s="63"/>
      <c r="S39" s="63"/>
      <c r="T39" s="63"/>
      <c r="U39" s="14"/>
      <c r="V39" s="12"/>
      <c r="W39" s="12"/>
      <c r="X39" s="1"/>
    </row>
    <row r="40" spans="1:23" ht="12.75">
      <c r="A40" s="1306"/>
      <c r="B40" s="84">
        <v>3</v>
      </c>
      <c r="C40" s="469" t="s">
        <v>92</v>
      </c>
      <c r="D40" s="470">
        <v>40</v>
      </c>
      <c r="E40" s="470">
        <v>1960</v>
      </c>
      <c r="F40" s="609">
        <v>40.88</v>
      </c>
      <c r="G40" s="609">
        <v>3.829897</v>
      </c>
      <c r="H40" s="609">
        <v>0.4</v>
      </c>
      <c r="I40" s="609">
        <v>36.650103</v>
      </c>
      <c r="J40" s="593">
        <v>1514.97</v>
      </c>
      <c r="K40" s="609">
        <v>35.388731</v>
      </c>
      <c r="L40" s="593">
        <v>1462.83</v>
      </c>
      <c r="M40" s="584">
        <f t="shared" si="0"/>
        <v>0.02419196420636711</v>
      </c>
      <c r="N40" s="470">
        <v>298.66</v>
      </c>
      <c r="O40" s="558">
        <f t="shared" si="1"/>
        <v>7.225172029873602</v>
      </c>
      <c r="P40" s="558">
        <f t="shared" si="2"/>
        <v>1451.5178523820266</v>
      </c>
      <c r="Q40" s="602">
        <f t="shared" si="3"/>
        <v>433.5103217924161</v>
      </c>
      <c r="R40" s="63"/>
      <c r="S40" s="63"/>
      <c r="T40" s="63"/>
      <c r="U40" s="14"/>
      <c r="V40" s="12"/>
      <c r="W40" s="12"/>
    </row>
    <row r="41" spans="1:23" ht="12.75">
      <c r="A41" s="1306"/>
      <c r="B41" s="84">
        <v>4</v>
      </c>
      <c r="C41" s="469" t="s">
        <v>94</v>
      </c>
      <c r="D41" s="470">
        <v>24</v>
      </c>
      <c r="E41" s="470">
        <v>1961</v>
      </c>
      <c r="F41" s="609">
        <v>24.223</v>
      </c>
      <c r="G41" s="609">
        <v>2.16085</v>
      </c>
      <c r="H41" s="609">
        <v>0</v>
      </c>
      <c r="I41" s="609">
        <v>22.06215</v>
      </c>
      <c r="J41" s="593">
        <v>911.79</v>
      </c>
      <c r="K41" s="609">
        <v>22.06215</v>
      </c>
      <c r="L41" s="593">
        <v>911.79</v>
      </c>
      <c r="M41" s="584">
        <f t="shared" si="0"/>
        <v>0.024196525515743757</v>
      </c>
      <c r="N41" s="470">
        <v>298.66</v>
      </c>
      <c r="O41" s="558">
        <f t="shared" si="1"/>
        <v>7.226534310532031</v>
      </c>
      <c r="P41" s="558">
        <f t="shared" si="2"/>
        <v>1451.7915309446255</v>
      </c>
      <c r="Q41" s="602">
        <f t="shared" si="3"/>
        <v>433.5920586319219</v>
      </c>
      <c r="R41" s="63"/>
      <c r="S41" s="63"/>
      <c r="T41" s="63"/>
      <c r="U41" s="14"/>
      <c r="V41" s="12"/>
      <c r="W41" s="12"/>
    </row>
    <row r="42" spans="1:23" ht="12.75">
      <c r="A42" s="1306"/>
      <c r="B42" s="84">
        <v>5</v>
      </c>
      <c r="C42" s="469" t="s">
        <v>95</v>
      </c>
      <c r="D42" s="470">
        <v>108</v>
      </c>
      <c r="E42" s="470">
        <v>1971</v>
      </c>
      <c r="F42" s="609">
        <v>90.3</v>
      </c>
      <c r="G42" s="609">
        <v>8.2467</v>
      </c>
      <c r="H42" s="609">
        <v>17.28</v>
      </c>
      <c r="I42" s="609">
        <v>64.7733</v>
      </c>
      <c r="J42" s="593">
        <v>2657.8</v>
      </c>
      <c r="K42" s="609">
        <v>63.252548</v>
      </c>
      <c r="L42" s="593">
        <v>2595.4</v>
      </c>
      <c r="M42" s="584">
        <f t="shared" si="0"/>
        <v>0.024371021037219696</v>
      </c>
      <c r="N42" s="470">
        <v>298.66</v>
      </c>
      <c r="O42" s="558">
        <f t="shared" si="1"/>
        <v>7.278649142976035</v>
      </c>
      <c r="P42" s="558">
        <f t="shared" si="2"/>
        <v>1462.2612622331817</v>
      </c>
      <c r="Q42" s="602">
        <f t="shared" si="3"/>
        <v>436.71894857856205</v>
      </c>
      <c r="R42" s="63"/>
      <c r="S42" s="63"/>
      <c r="T42" s="63"/>
      <c r="U42" s="14"/>
      <c r="V42" s="12"/>
      <c r="W42" s="12"/>
    </row>
    <row r="43" spans="1:23" ht="12.75">
      <c r="A43" s="1306"/>
      <c r="B43" s="29">
        <v>6</v>
      </c>
      <c r="C43" s="469" t="s">
        <v>90</v>
      </c>
      <c r="D43" s="470">
        <v>13</v>
      </c>
      <c r="E43" s="470">
        <v>1961</v>
      </c>
      <c r="F43" s="609">
        <v>16.5145</v>
      </c>
      <c r="G43" s="609">
        <v>1.596004</v>
      </c>
      <c r="H43" s="609">
        <v>0.13</v>
      </c>
      <c r="I43" s="609">
        <v>14.788496</v>
      </c>
      <c r="J43" s="593">
        <v>591.36</v>
      </c>
      <c r="K43" s="609">
        <v>12.414274</v>
      </c>
      <c r="L43" s="593">
        <v>496.42</v>
      </c>
      <c r="M43" s="584">
        <f t="shared" si="0"/>
        <v>0.02500760243342331</v>
      </c>
      <c r="N43" s="470">
        <v>298.66</v>
      </c>
      <c r="O43" s="558">
        <f t="shared" si="1"/>
        <v>7.468770542766207</v>
      </c>
      <c r="P43" s="558">
        <f t="shared" si="2"/>
        <v>1500.4561460053988</v>
      </c>
      <c r="Q43" s="602">
        <f t="shared" si="3"/>
        <v>448.12623256597243</v>
      </c>
      <c r="R43" s="63"/>
      <c r="S43" s="63"/>
      <c r="T43" s="63"/>
      <c r="U43" s="14"/>
      <c r="V43" s="12"/>
      <c r="W43" s="12"/>
    </row>
    <row r="44" spans="1:24" ht="12.75">
      <c r="A44" s="1306"/>
      <c r="B44" s="84">
        <v>7</v>
      </c>
      <c r="C44" s="469" t="s">
        <v>89</v>
      </c>
      <c r="D44" s="470">
        <v>11</v>
      </c>
      <c r="E44" s="470">
        <v>1910</v>
      </c>
      <c r="F44" s="609">
        <v>14.7265</v>
      </c>
      <c r="G44" s="609">
        <v>0.902425</v>
      </c>
      <c r="H44" s="609">
        <v>0</v>
      </c>
      <c r="I44" s="609">
        <v>13.824075</v>
      </c>
      <c r="J44" s="593">
        <v>542.57</v>
      </c>
      <c r="K44" s="609">
        <v>11.48231</v>
      </c>
      <c r="L44" s="593">
        <v>450.66</v>
      </c>
      <c r="M44" s="584">
        <f t="shared" si="0"/>
        <v>0.025478875427151288</v>
      </c>
      <c r="N44" s="470">
        <v>298.66</v>
      </c>
      <c r="O44" s="558">
        <f t="shared" si="1"/>
        <v>7.609520935073005</v>
      </c>
      <c r="P44" s="558">
        <f t="shared" si="2"/>
        <v>1528.7325256290774</v>
      </c>
      <c r="Q44" s="602">
        <f t="shared" si="3"/>
        <v>456.5712561043803</v>
      </c>
      <c r="R44" s="63"/>
      <c r="S44" s="63"/>
      <c r="T44" s="63"/>
      <c r="U44" s="14"/>
      <c r="V44" s="12"/>
      <c r="W44" s="12"/>
      <c r="X44" s="7"/>
    </row>
    <row r="45" spans="1:23" ht="12.75">
      <c r="A45" s="1306"/>
      <c r="B45" s="84">
        <v>8</v>
      </c>
      <c r="C45" s="469" t="s">
        <v>99</v>
      </c>
      <c r="D45" s="470">
        <v>4</v>
      </c>
      <c r="E45" s="470">
        <v>1963</v>
      </c>
      <c r="F45" s="609">
        <v>5.182</v>
      </c>
      <c r="G45" s="609">
        <v>0.48195</v>
      </c>
      <c r="H45" s="609">
        <v>0.04</v>
      </c>
      <c r="I45" s="609">
        <v>4.66005</v>
      </c>
      <c r="J45" s="593">
        <v>150.99</v>
      </c>
      <c r="K45" s="609">
        <v>4.660051</v>
      </c>
      <c r="L45" s="593">
        <v>150.99</v>
      </c>
      <c r="M45" s="584">
        <f t="shared" si="0"/>
        <v>0.03086330882839923</v>
      </c>
      <c r="N45" s="470">
        <v>298.66</v>
      </c>
      <c r="O45" s="558">
        <f t="shared" si="1"/>
        <v>9.217635814689714</v>
      </c>
      <c r="P45" s="558">
        <f t="shared" si="2"/>
        <v>1851.7985297039538</v>
      </c>
      <c r="Q45" s="602">
        <f t="shared" si="3"/>
        <v>553.0581488813829</v>
      </c>
      <c r="R45" s="63"/>
      <c r="S45" s="63"/>
      <c r="T45" s="63"/>
      <c r="U45" s="14"/>
      <c r="V45" s="12"/>
      <c r="W45" s="12"/>
    </row>
    <row r="46" spans="1:23" s="7" customFormat="1" ht="12.75">
      <c r="A46" s="1306"/>
      <c r="B46" s="84">
        <v>9</v>
      </c>
      <c r="C46" s="469" t="s">
        <v>91</v>
      </c>
      <c r="D46" s="470">
        <v>6</v>
      </c>
      <c r="E46" s="470">
        <v>1958</v>
      </c>
      <c r="F46" s="609">
        <v>10.295</v>
      </c>
      <c r="G46" s="609">
        <v>0.3213</v>
      </c>
      <c r="H46" s="609">
        <v>0.06</v>
      </c>
      <c r="I46" s="609">
        <v>9.9137</v>
      </c>
      <c r="J46" s="593">
        <v>310.34</v>
      </c>
      <c r="K46" s="609">
        <v>9.9137</v>
      </c>
      <c r="L46" s="593">
        <v>310.34</v>
      </c>
      <c r="M46" s="584">
        <f t="shared" si="0"/>
        <v>0.03194464136108784</v>
      </c>
      <c r="N46" s="470">
        <v>298.66</v>
      </c>
      <c r="O46" s="558">
        <f t="shared" si="1"/>
        <v>9.540586588902496</v>
      </c>
      <c r="P46" s="558">
        <f t="shared" si="2"/>
        <v>1916.6784816652707</v>
      </c>
      <c r="Q46" s="602">
        <f t="shared" si="3"/>
        <v>572.4351953341497</v>
      </c>
      <c r="R46" s="63"/>
      <c r="S46" s="63"/>
      <c r="T46" s="63"/>
      <c r="U46" s="14"/>
      <c r="V46" s="12"/>
      <c r="W46" s="12"/>
    </row>
    <row r="47" spans="1:23" ht="12.75">
      <c r="A47" s="1306"/>
      <c r="B47" s="29">
        <v>10</v>
      </c>
      <c r="C47" s="469" t="s">
        <v>97</v>
      </c>
      <c r="D47" s="470">
        <v>7</v>
      </c>
      <c r="E47" s="470" t="s">
        <v>64</v>
      </c>
      <c r="F47" s="609">
        <v>12.086</v>
      </c>
      <c r="G47" s="609">
        <v>0.58905</v>
      </c>
      <c r="H47" s="609">
        <v>0</v>
      </c>
      <c r="I47" s="609">
        <v>11.49695</v>
      </c>
      <c r="J47" s="593">
        <v>355.81</v>
      </c>
      <c r="K47" s="609">
        <v>10.305927</v>
      </c>
      <c r="L47" s="593">
        <v>318.95</v>
      </c>
      <c r="M47" s="584">
        <f t="shared" si="0"/>
        <v>0.032312045775199874</v>
      </c>
      <c r="N47" s="470">
        <v>298.66</v>
      </c>
      <c r="O47" s="558">
        <f t="shared" si="1"/>
        <v>9.650315591221196</v>
      </c>
      <c r="P47" s="558">
        <f t="shared" si="2"/>
        <v>1938.7227465119925</v>
      </c>
      <c r="Q47" s="602">
        <f t="shared" si="3"/>
        <v>579.0189354732718</v>
      </c>
      <c r="R47" s="63"/>
      <c r="S47" s="63"/>
      <c r="T47" s="63"/>
      <c r="U47" s="14"/>
      <c r="V47" s="12"/>
      <c r="W47" s="12"/>
    </row>
    <row r="48" spans="1:20" ht="13.5" customHeight="1" thickBot="1">
      <c r="A48" s="1307"/>
      <c r="B48" s="33">
        <v>11</v>
      </c>
      <c r="C48" s="473" t="s">
        <v>98</v>
      </c>
      <c r="D48" s="474">
        <v>4</v>
      </c>
      <c r="E48" s="474">
        <v>1963</v>
      </c>
      <c r="F48" s="610">
        <v>6.363</v>
      </c>
      <c r="G48" s="610">
        <v>0.58905</v>
      </c>
      <c r="H48" s="610">
        <v>0</v>
      </c>
      <c r="I48" s="610">
        <v>5.77395</v>
      </c>
      <c r="J48" s="594">
        <v>146.98</v>
      </c>
      <c r="K48" s="610">
        <v>5.773951</v>
      </c>
      <c r="L48" s="594">
        <v>146.98</v>
      </c>
      <c r="M48" s="585">
        <f t="shared" si="0"/>
        <v>0.03928392298271874</v>
      </c>
      <c r="N48" s="474">
        <v>298.66</v>
      </c>
      <c r="O48" s="490">
        <f t="shared" si="1"/>
        <v>11.73253643801878</v>
      </c>
      <c r="P48" s="490">
        <f t="shared" si="2"/>
        <v>2357.035378963124</v>
      </c>
      <c r="Q48" s="603">
        <f t="shared" si="3"/>
        <v>703.9521862811267</v>
      </c>
      <c r="S48" s="63"/>
      <c r="T48" s="63"/>
    </row>
    <row r="49" spans="1:20" ht="15">
      <c r="A49" s="1304" t="s">
        <v>35</v>
      </c>
      <c r="B49" s="1304"/>
      <c r="C49" s="1304"/>
      <c r="D49" s="1304"/>
      <c r="E49" s="1304"/>
      <c r="F49" s="1304"/>
      <c r="G49" s="1304"/>
      <c r="H49" s="1304"/>
      <c r="I49" s="1304"/>
      <c r="J49" s="1304"/>
      <c r="K49" s="1304"/>
      <c r="L49" s="1304"/>
      <c r="M49" s="1304"/>
      <c r="N49" s="1304"/>
      <c r="O49" s="1304"/>
      <c r="P49" s="1304"/>
      <c r="Q49" s="1304"/>
      <c r="S49" s="63"/>
      <c r="T49" s="63"/>
    </row>
    <row r="50" spans="1:20" ht="13.5" thickBot="1">
      <c r="A50" s="1200" t="s">
        <v>626</v>
      </c>
      <c r="B50" s="1255"/>
      <c r="C50" s="1255"/>
      <c r="D50" s="1255"/>
      <c r="E50" s="1255"/>
      <c r="F50" s="1255"/>
      <c r="G50" s="1255"/>
      <c r="H50" s="1255"/>
      <c r="I50" s="1255"/>
      <c r="J50" s="1255"/>
      <c r="K50" s="1255"/>
      <c r="L50" s="1255"/>
      <c r="M50" s="1255"/>
      <c r="N50" s="1255"/>
      <c r="O50" s="1255"/>
      <c r="P50" s="1255"/>
      <c r="Q50" s="1255"/>
      <c r="S50" s="63"/>
      <c r="T50" s="63"/>
    </row>
    <row r="51" spans="1:20" ht="12.75" customHeight="1">
      <c r="A51" s="1201" t="s">
        <v>1</v>
      </c>
      <c r="B51" s="1203" t="s">
        <v>0</v>
      </c>
      <c r="C51" s="1193" t="s">
        <v>2</v>
      </c>
      <c r="D51" s="1193" t="s">
        <v>3</v>
      </c>
      <c r="E51" s="1193" t="s">
        <v>13</v>
      </c>
      <c r="F51" s="1207" t="s">
        <v>14</v>
      </c>
      <c r="G51" s="1208"/>
      <c r="H51" s="1208"/>
      <c r="I51" s="1209"/>
      <c r="J51" s="1193" t="s">
        <v>4</v>
      </c>
      <c r="K51" s="1193" t="s">
        <v>15</v>
      </c>
      <c r="L51" s="1193" t="s">
        <v>5</v>
      </c>
      <c r="M51" s="1193" t="s">
        <v>6</v>
      </c>
      <c r="N51" s="1193" t="s">
        <v>16</v>
      </c>
      <c r="O51" s="1193" t="s">
        <v>17</v>
      </c>
      <c r="P51" s="1193" t="s">
        <v>25</v>
      </c>
      <c r="Q51" s="1313" t="s">
        <v>26</v>
      </c>
      <c r="S51" s="63"/>
      <c r="T51" s="63"/>
    </row>
    <row r="52" spans="1:20" ht="55.5" customHeight="1">
      <c r="A52" s="1317"/>
      <c r="B52" s="1318"/>
      <c r="C52" s="1194"/>
      <c r="D52" s="1194"/>
      <c r="E52" s="1194"/>
      <c r="F52" s="106" t="s">
        <v>18</v>
      </c>
      <c r="G52" s="107" t="s">
        <v>19</v>
      </c>
      <c r="H52" s="107" t="s">
        <v>32</v>
      </c>
      <c r="I52" s="106" t="s">
        <v>21</v>
      </c>
      <c r="J52" s="1194"/>
      <c r="K52" s="1194"/>
      <c r="L52" s="1194"/>
      <c r="M52" s="1194"/>
      <c r="N52" s="1194"/>
      <c r="O52" s="1194"/>
      <c r="P52" s="1194"/>
      <c r="Q52" s="1314"/>
      <c r="S52" s="63"/>
      <c r="T52" s="63"/>
    </row>
    <row r="53" spans="1:20" ht="13.5" customHeight="1" thickBot="1">
      <c r="A53" s="189"/>
      <c r="B53" s="190"/>
      <c r="C53" s="191"/>
      <c r="D53" s="42" t="s">
        <v>7</v>
      </c>
      <c r="E53" s="186" t="s">
        <v>8</v>
      </c>
      <c r="F53" s="186" t="s">
        <v>9</v>
      </c>
      <c r="G53" s="186" t="s">
        <v>9</v>
      </c>
      <c r="H53" s="186" t="s">
        <v>9</v>
      </c>
      <c r="I53" s="186" t="s">
        <v>9</v>
      </c>
      <c r="J53" s="186" t="s">
        <v>22</v>
      </c>
      <c r="K53" s="186" t="s">
        <v>9</v>
      </c>
      <c r="L53" s="186" t="s">
        <v>22</v>
      </c>
      <c r="M53" s="186" t="s">
        <v>131</v>
      </c>
      <c r="N53" s="187" t="s">
        <v>10</v>
      </c>
      <c r="O53" s="186" t="s">
        <v>132</v>
      </c>
      <c r="P53" s="187" t="s">
        <v>27</v>
      </c>
      <c r="Q53" s="188" t="s">
        <v>28</v>
      </c>
      <c r="S53" s="63"/>
      <c r="T53" s="63"/>
    </row>
    <row r="54" spans="1:20" ht="12.75">
      <c r="A54" s="1287" t="s">
        <v>48</v>
      </c>
      <c r="B54" s="20">
        <v>1</v>
      </c>
      <c r="C54" s="1054" t="s">
        <v>100</v>
      </c>
      <c r="D54" s="20">
        <v>86</v>
      </c>
      <c r="E54" s="20">
        <v>2006</v>
      </c>
      <c r="F54" s="287">
        <v>37.17</v>
      </c>
      <c r="G54" s="287">
        <v>12.15</v>
      </c>
      <c r="H54" s="636">
        <v>4.41</v>
      </c>
      <c r="I54" s="287">
        <f>F54-G54-H54</f>
        <v>20.610000000000003</v>
      </c>
      <c r="J54" s="291">
        <v>5062</v>
      </c>
      <c r="K54" s="287">
        <f aca="true" t="shared" si="4" ref="K54:K93">I54/J54*L54</f>
        <v>20.610000000000003</v>
      </c>
      <c r="L54" s="20">
        <v>5062</v>
      </c>
      <c r="M54" s="577">
        <f aca="true" t="shared" si="5" ref="M54:M93">K54/L54</f>
        <v>0.004071513235875149</v>
      </c>
      <c r="N54" s="928">
        <f aca="true" t="shared" si="6" ref="N54:N93">294.4*1.09</f>
        <v>320.896</v>
      </c>
      <c r="O54" s="615">
        <f aca="true" t="shared" si="7" ref="O54:O93">M54*N54</f>
        <v>1.3065323113393918</v>
      </c>
      <c r="P54" s="545">
        <f aca="true" t="shared" si="8" ref="P54:P93">M54*60*1000</f>
        <v>244.29079415250894</v>
      </c>
      <c r="Q54" s="546">
        <f aca="true" t="shared" si="9" ref="Q54:Q93">P54*N54/1000</f>
        <v>78.39193868036351</v>
      </c>
      <c r="S54" s="63"/>
      <c r="T54" s="63"/>
    </row>
    <row r="55" spans="1:20" ht="12.75">
      <c r="A55" s="1287"/>
      <c r="B55" s="21">
        <v>2</v>
      </c>
      <c r="C55" s="68" t="s">
        <v>102</v>
      </c>
      <c r="D55" s="21">
        <v>60</v>
      </c>
      <c r="E55" s="21">
        <v>2005</v>
      </c>
      <c r="F55" s="97">
        <v>43.16</v>
      </c>
      <c r="G55" s="97">
        <v>10.36</v>
      </c>
      <c r="H55" s="637">
        <v>4.96</v>
      </c>
      <c r="I55" s="97">
        <f>F55-G55-H55</f>
        <v>27.839999999999996</v>
      </c>
      <c r="J55" s="149">
        <v>4933.5</v>
      </c>
      <c r="K55" s="97">
        <f t="shared" si="4"/>
        <v>27.013292794162357</v>
      </c>
      <c r="L55" s="21">
        <v>4787</v>
      </c>
      <c r="M55" s="239">
        <f t="shared" si="5"/>
        <v>0.005643052599574338</v>
      </c>
      <c r="N55" s="929">
        <f t="shared" si="6"/>
        <v>320.896</v>
      </c>
      <c r="O55" s="247">
        <f t="shared" si="7"/>
        <v>1.810833006993007</v>
      </c>
      <c r="P55" s="93">
        <f t="shared" si="8"/>
        <v>338.5831559744603</v>
      </c>
      <c r="Q55" s="240">
        <f t="shared" si="9"/>
        <v>108.64998041958042</v>
      </c>
      <c r="S55" s="63"/>
      <c r="T55" s="63"/>
    </row>
    <row r="56" spans="1:20" ht="12.75">
      <c r="A56" s="1287"/>
      <c r="B56" s="21">
        <v>3</v>
      </c>
      <c r="C56" s="68" t="s">
        <v>134</v>
      </c>
      <c r="D56" s="21">
        <v>72</v>
      </c>
      <c r="E56" s="21">
        <v>2005</v>
      </c>
      <c r="F56" s="97">
        <v>53.32</v>
      </c>
      <c r="G56" s="97">
        <v>17.06</v>
      </c>
      <c r="H56" s="637">
        <v>3.43</v>
      </c>
      <c r="I56" s="97">
        <v>32.83</v>
      </c>
      <c r="J56" s="149">
        <v>5350.7</v>
      </c>
      <c r="K56" s="97">
        <f t="shared" si="4"/>
        <v>32.83184069374101</v>
      </c>
      <c r="L56" s="21">
        <v>5351</v>
      </c>
      <c r="M56" s="239">
        <f t="shared" si="5"/>
        <v>0.0061356458033528325</v>
      </c>
      <c r="N56" s="929">
        <f t="shared" si="6"/>
        <v>320.896</v>
      </c>
      <c r="O56" s="247">
        <f t="shared" si="7"/>
        <v>1.9689041957127107</v>
      </c>
      <c r="P56" s="93">
        <f t="shared" si="8"/>
        <v>368.1387482011699</v>
      </c>
      <c r="Q56" s="240">
        <f t="shared" si="9"/>
        <v>118.13425174276263</v>
      </c>
      <c r="S56" s="63"/>
      <c r="T56" s="63"/>
    </row>
    <row r="57" spans="1:20" ht="12.75">
      <c r="A57" s="1287"/>
      <c r="B57" s="21">
        <v>4</v>
      </c>
      <c r="C57" s="68" t="s">
        <v>104</v>
      </c>
      <c r="D57" s="21">
        <v>118</v>
      </c>
      <c r="E57" s="21">
        <v>2007</v>
      </c>
      <c r="F57" s="97">
        <v>83.86</v>
      </c>
      <c r="G57" s="97">
        <v>21.32</v>
      </c>
      <c r="H57" s="637">
        <v>14.81</v>
      </c>
      <c r="I57" s="97">
        <f>F57-G57-H57</f>
        <v>47.73</v>
      </c>
      <c r="J57" s="149">
        <v>7738</v>
      </c>
      <c r="K57" s="97">
        <f t="shared" si="4"/>
        <v>43.07296329800982</v>
      </c>
      <c r="L57" s="21">
        <v>6983</v>
      </c>
      <c r="M57" s="239">
        <f t="shared" si="5"/>
        <v>0.006168260532437322</v>
      </c>
      <c r="N57" s="929">
        <f t="shared" si="6"/>
        <v>320.896</v>
      </c>
      <c r="O57" s="247">
        <f t="shared" si="7"/>
        <v>1.979370131817007</v>
      </c>
      <c r="P57" s="93">
        <f t="shared" si="8"/>
        <v>370.0956319462393</v>
      </c>
      <c r="Q57" s="240">
        <f t="shared" si="9"/>
        <v>118.7622079090204</v>
      </c>
      <c r="S57" s="63"/>
      <c r="T57" s="63"/>
    </row>
    <row r="58" spans="1:20" ht="12.75">
      <c r="A58" s="1287"/>
      <c r="B58" s="21">
        <v>5</v>
      </c>
      <c r="C58" s="68" t="s">
        <v>101</v>
      </c>
      <c r="D58" s="21">
        <v>51</v>
      </c>
      <c r="E58" s="21">
        <v>2005</v>
      </c>
      <c r="F58" s="97">
        <v>29.56</v>
      </c>
      <c r="G58" s="97">
        <v>6.63</v>
      </c>
      <c r="H58" s="637">
        <v>3.94</v>
      </c>
      <c r="I58" s="97">
        <f>F58-G58-H58</f>
        <v>18.99</v>
      </c>
      <c r="J58" s="149">
        <v>3073.9</v>
      </c>
      <c r="K58" s="97">
        <f t="shared" si="4"/>
        <v>18.54581476300465</v>
      </c>
      <c r="L58" s="611">
        <v>3002</v>
      </c>
      <c r="M58" s="239">
        <f t="shared" si="5"/>
        <v>0.006177819707862974</v>
      </c>
      <c r="N58" s="929">
        <f t="shared" si="6"/>
        <v>320.896</v>
      </c>
      <c r="O58" s="247">
        <f t="shared" si="7"/>
        <v>1.9824376329743971</v>
      </c>
      <c r="P58" s="93">
        <f t="shared" si="8"/>
        <v>370.6691824717784</v>
      </c>
      <c r="Q58" s="240">
        <f t="shared" si="9"/>
        <v>118.9462579784638</v>
      </c>
      <c r="S58" s="63"/>
      <c r="T58" s="63"/>
    </row>
    <row r="59" spans="1:20" s="67" customFormat="1" ht="12.75" customHeight="1">
      <c r="A59" s="1287"/>
      <c r="B59" s="66">
        <v>6</v>
      </c>
      <c r="C59" s="68" t="s">
        <v>106</v>
      </c>
      <c r="D59" s="21">
        <v>18</v>
      </c>
      <c r="E59" s="21">
        <v>2006</v>
      </c>
      <c r="F59" s="97">
        <v>17.02</v>
      </c>
      <c r="G59" s="97">
        <v>2.85</v>
      </c>
      <c r="H59" s="637">
        <v>1.68</v>
      </c>
      <c r="I59" s="97">
        <f>F59-G59-H59</f>
        <v>12.49</v>
      </c>
      <c r="J59" s="149">
        <v>1988.3</v>
      </c>
      <c r="K59" s="97">
        <f t="shared" si="4"/>
        <v>9.510566815872856</v>
      </c>
      <c r="L59" s="21">
        <v>1514</v>
      </c>
      <c r="M59" s="239">
        <f t="shared" si="5"/>
        <v>0.006281748227128703</v>
      </c>
      <c r="N59" s="929">
        <f t="shared" si="6"/>
        <v>320.896</v>
      </c>
      <c r="O59" s="247">
        <f t="shared" si="7"/>
        <v>2.0157878790926924</v>
      </c>
      <c r="P59" s="93">
        <f t="shared" si="8"/>
        <v>376.9048936277222</v>
      </c>
      <c r="Q59" s="240">
        <f t="shared" si="9"/>
        <v>120.94727274556153</v>
      </c>
      <c r="S59" s="63"/>
      <c r="T59" s="63"/>
    </row>
    <row r="60" spans="1:20" ht="12.75">
      <c r="A60" s="1287"/>
      <c r="B60" s="21">
        <v>7</v>
      </c>
      <c r="C60" s="68" t="s">
        <v>103</v>
      </c>
      <c r="D60" s="21">
        <v>38</v>
      </c>
      <c r="E60" s="21">
        <v>2004</v>
      </c>
      <c r="F60" s="97">
        <v>21.66</v>
      </c>
      <c r="G60" s="97">
        <v>5.46</v>
      </c>
      <c r="H60" s="637">
        <v>0.945</v>
      </c>
      <c r="I60" s="97">
        <f>F60-G60-H60</f>
        <v>15.254999999999999</v>
      </c>
      <c r="J60" s="149">
        <v>2372</v>
      </c>
      <c r="K60" s="97">
        <f t="shared" si="4"/>
        <v>15.254999999999999</v>
      </c>
      <c r="L60" s="21">
        <v>2372</v>
      </c>
      <c r="M60" s="239">
        <f t="shared" si="5"/>
        <v>0.006431281618887015</v>
      </c>
      <c r="N60" s="929">
        <f t="shared" si="6"/>
        <v>320.896</v>
      </c>
      <c r="O60" s="247">
        <f t="shared" si="7"/>
        <v>2.0637725463743677</v>
      </c>
      <c r="P60" s="93">
        <f t="shared" si="8"/>
        <v>385.87689713322095</v>
      </c>
      <c r="Q60" s="240">
        <f t="shared" si="9"/>
        <v>123.82635278246207</v>
      </c>
      <c r="S60" s="63"/>
      <c r="T60" s="63"/>
    </row>
    <row r="61" spans="1:20" ht="12.75">
      <c r="A61" s="1287"/>
      <c r="B61" s="21">
        <v>8</v>
      </c>
      <c r="C61" s="68" t="s">
        <v>135</v>
      </c>
      <c r="D61" s="21">
        <v>100</v>
      </c>
      <c r="E61" s="21">
        <v>1972</v>
      </c>
      <c r="F61" s="97">
        <v>57.48</v>
      </c>
      <c r="G61" s="97">
        <v>13.19</v>
      </c>
      <c r="H61" s="637">
        <v>12.4</v>
      </c>
      <c r="I61" s="605">
        <v>31.84</v>
      </c>
      <c r="J61" s="149">
        <v>4426.6</v>
      </c>
      <c r="K61" s="97">
        <f t="shared" si="4"/>
        <v>31.842877151764334</v>
      </c>
      <c r="L61" s="21">
        <v>4427</v>
      </c>
      <c r="M61" s="239">
        <f t="shared" si="5"/>
        <v>0.0071928794108345</v>
      </c>
      <c r="N61" s="929">
        <f t="shared" si="6"/>
        <v>320.896</v>
      </c>
      <c r="O61" s="247">
        <f t="shared" si="7"/>
        <v>2.308166231419148</v>
      </c>
      <c r="P61" s="93">
        <f t="shared" si="8"/>
        <v>431.57276465007</v>
      </c>
      <c r="Q61" s="240">
        <f t="shared" si="9"/>
        <v>138.48997388514886</v>
      </c>
      <c r="S61" s="63"/>
      <c r="T61" s="63"/>
    </row>
    <row r="62" spans="1:20" ht="12.75">
      <c r="A62" s="1287"/>
      <c r="B62" s="65">
        <v>9</v>
      </c>
      <c r="C62" s="68" t="s">
        <v>105</v>
      </c>
      <c r="D62" s="21">
        <v>39</v>
      </c>
      <c r="E62" s="21">
        <v>2007</v>
      </c>
      <c r="F62" s="97">
        <v>26.35</v>
      </c>
      <c r="G62" s="97">
        <v>7.14</v>
      </c>
      <c r="H62" s="637">
        <v>1.87</v>
      </c>
      <c r="I62" s="605">
        <f>F62-G62-H62</f>
        <v>17.34</v>
      </c>
      <c r="J62" s="149">
        <v>2368.8</v>
      </c>
      <c r="K62" s="97">
        <f t="shared" si="4"/>
        <v>17.341464032421477</v>
      </c>
      <c r="L62" s="21">
        <v>2369</v>
      </c>
      <c r="M62" s="239">
        <f t="shared" si="5"/>
        <v>0.007320162107396149</v>
      </c>
      <c r="N62" s="929">
        <f t="shared" si="6"/>
        <v>320.896</v>
      </c>
      <c r="O62" s="247">
        <f t="shared" si="7"/>
        <v>2.349010739614995</v>
      </c>
      <c r="P62" s="93">
        <f t="shared" si="8"/>
        <v>439.20972644376894</v>
      </c>
      <c r="Q62" s="240">
        <f t="shared" si="9"/>
        <v>140.94064437689968</v>
      </c>
      <c r="S62" s="63"/>
      <c r="T62" s="63"/>
    </row>
    <row r="63" spans="1:20" ht="12.75" customHeight="1" thickBot="1">
      <c r="A63" s="1288"/>
      <c r="B63" s="47">
        <v>10</v>
      </c>
      <c r="C63" s="774" t="s">
        <v>140</v>
      </c>
      <c r="D63" s="47">
        <v>54</v>
      </c>
      <c r="E63" s="47">
        <v>1980</v>
      </c>
      <c r="F63" s="195">
        <v>49.18</v>
      </c>
      <c r="G63" s="195">
        <v>7.01</v>
      </c>
      <c r="H63" s="638">
        <v>15.1</v>
      </c>
      <c r="I63" s="675">
        <v>27.07</v>
      </c>
      <c r="J63" s="277">
        <v>3508.9</v>
      </c>
      <c r="K63" s="195">
        <f t="shared" si="4"/>
        <v>27.07077146684146</v>
      </c>
      <c r="L63" s="47">
        <v>3509</v>
      </c>
      <c r="M63" s="241">
        <f t="shared" si="5"/>
        <v>0.007714668414602867</v>
      </c>
      <c r="N63" s="930">
        <f t="shared" si="6"/>
        <v>320.896</v>
      </c>
      <c r="O63" s="257">
        <f t="shared" si="7"/>
        <v>2.4756062355724016</v>
      </c>
      <c r="P63" s="94">
        <f t="shared" si="8"/>
        <v>462.880104876172</v>
      </c>
      <c r="Q63" s="95">
        <f t="shared" si="9"/>
        <v>148.5363741343441</v>
      </c>
      <c r="S63" s="63"/>
      <c r="T63" s="63"/>
    </row>
    <row r="64" spans="1:20" ht="14.25" customHeight="1">
      <c r="A64" s="1319" t="s">
        <v>195</v>
      </c>
      <c r="B64" s="395">
        <v>1</v>
      </c>
      <c r="C64" s="775" t="s">
        <v>136</v>
      </c>
      <c r="D64" s="404">
        <v>61</v>
      </c>
      <c r="E64" s="404">
        <v>1973</v>
      </c>
      <c r="F64" s="430">
        <v>32.84</v>
      </c>
      <c r="G64" s="430">
        <v>7</v>
      </c>
      <c r="H64" s="639">
        <v>5.1</v>
      </c>
      <c r="I64" s="430">
        <v>20.74</v>
      </c>
      <c r="J64" s="431">
        <v>2678.3</v>
      </c>
      <c r="K64" s="430">
        <f t="shared" si="4"/>
        <v>20.737676884590968</v>
      </c>
      <c r="L64" s="404">
        <v>2678</v>
      </c>
      <c r="M64" s="445">
        <f t="shared" si="5"/>
        <v>0.007743718030093715</v>
      </c>
      <c r="N64" s="931">
        <f t="shared" si="6"/>
        <v>320.896</v>
      </c>
      <c r="O64" s="616">
        <f t="shared" si="7"/>
        <v>2.484928140984953</v>
      </c>
      <c r="P64" s="432">
        <f t="shared" si="8"/>
        <v>464.6230818056229</v>
      </c>
      <c r="Q64" s="433">
        <f t="shared" si="9"/>
        <v>149.09568845909718</v>
      </c>
      <c r="S64" s="63"/>
      <c r="T64" s="63"/>
    </row>
    <row r="65" spans="1:20" ht="12.75">
      <c r="A65" s="1319"/>
      <c r="B65" s="377">
        <v>2</v>
      </c>
      <c r="C65" s="426" t="s">
        <v>109</v>
      </c>
      <c r="D65" s="377">
        <v>22</v>
      </c>
      <c r="E65" s="377">
        <v>2006</v>
      </c>
      <c r="F65" s="379">
        <v>19.35</v>
      </c>
      <c r="G65" s="379">
        <v>3.96</v>
      </c>
      <c r="H65" s="640">
        <v>1.76</v>
      </c>
      <c r="I65" s="379">
        <f>F65-G65-H65</f>
        <v>13.63</v>
      </c>
      <c r="J65" s="380">
        <v>1698.2</v>
      </c>
      <c r="K65" s="379">
        <f t="shared" si="4"/>
        <v>13.62839477093393</v>
      </c>
      <c r="L65" s="377">
        <v>1698</v>
      </c>
      <c r="M65" s="381">
        <f t="shared" si="5"/>
        <v>0.008026145330349782</v>
      </c>
      <c r="N65" s="932">
        <f t="shared" si="6"/>
        <v>320.896</v>
      </c>
      <c r="O65" s="444">
        <f t="shared" si="7"/>
        <v>2.575557931927924</v>
      </c>
      <c r="P65" s="382">
        <f t="shared" si="8"/>
        <v>481.5687198209869</v>
      </c>
      <c r="Q65" s="383">
        <f t="shared" si="9"/>
        <v>154.53347591567544</v>
      </c>
      <c r="S65" s="63"/>
      <c r="T65" s="63"/>
    </row>
    <row r="66" spans="1:20" ht="12.75">
      <c r="A66" s="1319"/>
      <c r="B66" s="377">
        <v>3</v>
      </c>
      <c r="C66" s="426" t="s">
        <v>141</v>
      </c>
      <c r="D66" s="377">
        <v>60</v>
      </c>
      <c r="E66" s="377">
        <v>1965</v>
      </c>
      <c r="F66" s="379">
        <v>38.26</v>
      </c>
      <c r="G66" s="379">
        <v>6.7</v>
      </c>
      <c r="H66" s="640">
        <v>9.52</v>
      </c>
      <c r="I66" s="379">
        <f>F66-G66-H66</f>
        <v>22.04</v>
      </c>
      <c r="J66" s="380">
        <v>2708.9</v>
      </c>
      <c r="K66" s="379">
        <f t="shared" si="4"/>
        <v>22.04081361438222</v>
      </c>
      <c r="L66" s="612">
        <v>2709</v>
      </c>
      <c r="M66" s="381">
        <f t="shared" si="5"/>
        <v>0.008136143822215659</v>
      </c>
      <c r="N66" s="932">
        <f t="shared" si="6"/>
        <v>320.896</v>
      </c>
      <c r="O66" s="444">
        <f t="shared" si="7"/>
        <v>2.610856007973716</v>
      </c>
      <c r="P66" s="382">
        <f t="shared" si="8"/>
        <v>488.16862933293953</v>
      </c>
      <c r="Q66" s="383">
        <f t="shared" si="9"/>
        <v>156.651360478423</v>
      </c>
      <c r="S66" s="63"/>
      <c r="T66" s="63"/>
    </row>
    <row r="67" spans="1:20" ht="12.75">
      <c r="A67" s="1319"/>
      <c r="B67" s="377">
        <v>4</v>
      </c>
      <c r="C67" s="426" t="s">
        <v>107</v>
      </c>
      <c r="D67" s="377">
        <v>83</v>
      </c>
      <c r="E67" s="377">
        <v>2006</v>
      </c>
      <c r="F67" s="379">
        <v>68.14</v>
      </c>
      <c r="G67" s="379">
        <v>12.91</v>
      </c>
      <c r="H67" s="640">
        <v>7.36</v>
      </c>
      <c r="I67" s="379">
        <f>F67-G67-H67</f>
        <v>47.870000000000005</v>
      </c>
      <c r="J67" s="380">
        <v>5540.2</v>
      </c>
      <c r="K67" s="379">
        <f t="shared" si="4"/>
        <v>42.519813364138486</v>
      </c>
      <c r="L67" s="377">
        <v>4921</v>
      </c>
      <c r="M67" s="381">
        <f t="shared" si="5"/>
        <v>0.008640482293058013</v>
      </c>
      <c r="N67" s="932">
        <f t="shared" si="6"/>
        <v>320.896</v>
      </c>
      <c r="O67" s="444">
        <f t="shared" si="7"/>
        <v>2.7726962059131446</v>
      </c>
      <c r="P67" s="382">
        <f t="shared" si="8"/>
        <v>518.4289375834808</v>
      </c>
      <c r="Q67" s="383">
        <f t="shared" si="9"/>
        <v>166.36177235478866</v>
      </c>
      <c r="S67" s="63"/>
      <c r="T67" s="63"/>
    </row>
    <row r="68" spans="1:20" ht="12.75">
      <c r="A68" s="1319"/>
      <c r="B68" s="377">
        <v>5</v>
      </c>
      <c r="C68" s="426" t="s">
        <v>137</v>
      </c>
      <c r="D68" s="377">
        <v>60</v>
      </c>
      <c r="E68" s="377">
        <v>1968</v>
      </c>
      <c r="F68" s="379">
        <v>35.42</v>
      </c>
      <c r="G68" s="379">
        <v>7.21</v>
      </c>
      <c r="H68" s="640">
        <v>4.72</v>
      </c>
      <c r="I68" s="379">
        <v>23.49</v>
      </c>
      <c r="J68" s="380">
        <v>2715.4</v>
      </c>
      <c r="K68" s="379">
        <f t="shared" si="4"/>
        <v>23.486539736318772</v>
      </c>
      <c r="L68" s="612">
        <v>2715</v>
      </c>
      <c r="M68" s="381">
        <f t="shared" si="5"/>
        <v>0.008650659203064005</v>
      </c>
      <c r="N68" s="932">
        <f t="shared" si="6"/>
        <v>320.896</v>
      </c>
      <c r="O68" s="444">
        <f t="shared" si="7"/>
        <v>2.775961935626427</v>
      </c>
      <c r="P68" s="382">
        <f t="shared" si="8"/>
        <v>519.0395521838402</v>
      </c>
      <c r="Q68" s="383">
        <f t="shared" si="9"/>
        <v>166.5577161375856</v>
      </c>
      <c r="S68" s="63"/>
      <c r="T68" s="63"/>
    </row>
    <row r="69" spans="1:20" ht="12.75">
      <c r="A69" s="1319"/>
      <c r="B69" s="377">
        <v>6</v>
      </c>
      <c r="C69" s="426" t="s">
        <v>139</v>
      </c>
      <c r="D69" s="377">
        <v>61</v>
      </c>
      <c r="E69" s="377">
        <v>1975</v>
      </c>
      <c r="F69" s="379">
        <v>50.62</v>
      </c>
      <c r="G69" s="379">
        <v>8.04</v>
      </c>
      <c r="H69" s="640">
        <v>9.6</v>
      </c>
      <c r="I69" s="379">
        <f aca="true" t="shared" si="10" ref="I69:I90">F69-G69-H69</f>
        <v>32.98</v>
      </c>
      <c r="J69" s="380">
        <v>3635</v>
      </c>
      <c r="K69" s="379">
        <f t="shared" si="4"/>
        <v>32.98</v>
      </c>
      <c r="L69" s="377">
        <v>3635</v>
      </c>
      <c r="M69" s="381">
        <f t="shared" si="5"/>
        <v>0.00907290233837689</v>
      </c>
      <c r="N69" s="932">
        <f t="shared" si="6"/>
        <v>320.896</v>
      </c>
      <c r="O69" s="444">
        <f t="shared" si="7"/>
        <v>2.9114580687757905</v>
      </c>
      <c r="P69" s="382">
        <f t="shared" si="8"/>
        <v>544.3741403026135</v>
      </c>
      <c r="Q69" s="383">
        <f t="shared" si="9"/>
        <v>174.68748412654747</v>
      </c>
      <c r="S69" s="63"/>
      <c r="T69" s="63"/>
    </row>
    <row r="70" spans="1:20" ht="12.75">
      <c r="A70" s="1319"/>
      <c r="B70" s="377">
        <v>7</v>
      </c>
      <c r="C70" s="426" t="s">
        <v>138</v>
      </c>
      <c r="D70" s="377">
        <v>72</v>
      </c>
      <c r="E70" s="377">
        <v>1973</v>
      </c>
      <c r="F70" s="379">
        <v>55.32</v>
      </c>
      <c r="G70" s="379">
        <v>7.02</v>
      </c>
      <c r="H70" s="640">
        <v>11.52</v>
      </c>
      <c r="I70" s="379">
        <f t="shared" si="10"/>
        <v>36.78</v>
      </c>
      <c r="J70" s="380">
        <v>3785.4</v>
      </c>
      <c r="K70" s="379">
        <f t="shared" si="4"/>
        <v>36.77611348866698</v>
      </c>
      <c r="L70" s="377">
        <v>3785</v>
      </c>
      <c r="M70" s="381">
        <f t="shared" si="5"/>
        <v>0.009716278332540814</v>
      </c>
      <c r="N70" s="932">
        <f t="shared" si="6"/>
        <v>320.896</v>
      </c>
      <c r="O70" s="444">
        <f t="shared" si="7"/>
        <v>3.1179148517990174</v>
      </c>
      <c r="P70" s="382">
        <f t="shared" si="8"/>
        <v>582.9766999524488</v>
      </c>
      <c r="Q70" s="383">
        <f t="shared" si="9"/>
        <v>187.07489110794103</v>
      </c>
      <c r="S70" s="63"/>
      <c r="T70" s="63"/>
    </row>
    <row r="71" spans="1:20" ht="12.75">
      <c r="A71" s="1319"/>
      <c r="B71" s="377">
        <v>8</v>
      </c>
      <c r="C71" s="426" t="s">
        <v>142</v>
      </c>
      <c r="D71" s="377">
        <v>54</v>
      </c>
      <c r="E71" s="377">
        <v>1985</v>
      </c>
      <c r="F71" s="379">
        <v>52.23</v>
      </c>
      <c r="G71" s="379">
        <v>9.18</v>
      </c>
      <c r="H71" s="640">
        <v>8.48</v>
      </c>
      <c r="I71" s="379">
        <f t="shared" si="10"/>
        <v>34.56999999999999</v>
      </c>
      <c r="J71" s="380">
        <v>3480</v>
      </c>
      <c r="K71" s="379">
        <f t="shared" si="4"/>
        <v>34.56999999999999</v>
      </c>
      <c r="L71" s="377">
        <v>3480</v>
      </c>
      <c r="M71" s="381">
        <f t="shared" si="5"/>
        <v>0.00993390804597701</v>
      </c>
      <c r="N71" s="932">
        <f t="shared" si="6"/>
        <v>320.896</v>
      </c>
      <c r="O71" s="444">
        <f t="shared" si="7"/>
        <v>3.1877513563218387</v>
      </c>
      <c r="P71" s="382">
        <f t="shared" si="8"/>
        <v>596.0344827586206</v>
      </c>
      <c r="Q71" s="383">
        <f t="shared" si="9"/>
        <v>191.26508137931032</v>
      </c>
      <c r="S71" s="63"/>
      <c r="T71" s="63"/>
    </row>
    <row r="72" spans="1:20" ht="12.75">
      <c r="A72" s="1319"/>
      <c r="B72" s="395">
        <v>9</v>
      </c>
      <c r="C72" s="426" t="s">
        <v>108</v>
      </c>
      <c r="D72" s="377">
        <v>50</v>
      </c>
      <c r="E72" s="377">
        <v>1988</v>
      </c>
      <c r="F72" s="379">
        <v>59.75</v>
      </c>
      <c r="G72" s="379">
        <v>9.08</v>
      </c>
      <c r="H72" s="640">
        <v>8</v>
      </c>
      <c r="I72" s="379">
        <f t="shared" si="10"/>
        <v>42.67</v>
      </c>
      <c r="J72" s="380">
        <v>3582.3</v>
      </c>
      <c r="K72" s="379">
        <f t="shared" si="4"/>
        <v>42.6664265974374</v>
      </c>
      <c r="L72" s="377">
        <v>3582</v>
      </c>
      <c r="M72" s="381">
        <f t="shared" si="5"/>
        <v>0.01191134187533149</v>
      </c>
      <c r="N72" s="932">
        <f t="shared" si="6"/>
        <v>320.896</v>
      </c>
      <c r="O72" s="444">
        <f t="shared" si="7"/>
        <v>3.822301962426374</v>
      </c>
      <c r="P72" s="382">
        <f t="shared" si="8"/>
        <v>714.6805125198894</v>
      </c>
      <c r="Q72" s="383">
        <f t="shared" si="9"/>
        <v>229.33811774558242</v>
      </c>
      <c r="S72" s="63"/>
      <c r="T72" s="63"/>
    </row>
    <row r="73" spans="1:20" ht="13.5" thickBot="1">
      <c r="A73" s="1320"/>
      <c r="B73" s="388">
        <v>10</v>
      </c>
      <c r="C73" s="1055" t="s">
        <v>111</v>
      </c>
      <c r="D73" s="388">
        <v>59</v>
      </c>
      <c r="E73" s="388">
        <v>1981</v>
      </c>
      <c r="F73" s="389">
        <v>68.41</v>
      </c>
      <c r="G73" s="389">
        <v>7.88</v>
      </c>
      <c r="H73" s="925">
        <v>9.6</v>
      </c>
      <c r="I73" s="389">
        <f t="shared" si="10"/>
        <v>50.92999999999999</v>
      </c>
      <c r="J73" s="390">
        <v>3418.8</v>
      </c>
      <c r="K73" s="389">
        <f t="shared" si="4"/>
        <v>49.99446589446588</v>
      </c>
      <c r="L73" s="388">
        <v>3356</v>
      </c>
      <c r="M73" s="391">
        <f t="shared" si="5"/>
        <v>0.014897039897039893</v>
      </c>
      <c r="N73" s="933">
        <f t="shared" si="6"/>
        <v>320.896</v>
      </c>
      <c r="O73" s="393">
        <f t="shared" si="7"/>
        <v>4.7804005148005135</v>
      </c>
      <c r="P73" s="392">
        <f t="shared" si="8"/>
        <v>893.8223938223936</v>
      </c>
      <c r="Q73" s="394">
        <f t="shared" si="9"/>
        <v>286.82403088803085</v>
      </c>
      <c r="S73" s="63"/>
      <c r="T73" s="63"/>
    </row>
    <row r="74" spans="1:20" ht="12.75">
      <c r="A74" s="1321" t="s">
        <v>46</v>
      </c>
      <c r="B74" s="22">
        <v>1</v>
      </c>
      <c r="C74" s="830" t="s">
        <v>114</v>
      </c>
      <c r="D74" s="477">
        <v>107</v>
      </c>
      <c r="E74" s="477">
        <v>1974</v>
      </c>
      <c r="F74" s="548">
        <v>68.75</v>
      </c>
      <c r="G74" s="548">
        <v>10.06</v>
      </c>
      <c r="H74" s="831">
        <v>17.04</v>
      </c>
      <c r="I74" s="548">
        <f t="shared" si="10"/>
        <v>41.65</v>
      </c>
      <c r="J74" s="589">
        <v>2560</v>
      </c>
      <c r="K74" s="548">
        <f t="shared" si="4"/>
        <v>40.72263671875</v>
      </c>
      <c r="L74" s="477">
        <v>2503</v>
      </c>
      <c r="M74" s="580">
        <f t="shared" si="5"/>
        <v>0.01626953125</v>
      </c>
      <c r="N74" s="934">
        <f t="shared" si="6"/>
        <v>320.896</v>
      </c>
      <c r="O74" s="832">
        <f t="shared" si="7"/>
        <v>5.2208275</v>
      </c>
      <c r="P74" s="547">
        <f t="shared" si="8"/>
        <v>976.171875</v>
      </c>
      <c r="Q74" s="549">
        <f t="shared" si="9"/>
        <v>313.24965000000003</v>
      </c>
      <c r="S74" s="63"/>
      <c r="T74" s="63"/>
    </row>
    <row r="75" spans="1:20" ht="12.75" customHeight="1">
      <c r="A75" s="1321"/>
      <c r="B75" s="24">
        <v>2</v>
      </c>
      <c r="C75" s="833" t="s">
        <v>144</v>
      </c>
      <c r="D75" s="480">
        <v>47</v>
      </c>
      <c r="E75" s="480">
        <v>1981</v>
      </c>
      <c r="F75" s="607">
        <v>71.06</v>
      </c>
      <c r="G75" s="607">
        <v>8.79</v>
      </c>
      <c r="H75" s="834">
        <v>11.36</v>
      </c>
      <c r="I75" s="607">
        <f t="shared" si="10"/>
        <v>50.910000000000004</v>
      </c>
      <c r="J75" s="590">
        <v>2980.6</v>
      </c>
      <c r="K75" s="607">
        <f t="shared" si="4"/>
        <v>48.747614574246796</v>
      </c>
      <c r="L75" s="480">
        <v>2854</v>
      </c>
      <c r="M75" s="581">
        <f t="shared" si="5"/>
        <v>0.01708045359994632</v>
      </c>
      <c r="N75" s="935">
        <f t="shared" si="6"/>
        <v>320.896</v>
      </c>
      <c r="O75" s="671">
        <f t="shared" si="7"/>
        <v>5.481049238408374</v>
      </c>
      <c r="P75" s="550">
        <f t="shared" si="8"/>
        <v>1024.8272159967794</v>
      </c>
      <c r="Q75" s="601">
        <f t="shared" si="9"/>
        <v>328.8629543045025</v>
      </c>
      <c r="S75" s="63"/>
      <c r="T75" s="63"/>
    </row>
    <row r="76" spans="1:20" ht="12.75" customHeight="1">
      <c r="A76" s="1321"/>
      <c r="B76" s="24">
        <v>3</v>
      </c>
      <c r="C76" s="833" t="s">
        <v>143</v>
      </c>
      <c r="D76" s="480">
        <v>41</v>
      </c>
      <c r="E76" s="480">
        <v>1987</v>
      </c>
      <c r="F76" s="607">
        <v>50.35</v>
      </c>
      <c r="G76" s="607">
        <v>3.69</v>
      </c>
      <c r="H76" s="834">
        <v>6.08</v>
      </c>
      <c r="I76" s="607">
        <f t="shared" si="10"/>
        <v>40.580000000000005</v>
      </c>
      <c r="J76" s="590">
        <v>2315.8</v>
      </c>
      <c r="K76" s="607">
        <f t="shared" si="4"/>
        <v>28.930641678901463</v>
      </c>
      <c r="L76" s="480">
        <v>1651</v>
      </c>
      <c r="M76" s="581">
        <f t="shared" si="5"/>
        <v>0.017523102167717422</v>
      </c>
      <c r="N76" s="935">
        <f t="shared" si="6"/>
        <v>320.896</v>
      </c>
      <c r="O76" s="671">
        <f t="shared" si="7"/>
        <v>5.6230933932118505</v>
      </c>
      <c r="P76" s="550">
        <f t="shared" si="8"/>
        <v>1051.3861300630454</v>
      </c>
      <c r="Q76" s="601">
        <f t="shared" si="9"/>
        <v>337.38560359271105</v>
      </c>
      <c r="S76" s="63"/>
      <c r="T76" s="63"/>
    </row>
    <row r="77" spans="1:20" ht="12.75" customHeight="1">
      <c r="A77" s="1321"/>
      <c r="B77" s="24">
        <v>4</v>
      </c>
      <c r="C77" s="833" t="s">
        <v>110</v>
      </c>
      <c r="D77" s="480">
        <v>57</v>
      </c>
      <c r="E77" s="480">
        <v>1982</v>
      </c>
      <c r="F77" s="607">
        <v>78.33</v>
      </c>
      <c r="G77" s="607">
        <v>7.89</v>
      </c>
      <c r="H77" s="834">
        <v>8.64</v>
      </c>
      <c r="I77" s="607">
        <f t="shared" si="10"/>
        <v>61.8</v>
      </c>
      <c r="J77" s="590">
        <v>3486.1</v>
      </c>
      <c r="K77" s="607">
        <f t="shared" si="4"/>
        <v>61.7982272453458</v>
      </c>
      <c r="L77" s="480">
        <v>3486</v>
      </c>
      <c r="M77" s="581">
        <f t="shared" si="5"/>
        <v>0.01772754654198101</v>
      </c>
      <c r="N77" s="935">
        <f t="shared" si="6"/>
        <v>320.896</v>
      </c>
      <c r="O77" s="671">
        <f t="shared" si="7"/>
        <v>5.6886987751355385</v>
      </c>
      <c r="P77" s="550">
        <f t="shared" si="8"/>
        <v>1063.6527925188607</v>
      </c>
      <c r="Q77" s="601">
        <f t="shared" si="9"/>
        <v>341.3219265081323</v>
      </c>
      <c r="S77" s="63"/>
      <c r="T77" s="63"/>
    </row>
    <row r="78" spans="1:20" ht="12.75" customHeight="1">
      <c r="A78" s="1321"/>
      <c r="B78" s="24">
        <v>5</v>
      </c>
      <c r="C78" s="833" t="s">
        <v>112</v>
      </c>
      <c r="D78" s="480">
        <v>47</v>
      </c>
      <c r="E78" s="480">
        <v>1979</v>
      </c>
      <c r="F78" s="607">
        <v>67.61</v>
      </c>
      <c r="G78" s="607">
        <v>6.19</v>
      </c>
      <c r="H78" s="834">
        <v>7.6</v>
      </c>
      <c r="I78" s="607">
        <f t="shared" si="10"/>
        <v>53.82</v>
      </c>
      <c r="J78" s="590">
        <v>2974.6</v>
      </c>
      <c r="K78" s="607">
        <f t="shared" si="4"/>
        <v>52.79592550258859</v>
      </c>
      <c r="L78" s="480">
        <v>2918</v>
      </c>
      <c r="M78" s="581">
        <f t="shared" si="5"/>
        <v>0.01809318900020171</v>
      </c>
      <c r="N78" s="935">
        <f t="shared" si="6"/>
        <v>320.896</v>
      </c>
      <c r="O78" s="671">
        <f t="shared" si="7"/>
        <v>5.806031977408728</v>
      </c>
      <c r="P78" s="550">
        <f t="shared" si="8"/>
        <v>1085.5913400121024</v>
      </c>
      <c r="Q78" s="601">
        <f t="shared" si="9"/>
        <v>348.3619186445236</v>
      </c>
      <c r="S78" s="63"/>
      <c r="T78" s="63"/>
    </row>
    <row r="79" spans="1:20" ht="12.75" customHeight="1">
      <c r="A79" s="1321"/>
      <c r="B79" s="24">
        <v>6</v>
      </c>
      <c r="C79" s="833" t="s">
        <v>128</v>
      </c>
      <c r="D79" s="480">
        <v>83</v>
      </c>
      <c r="E79" s="480">
        <v>1963</v>
      </c>
      <c r="F79" s="607">
        <v>95.41</v>
      </c>
      <c r="G79" s="607">
        <v>9.63</v>
      </c>
      <c r="H79" s="834">
        <v>1.33</v>
      </c>
      <c r="I79" s="607">
        <f t="shared" si="10"/>
        <v>84.45</v>
      </c>
      <c r="J79" s="590">
        <v>4480.8</v>
      </c>
      <c r="K79" s="607">
        <f t="shared" si="4"/>
        <v>69.65881092662025</v>
      </c>
      <c r="L79" s="480">
        <v>3696</v>
      </c>
      <c r="M79" s="581">
        <f t="shared" si="5"/>
        <v>0.01884708087841457</v>
      </c>
      <c r="N79" s="935">
        <f t="shared" si="6"/>
        <v>320.896</v>
      </c>
      <c r="O79" s="671">
        <f t="shared" si="7"/>
        <v>6.047952865559722</v>
      </c>
      <c r="P79" s="550">
        <f t="shared" si="8"/>
        <v>1130.824852704874</v>
      </c>
      <c r="Q79" s="601">
        <f t="shared" si="9"/>
        <v>362.87717193358327</v>
      </c>
      <c r="S79" s="63"/>
      <c r="T79" s="63"/>
    </row>
    <row r="80" spans="1:20" s="67" customFormat="1" ht="12.75" customHeight="1">
      <c r="A80" s="1321"/>
      <c r="B80" s="69">
        <v>7</v>
      </c>
      <c r="C80" s="833" t="s">
        <v>118</v>
      </c>
      <c r="D80" s="480">
        <v>92</v>
      </c>
      <c r="E80" s="480">
        <v>1991</v>
      </c>
      <c r="F80" s="607">
        <v>95.83</v>
      </c>
      <c r="G80" s="607">
        <v>8.36</v>
      </c>
      <c r="H80" s="834">
        <v>15.12</v>
      </c>
      <c r="I80" s="607">
        <f t="shared" si="10"/>
        <v>72.35</v>
      </c>
      <c r="J80" s="590">
        <v>3720.6</v>
      </c>
      <c r="K80" s="607">
        <f t="shared" si="4"/>
        <v>68.95476536042574</v>
      </c>
      <c r="L80" s="480">
        <v>3546</v>
      </c>
      <c r="M80" s="581">
        <f t="shared" si="5"/>
        <v>0.019445788313712842</v>
      </c>
      <c r="N80" s="935">
        <f t="shared" si="6"/>
        <v>320.896</v>
      </c>
      <c r="O80" s="671">
        <f t="shared" si="7"/>
        <v>6.240075686717197</v>
      </c>
      <c r="P80" s="550">
        <f t="shared" si="8"/>
        <v>1166.7472988227705</v>
      </c>
      <c r="Q80" s="601">
        <f t="shared" si="9"/>
        <v>374.4045412030318</v>
      </c>
      <c r="S80" s="63"/>
      <c r="T80" s="63"/>
    </row>
    <row r="81" spans="1:20" ht="12.75" customHeight="1">
      <c r="A81" s="1321"/>
      <c r="B81" s="61">
        <v>8</v>
      </c>
      <c r="C81" s="833" t="s">
        <v>113</v>
      </c>
      <c r="D81" s="480">
        <v>54</v>
      </c>
      <c r="E81" s="480">
        <v>1987</v>
      </c>
      <c r="F81" s="607">
        <v>56.99</v>
      </c>
      <c r="G81" s="607">
        <v>5.3</v>
      </c>
      <c r="H81" s="834">
        <v>8.4</v>
      </c>
      <c r="I81" s="607">
        <f t="shared" si="10"/>
        <v>43.290000000000006</v>
      </c>
      <c r="J81" s="590">
        <v>2177.6</v>
      </c>
      <c r="K81" s="607">
        <f t="shared" si="4"/>
        <v>43.297951873622345</v>
      </c>
      <c r="L81" s="480">
        <v>2178</v>
      </c>
      <c r="M81" s="581">
        <f t="shared" si="5"/>
        <v>0.0198796840558413</v>
      </c>
      <c r="N81" s="935">
        <f t="shared" si="6"/>
        <v>320.896</v>
      </c>
      <c r="O81" s="671">
        <f t="shared" si="7"/>
        <v>6.379311094783249</v>
      </c>
      <c r="P81" s="550">
        <f t="shared" si="8"/>
        <v>1192.781043350478</v>
      </c>
      <c r="Q81" s="601">
        <f t="shared" si="9"/>
        <v>382.758665686995</v>
      </c>
      <c r="S81" s="63"/>
      <c r="T81" s="63"/>
    </row>
    <row r="82" spans="1:20" s="67" customFormat="1" ht="12.75" customHeight="1">
      <c r="A82" s="1321"/>
      <c r="B82" s="69">
        <v>9</v>
      </c>
      <c r="C82" s="833" t="s">
        <v>116</v>
      </c>
      <c r="D82" s="480">
        <v>38</v>
      </c>
      <c r="E82" s="480">
        <v>1990</v>
      </c>
      <c r="F82" s="607">
        <v>54.13</v>
      </c>
      <c r="G82" s="607">
        <v>4.97</v>
      </c>
      <c r="H82" s="834">
        <v>5.84</v>
      </c>
      <c r="I82" s="607">
        <f t="shared" si="10"/>
        <v>43.32000000000001</v>
      </c>
      <c r="J82" s="590">
        <v>2119.3</v>
      </c>
      <c r="K82" s="607">
        <f t="shared" si="4"/>
        <v>43.313867786533294</v>
      </c>
      <c r="L82" s="480">
        <v>2119</v>
      </c>
      <c r="M82" s="581">
        <f t="shared" si="5"/>
        <v>0.020440711555702356</v>
      </c>
      <c r="N82" s="935">
        <f t="shared" si="6"/>
        <v>320.896</v>
      </c>
      <c r="O82" s="671">
        <f t="shared" si="7"/>
        <v>6.559342575378664</v>
      </c>
      <c r="P82" s="550">
        <f t="shared" si="8"/>
        <v>1226.4426933421412</v>
      </c>
      <c r="Q82" s="601">
        <f t="shared" si="9"/>
        <v>393.56055452271977</v>
      </c>
      <c r="S82" s="63"/>
      <c r="T82" s="63"/>
    </row>
    <row r="83" spans="1:20" ht="12.75" customHeight="1" thickBot="1">
      <c r="A83" s="1322"/>
      <c r="B83" s="25">
        <v>10</v>
      </c>
      <c r="C83" s="1056" t="s">
        <v>122</v>
      </c>
      <c r="D83" s="489">
        <v>103</v>
      </c>
      <c r="E83" s="489">
        <v>1972</v>
      </c>
      <c r="F83" s="532">
        <v>81.39</v>
      </c>
      <c r="G83" s="532">
        <v>8.55</v>
      </c>
      <c r="H83" s="926">
        <v>15.9</v>
      </c>
      <c r="I83" s="532">
        <f t="shared" si="10"/>
        <v>56.940000000000005</v>
      </c>
      <c r="J83" s="533">
        <v>2557.5</v>
      </c>
      <c r="K83" s="532">
        <f t="shared" si="4"/>
        <v>54.4130439882698</v>
      </c>
      <c r="L83" s="489">
        <v>2444</v>
      </c>
      <c r="M83" s="534">
        <f t="shared" si="5"/>
        <v>0.02226392961876833</v>
      </c>
      <c r="N83" s="936">
        <f t="shared" si="6"/>
        <v>320.896</v>
      </c>
      <c r="O83" s="536">
        <f t="shared" si="7"/>
        <v>7.144405958944282</v>
      </c>
      <c r="P83" s="535">
        <f t="shared" si="8"/>
        <v>1335.8357771260999</v>
      </c>
      <c r="Q83" s="537">
        <f t="shared" si="9"/>
        <v>428.66435753665695</v>
      </c>
      <c r="S83" s="63"/>
      <c r="T83" s="63"/>
    </row>
    <row r="84" spans="1:20" ht="12.75">
      <c r="A84" s="1306" t="s">
        <v>49</v>
      </c>
      <c r="B84" s="59">
        <v>1</v>
      </c>
      <c r="C84" s="1057" t="s">
        <v>115</v>
      </c>
      <c r="D84" s="468">
        <v>118</v>
      </c>
      <c r="E84" s="468">
        <v>1961</v>
      </c>
      <c r="F84" s="556">
        <v>70.25</v>
      </c>
      <c r="G84" s="556">
        <v>10.68</v>
      </c>
      <c r="H84" s="927"/>
      <c r="I84" s="773">
        <f t="shared" si="10"/>
        <v>59.57</v>
      </c>
      <c r="J84" s="592">
        <v>2623</v>
      </c>
      <c r="K84" s="556">
        <f t="shared" si="4"/>
        <v>56.958276782310335</v>
      </c>
      <c r="L84" s="468">
        <v>2508</v>
      </c>
      <c r="M84" s="583">
        <f t="shared" si="5"/>
        <v>0.022710636675562335</v>
      </c>
      <c r="N84" s="937">
        <f t="shared" si="6"/>
        <v>320.896</v>
      </c>
      <c r="O84" s="672">
        <f t="shared" si="7"/>
        <v>7.287752466641251</v>
      </c>
      <c r="P84" s="555">
        <f t="shared" si="8"/>
        <v>1362.63820053374</v>
      </c>
      <c r="Q84" s="557">
        <f t="shared" si="9"/>
        <v>437.2651479984751</v>
      </c>
      <c r="S84" s="63"/>
      <c r="T84" s="63"/>
    </row>
    <row r="85" spans="1:20" ht="12.75" customHeight="1">
      <c r="A85" s="1306"/>
      <c r="B85" s="29">
        <v>2</v>
      </c>
      <c r="C85" s="776" t="s">
        <v>117</v>
      </c>
      <c r="D85" s="470">
        <v>108</v>
      </c>
      <c r="E85" s="470">
        <v>1968</v>
      </c>
      <c r="F85" s="609">
        <v>87.67</v>
      </c>
      <c r="G85" s="609">
        <v>10.34</v>
      </c>
      <c r="H85" s="641">
        <v>17.2</v>
      </c>
      <c r="I85" s="609">
        <f t="shared" si="10"/>
        <v>60.129999999999995</v>
      </c>
      <c r="J85" s="593">
        <v>2558.4</v>
      </c>
      <c r="K85" s="609">
        <f t="shared" si="4"/>
        <v>60.12059881175734</v>
      </c>
      <c r="L85" s="470">
        <v>2558</v>
      </c>
      <c r="M85" s="584">
        <f t="shared" si="5"/>
        <v>0.02350297060662914</v>
      </c>
      <c r="N85" s="938">
        <f t="shared" si="6"/>
        <v>320.896</v>
      </c>
      <c r="O85" s="618">
        <f t="shared" si="7"/>
        <v>7.5420092557848655</v>
      </c>
      <c r="P85" s="558">
        <f t="shared" si="8"/>
        <v>1410.1782363977484</v>
      </c>
      <c r="Q85" s="602">
        <f t="shared" si="9"/>
        <v>452.5205553470919</v>
      </c>
      <c r="S85" s="63"/>
      <c r="T85" s="63"/>
    </row>
    <row r="86" spans="1:20" ht="12.75" customHeight="1">
      <c r="A86" s="1306"/>
      <c r="B86" s="29">
        <v>3</v>
      </c>
      <c r="C86" s="776" t="s">
        <v>120</v>
      </c>
      <c r="D86" s="470">
        <v>82</v>
      </c>
      <c r="E86" s="470">
        <v>1962</v>
      </c>
      <c r="F86" s="609">
        <v>37.63</v>
      </c>
      <c r="G86" s="609">
        <v>5.42</v>
      </c>
      <c r="H86" s="641"/>
      <c r="I86" s="609">
        <f t="shared" si="10"/>
        <v>32.21</v>
      </c>
      <c r="J86" s="593">
        <v>1348.7</v>
      </c>
      <c r="K86" s="609">
        <f t="shared" si="4"/>
        <v>30.091643805145694</v>
      </c>
      <c r="L86" s="470">
        <v>1260</v>
      </c>
      <c r="M86" s="584">
        <f t="shared" si="5"/>
        <v>0.02388225698821087</v>
      </c>
      <c r="N86" s="938">
        <f t="shared" si="6"/>
        <v>320.896</v>
      </c>
      <c r="O86" s="618">
        <f t="shared" si="7"/>
        <v>7.663720738488915</v>
      </c>
      <c r="P86" s="558">
        <f t="shared" si="8"/>
        <v>1432.935419292652</v>
      </c>
      <c r="Q86" s="602">
        <f t="shared" si="9"/>
        <v>459.8232443093349</v>
      </c>
      <c r="S86" s="63"/>
      <c r="T86" s="63"/>
    </row>
    <row r="87" spans="1:20" ht="12.75" customHeight="1">
      <c r="A87" s="1306"/>
      <c r="B87" s="29">
        <v>4</v>
      </c>
      <c r="C87" s="776" t="s">
        <v>119</v>
      </c>
      <c r="D87" s="470">
        <v>29</v>
      </c>
      <c r="E87" s="470">
        <v>1961</v>
      </c>
      <c r="F87" s="609">
        <v>38.45</v>
      </c>
      <c r="G87" s="609">
        <v>3.61</v>
      </c>
      <c r="H87" s="641"/>
      <c r="I87" s="609">
        <f t="shared" si="10"/>
        <v>34.84</v>
      </c>
      <c r="J87" s="593">
        <v>1423.9</v>
      </c>
      <c r="K87" s="609">
        <f t="shared" si="4"/>
        <v>31.392457335487045</v>
      </c>
      <c r="L87" s="470">
        <v>1283</v>
      </c>
      <c r="M87" s="584">
        <f t="shared" si="5"/>
        <v>0.024468010393988344</v>
      </c>
      <c r="N87" s="938">
        <f t="shared" si="6"/>
        <v>320.896</v>
      </c>
      <c r="O87" s="618">
        <f t="shared" si="7"/>
        <v>7.851686663389284</v>
      </c>
      <c r="P87" s="558">
        <f t="shared" si="8"/>
        <v>1468.0806236393007</v>
      </c>
      <c r="Q87" s="602">
        <f t="shared" si="9"/>
        <v>471.1011998033571</v>
      </c>
      <c r="S87" s="63"/>
      <c r="T87" s="63"/>
    </row>
    <row r="88" spans="1:20" ht="12.75" customHeight="1">
      <c r="A88" s="1306"/>
      <c r="B88" s="29">
        <v>5</v>
      </c>
      <c r="C88" s="776" t="s">
        <v>123</v>
      </c>
      <c r="D88" s="470">
        <v>55</v>
      </c>
      <c r="E88" s="470">
        <v>1977</v>
      </c>
      <c r="F88" s="609">
        <v>69.05</v>
      </c>
      <c r="G88" s="609">
        <v>4.61</v>
      </c>
      <c r="H88" s="641">
        <v>8.56</v>
      </c>
      <c r="I88" s="642">
        <f t="shared" si="10"/>
        <v>55.879999999999995</v>
      </c>
      <c r="J88" s="593">
        <v>2217.3</v>
      </c>
      <c r="K88" s="609">
        <f t="shared" si="4"/>
        <v>55.87243945338925</v>
      </c>
      <c r="L88" s="470">
        <v>2217</v>
      </c>
      <c r="M88" s="584">
        <f t="shared" si="5"/>
        <v>0.025201822035809313</v>
      </c>
      <c r="N88" s="938">
        <f t="shared" si="6"/>
        <v>320.896</v>
      </c>
      <c r="O88" s="618">
        <f t="shared" si="7"/>
        <v>8.087163884003065</v>
      </c>
      <c r="P88" s="558">
        <f t="shared" si="8"/>
        <v>1512.1093221485587</v>
      </c>
      <c r="Q88" s="602">
        <f t="shared" si="9"/>
        <v>485.22983304018396</v>
      </c>
      <c r="S88" s="63"/>
      <c r="T88" s="63"/>
    </row>
    <row r="89" spans="1:20" ht="12.75" customHeight="1">
      <c r="A89" s="1306"/>
      <c r="B89" s="29">
        <v>6</v>
      </c>
      <c r="C89" s="776" t="s">
        <v>121</v>
      </c>
      <c r="D89" s="470">
        <v>77</v>
      </c>
      <c r="E89" s="470">
        <v>1960</v>
      </c>
      <c r="F89" s="609">
        <v>42.42</v>
      </c>
      <c r="G89" s="609">
        <v>6.27</v>
      </c>
      <c r="H89" s="641">
        <v>1.14</v>
      </c>
      <c r="I89" s="609">
        <f t="shared" si="10"/>
        <v>35.010000000000005</v>
      </c>
      <c r="J89" s="593">
        <v>1264.2</v>
      </c>
      <c r="K89" s="609">
        <f t="shared" si="4"/>
        <v>34.5890602752729</v>
      </c>
      <c r="L89" s="470">
        <v>1249</v>
      </c>
      <c r="M89" s="584">
        <f t="shared" si="5"/>
        <v>0.027693402942572377</v>
      </c>
      <c r="N89" s="938">
        <f t="shared" si="6"/>
        <v>320.896</v>
      </c>
      <c r="O89" s="618">
        <f t="shared" si="7"/>
        <v>8.886702230659706</v>
      </c>
      <c r="P89" s="558">
        <f t="shared" si="8"/>
        <v>1661.6041765543425</v>
      </c>
      <c r="Q89" s="602">
        <f t="shared" si="9"/>
        <v>533.2021338395823</v>
      </c>
      <c r="S89" s="63"/>
      <c r="T89" s="63"/>
    </row>
    <row r="90" spans="1:20" ht="12.75" customHeight="1">
      <c r="A90" s="1306"/>
      <c r="B90" s="29">
        <v>7</v>
      </c>
      <c r="C90" s="776" t="s">
        <v>125</v>
      </c>
      <c r="D90" s="470">
        <v>19</v>
      </c>
      <c r="E90" s="470">
        <v>1959</v>
      </c>
      <c r="F90" s="609">
        <v>32.04</v>
      </c>
      <c r="G90" s="609">
        <v>1.93</v>
      </c>
      <c r="H90" s="641"/>
      <c r="I90" s="609">
        <f t="shared" si="10"/>
        <v>30.11</v>
      </c>
      <c r="J90" s="593">
        <v>1005.8</v>
      </c>
      <c r="K90" s="609">
        <f t="shared" si="4"/>
        <v>30.115987273811893</v>
      </c>
      <c r="L90" s="470">
        <v>1006</v>
      </c>
      <c r="M90" s="584">
        <f t="shared" si="5"/>
        <v>0.02993636905945516</v>
      </c>
      <c r="N90" s="938">
        <f t="shared" si="6"/>
        <v>320.896</v>
      </c>
      <c r="O90" s="618">
        <f t="shared" si="7"/>
        <v>9.606461085702923</v>
      </c>
      <c r="P90" s="558">
        <f t="shared" si="8"/>
        <v>1796.1821435673096</v>
      </c>
      <c r="Q90" s="602">
        <f t="shared" si="9"/>
        <v>576.3876651421754</v>
      </c>
      <c r="S90" s="63"/>
      <c r="T90" s="63"/>
    </row>
    <row r="91" spans="1:20" ht="13.5" customHeight="1">
      <c r="A91" s="1306"/>
      <c r="B91" s="64">
        <v>8</v>
      </c>
      <c r="C91" s="776" t="s">
        <v>124</v>
      </c>
      <c r="D91" s="470">
        <v>25</v>
      </c>
      <c r="E91" s="470">
        <v>1957</v>
      </c>
      <c r="F91" s="609">
        <v>53.48</v>
      </c>
      <c r="G91" s="609"/>
      <c r="H91" s="641"/>
      <c r="I91" s="609">
        <v>53.48</v>
      </c>
      <c r="J91" s="593">
        <v>1561.5</v>
      </c>
      <c r="K91" s="609">
        <f t="shared" si="4"/>
        <v>53.497124559718216</v>
      </c>
      <c r="L91" s="470">
        <v>1562</v>
      </c>
      <c r="M91" s="584">
        <f t="shared" si="5"/>
        <v>0.03424911943643932</v>
      </c>
      <c r="N91" s="938">
        <f t="shared" si="6"/>
        <v>320.896</v>
      </c>
      <c r="O91" s="618">
        <f t="shared" si="7"/>
        <v>10.990405430675631</v>
      </c>
      <c r="P91" s="558">
        <f t="shared" si="8"/>
        <v>2054.947166186359</v>
      </c>
      <c r="Q91" s="602">
        <f t="shared" si="9"/>
        <v>659.4243258405379</v>
      </c>
      <c r="S91" s="63"/>
      <c r="T91" s="63"/>
    </row>
    <row r="92" spans="1:20" ht="12.75" customHeight="1">
      <c r="A92" s="1306"/>
      <c r="B92" s="29">
        <v>9</v>
      </c>
      <c r="C92" s="776" t="s">
        <v>126</v>
      </c>
      <c r="D92" s="470">
        <v>63</v>
      </c>
      <c r="E92" s="470">
        <v>1960</v>
      </c>
      <c r="F92" s="609">
        <v>36.53</v>
      </c>
      <c r="G92" s="609">
        <v>4.36</v>
      </c>
      <c r="H92" s="641"/>
      <c r="I92" s="609">
        <f>F92-G92-H92</f>
        <v>32.17</v>
      </c>
      <c r="J92" s="593">
        <v>924</v>
      </c>
      <c r="K92" s="609">
        <f t="shared" si="4"/>
        <v>31.682575757575762</v>
      </c>
      <c r="L92" s="470">
        <v>910</v>
      </c>
      <c r="M92" s="584">
        <f t="shared" si="5"/>
        <v>0.03481601731601732</v>
      </c>
      <c r="N92" s="938">
        <f t="shared" si="6"/>
        <v>320.896</v>
      </c>
      <c r="O92" s="618">
        <f t="shared" si="7"/>
        <v>11.172320692640694</v>
      </c>
      <c r="P92" s="558">
        <f t="shared" si="8"/>
        <v>2088.9610389610393</v>
      </c>
      <c r="Q92" s="602">
        <f t="shared" si="9"/>
        <v>670.3392415584417</v>
      </c>
      <c r="S92" s="63"/>
      <c r="T92" s="63"/>
    </row>
    <row r="93" spans="1:20" ht="12.75" customHeight="1" thickBot="1">
      <c r="A93" s="1307"/>
      <c r="B93" s="33">
        <v>10</v>
      </c>
      <c r="C93" s="777" t="s">
        <v>197</v>
      </c>
      <c r="D93" s="474">
        <v>8</v>
      </c>
      <c r="E93" s="474">
        <v>1901</v>
      </c>
      <c r="F93" s="610">
        <v>11.54</v>
      </c>
      <c r="G93" s="610"/>
      <c r="H93" s="643"/>
      <c r="I93" s="610">
        <v>11.54</v>
      </c>
      <c r="J93" s="594">
        <v>330</v>
      </c>
      <c r="K93" s="610">
        <f t="shared" si="4"/>
        <v>11.540000000000001</v>
      </c>
      <c r="L93" s="474">
        <v>330</v>
      </c>
      <c r="M93" s="585">
        <f t="shared" si="5"/>
        <v>0.03496969696969697</v>
      </c>
      <c r="N93" s="939">
        <f t="shared" si="6"/>
        <v>320.896</v>
      </c>
      <c r="O93" s="619">
        <f t="shared" si="7"/>
        <v>11.221635878787879</v>
      </c>
      <c r="P93" s="490">
        <f t="shared" si="8"/>
        <v>2098.181818181818</v>
      </c>
      <c r="Q93" s="603">
        <f t="shared" si="9"/>
        <v>673.2981527272727</v>
      </c>
      <c r="S93" s="63"/>
      <c r="T93" s="63"/>
    </row>
    <row r="94" spans="3:20" ht="12.75">
      <c r="C94" s="1"/>
      <c r="N94" s="198"/>
      <c r="S94" s="63"/>
      <c r="T94" s="63"/>
    </row>
    <row r="95" spans="1:20" ht="15">
      <c r="A95" s="1304" t="s">
        <v>53</v>
      </c>
      <c r="B95" s="1304"/>
      <c r="C95" s="1304"/>
      <c r="D95" s="1304"/>
      <c r="E95" s="1304"/>
      <c r="F95" s="1304"/>
      <c r="G95" s="1304"/>
      <c r="H95" s="1304"/>
      <c r="I95" s="1304"/>
      <c r="J95" s="1304"/>
      <c r="K95" s="1304"/>
      <c r="L95" s="1304"/>
      <c r="M95" s="1304"/>
      <c r="N95" s="1304"/>
      <c r="O95" s="1304"/>
      <c r="P95" s="1304"/>
      <c r="Q95" s="1304"/>
      <c r="S95" s="63"/>
      <c r="T95" s="63"/>
    </row>
    <row r="96" spans="1:20" ht="13.5" thickBot="1">
      <c r="A96" s="1200" t="s">
        <v>627</v>
      </c>
      <c r="B96" s="1255"/>
      <c r="C96" s="1255"/>
      <c r="D96" s="1255"/>
      <c r="E96" s="1255"/>
      <c r="F96" s="1255"/>
      <c r="G96" s="1255"/>
      <c r="H96" s="1255"/>
      <c r="I96" s="1255"/>
      <c r="J96" s="1255"/>
      <c r="K96" s="1255"/>
      <c r="L96" s="1255"/>
      <c r="M96" s="1255"/>
      <c r="N96" s="1255"/>
      <c r="O96" s="1255"/>
      <c r="P96" s="1255"/>
      <c r="Q96" s="1255"/>
      <c r="S96" s="63"/>
      <c r="T96" s="63"/>
    </row>
    <row r="97" spans="1:20" ht="12.75" customHeight="1">
      <c r="A97" s="1201" t="s">
        <v>1</v>
      </c>
      <c r="B97" s="1203" t="s">
        <v>0</v>
      </c>
      <c r="C97" s="1193" t="s">
        <v>2</v>
      </c>
      <c r="D97" s="1193" t="s">
        <v>3</v>
      </c>
      <c r="E97" s="1193" t="s">
        <v>13</v>
      </c>
      <c r="F97" s="1207" t="s">
        <v>14</v>
      </c>
      <c r="G97" s="1208"/>
      <c r="H97" s="1208"/>
      <c r="I97" s="1209"/>
      <c r="J97" s="1193" t="s">
        <v>4</v>
      </c>
      <c r="K97" s="1193" t="s">
        <v>15</v>
      </c>
      <c r="L97" s="1193" t="s">
        <v>5</v>
      </c>
      <c r="M97" s="1193" t="s">
        <v>6</v>
      </c>
      <c r="N97" s="1193" t="s">
        <v>16</v>
      </c>
      <c r="O97" s="1193" t="s">
        <v>17</v>
      </c>
      <c r="P97" s="1193" t="s">
        <v>25</v>
      </c>
      <c r="Q97" s="1315" t="s">
        <v>26</v>
      </c>
      <c r="S97" s="63"/>
      <c r="T97" s="63"/>
    </row>
    <row r="98" spans="1:20" ht="55.5" customHeight="1">
      <c r="A98" s="1317"/>
      <c r="B98" s="1318"/>
      <c r="C98" s="1194"/>
      <c r="D98" s="1194"/>
      <c r="E98" s="1194"/>
      <c r="F98" s="106" t="s">
        <v>18</v>
      </c>
      <c r="G98" s="107" t="s">
        <v>19</v>
      </c>
      <c r="H98" s="107" t="s">
        <v>32</v>
      </c>
      <c r="I98" s="106" t="s">
        <v>21</v>
      </c>
      <c r="J98" s="1194"/>
      <c r="K98" s="1194"/>
      <c r="L98" s="1194"/>
      <c r="M98" s="1194"/>
      <c r="N98" s="1194"/>
      <c r="O98" s="1194"/>
      <c r="P98" s="1194"/>
      <c r="Q98" s="1316"/>
      <c r="S98" s="63"/>
      <c r="T98" s="63"/>
    </row>
    <row r="99" spans="1:20" ht="13.5" customHeight="1" thickBot="1">
      <c r="A99" s="189"/>
      <c r="B99" s="190"/>
      <c r="C99" s="191"/>
      <c r="D99" s="782" t="s">
        <v>7</v>
      </c>
      <c r="E99" s="186" t="s">
        <v>8</v>
      </c>
      <c r="F99" s="186" t="s">
        <v>9</v>
      </c>
      <c r="G99" s="186" t="s">
        <v>9</v>
      </c>
      <c r="H99" s="186" t="s">
        <v>9</v>
      </c>
      <c r="I99" s="186" t="s">
        <v>9</v>
      </c>
      <c r="J99" s="186" t="s">
        <v>22</v>
      </c>
      <c r="K99" s="186" t="s">
        <v>9</v>
      </c>
      <c r="L99" s="186" t="s">
        <v>22</v>
      </c>
      <c r="M99" s="186" t="s">
        <v>145</v>
      </c>
      <c r="N99" s="187" t="s">
        <v>10</v>
      </c>
      <c r="O99" s="186" t="s">
        <v>146</v>
      </c>
      <c r="P99" s="187" t="s">
        <v>27</v>
      </c>
      <c r="Q99" s="188" t="s">
        <v>28</v>
      </c>
      <c r="S99" s="63"/>
      <c r="T99" s="63"/>
    </row>
    <row r="100" spans="1:20" ht="12.75" customHeight="1">
      <c r="A100" s="1326" t="s">
        <v>196</v>
      </c>
      <c r="B100" s="20">
        <v>1</v>
      </c>
      <c r="C100" s="791" t="s">
        <v>628</v>
      </c>
      <c r="D100" s="98">
        <v>120</v>
      </c>
      <c r="E100" s="98">
        <v>1966</v>
      </c>
      <c r="F100" s="201">
        <v>44.906</v>
      </c>
      <c r="G100" s="201">
        <v>7.647</v>
      </c>
      <c r="H100" s="201">
        <v>12</v>
      </c>
      <c r="I100" s="201">
        <f>F100-G100-H100</f>
        <v>25.259</v>
      </c>
      <c r="J100" s="348">
        <v>5780.94</v>
      </c>
      <c r="K100" s="201">
        <f>I100</f>
        <v>25.259</v>
      </c>
      <c r="L100" s="348">
        <f>J100</f>
        <v>5780.94</v>
      </c>
      <c r="M100" s="254">
        <f>K100/L100</f>
        <v>0.0043693586164187835</v>
      </c>
      <c r="N100" s="253">
        <v>279.5</v>
      </c>
      <c r="O100" s="255">
        <f>M100*N100</f>
        <v>1.22123573328905</v>
      </c>
      <c r="P100" s="255">
        <f>M100*60*1000</f>
        <v>262.16151698512704</v>
      </c>
      <c r="Q100" s="164">
        <f>P100*N100/1000</f>
        <v>73.274143997343</v>
      </c>
      <c r="S100" s="63"/>
      <c r="T100" s="63"/>
    </row>
    <row r="101" spans="1:20" ht="12.75">
      <c r="A101" s="1327"/>
      <c r="B101" s="21">
        <v>2</v>
      </c>
      <c r="C101" s="778" t="s">
        <v>629</v>
      </c>
      <c r="D101" s="99">
        <v>90</v>
      </c>
      <c r="E101" s="99">
        <v>1970</v>
      </c>
      <c r="F101" s="202">
        <v>43.928</v>
      </c>
      <c r="G101" s="202">
        <v>11.01685</v>
      </c>
      <c r="H101" s="202">
        <v>8.97</v>
      </c>
      <c r="I101" s="207">
        <f aca="true" t="shared" si="11" ref="I101:I139">F101-G101-H101</f>
        <v>23.94115</v>
      </c>
      <c r="J101" s="220">
        <v>4523.53</v>
      </c>
      <c r="K101" s="207">
        <f aca="true" t="shared" si="12" ref="K101:L139">I101</f>
        <v>23.94115</v>
      </c>
      <c r="L101" s="219">
        <f t="shared" si="12"/>
        <v>4523.53</v>
      </c>
      <c r="M101" s="108">
        <f aca="true" t="shared" si="13" ref="M101:M109">K101/L101</f>
        <v>0.00529258123633534</v>
      </c>
      <c r="N101" s="127">
        <v>279.5</v>
      </c>
      <c r="O101" s="110">
        <f aca="true" t="shared" si="14" ref="O101:O119">M101*N101</f>
        <v>1.4792764555557276</v>
      </c>
      <c r="P101" s="130">
        <f aca="true" t="shared" si="15" ref="P101:P119">M101*60*1000</f>
        <v>317.5548741801204</v>
      </c>
      <c r="Q101" s="111">
        <f aca="true" t="shared" si="16" ref="Q101:Q119">P101*N101/1000</f>
        <v>88.75658733334365</v>
      </c>
      <c r="S101" s="63"/>
      <c r="T101" s="63"/>
    </row>
    <row r="102" spans="1:20" ht="12.75">
      <c r="A102" s="1327"/>
      <c r="B102" s="21">
        <v>3</v>
      </c>
      <c r="C102" s="778" t="s">
        <v>630</v>
      </c>
      <c r="D102" s="99">
        <v>63</v>
      </c>
      <c r="E102" s="99">
        <v>1982</v>
      </c>
      <c r="F102" s="202">
        <v>30.24495</v>
      </c>
      <c r="G102" s="202">
        <v>3.94893</v>
      </c>
      <c r="H102" s="202">
        <v>6</v>
      </c>
      <c r="I102" s="207">
        <f t="shared" si="11"/>
        <v>20.29602</v>
      </c>
      <c r="J102" s="220">
        <v>3277.27</v>
      </c>
      <c r="K102" s="207">
        <f t="shared" si="12"/>
        <v>20.29602</v>
      </c>
      <c r="L102" s="219">
        <f t="shared" si="12"/>
        <v>3277.27</v>
      </c>
      <c r="M102" s="108">
        <f t="shared" si="13"/>
        <v>0.006192965486517742</v>
      </c>
      <c r="N102" s="127">
        <v>279.5</v>
      </c>
      <c r="O102" s="110">
        <f t="shared" si="14"/>
        <v>1.730933853481709</v>
      </c>
      <c r="P102" s="130">
        <f t="shared" si="15"/>
        <v>371.5779291910645</v>
      </c>
      <c r="Q102" s="111">
        <f t="shared" si="16"/>
        <v>103.85603120890254</v>
      </c>
      <c r="S102" s="63"/>
      <c r="T102" s="63"/>
    </row>
    <row r="103" spans="1:20" ht="12.75">
      <c r="A103" s="1327"/>
      <c r="B103" s="21">
        <v>4</v>
      </c>
      <c r="C103" s="778" t="s">
        <v>631</v>
      </c>
      <c r="D103" s="99">
        <v>60</v>
      </c>
      <c r="E103" s="99">
        <v>1972</v>
      </c>
      <c r="F103" s="202">
        <v>32.248</v>
      </c>
      <c r="G103" s="202">
        <v>3.28256</v>
      </c>
      <c r="H103" s="202">
        <v>5.97</v>
      </c>
      <c r="I103" s="207">
        <f t="shared" si="11"/>
        <v>22.99544</v>
      </c>
      <c r="J103" s="220">
        <v>3118</v>
      </c>
      <c r="K103" s="207">
        <f t="shared" si="12"/>
        <v>22.99544</v>
      </c>
      <c r="L103" s="219">
        <f t="shared" si="12"/>
        <v>3118</v>
      </c>
      <c r="M103" s="108">
        <f t="shared" si="13"/>
        <v>0.0073750609364977545</v>
      </c>
      <c r="N103" s="127">
        <v>279.5</v>
      </c>
      <c r="O103" s="110">
        <f t="shared" si="14"/>
        <v>2.0613295317511224</v>
      </c>
      <c r="P103" s="130">
        <f t="shared" si="15"/>
        <v>442.50365618986524</v>
      </c>
      <c r="Q103" s="111">
        <f t="shared" si="16"/>
        <v>123.67977190506733</v>
      </c>
      <c r="S103" s="63"/>
      <c r="T103" s="63"/>
    </row>
    <row r="104" spans="1:20" ht="12.75">
      <c r="A104" s="1327"/>
      <c r="B104" s="21">
        <v>5</v>
      </c>
      <c r="C104" s="778" t="s">
        <v>632</v>
      </c>
      <c r="D104" s="99">
        <v>20</v>
      </c>
      <c r="E104" s="99">
        <v>1971</v>
      </c>
      <c r="F104" s="202">
        <v>10.25234</v>
      </c>
      <c r="G104" s="202">
        <v>2.519</v>
      </c>
      <c r="H104" s="202">
        <v>0</v>
      </c>
      <c r="I104" s="207">
        <f t="shared" si="11"/>
        <v>7.73334</v>
      </c>
      <c r="J104" s="220">
        <v>964.74</v>
      </c>
      <c r="K104" s="207">
        <f t="shared" si="12"/>
        <v>7.73334</v>
      </c>
      <c r="L104" s="219">
        <f t="shared" si="12"/>
        <v>964.74</v>
      </c>
      <c r="M104" s="108">
        <f t="shared" si="13"/>
        <v>0.008015983581068474</v>
      </c>
      <c r="N104" s="127">
        <v>279.5</v>
      </c>
      <c r="O104" s="110">
        <f t="shared" si="14"/>
        <v>2.2404674109086384</v>
      </c>
      <c r="P104" s="130">
        <f t="shared" si="15"/>
        <v>480.95901486410844</v>
      </c>
      <c r="Q104" s="111">
        <f t="shared" si="16"/>
        <v>134.42804465451832</v>
      </c>
      <c r="S104" s="63"/>
      <c r="T104" s="63"/>
    </row>
    <row r="105" spans="1:20" ht="12.75">
      <c r="A105" s="1327"/>
      <c r="B105" s="21">
        <v>6</v>
      </c>
      <c r="C105" s="778" t="s">
        <v>633</v>
      </c>
      <c r="D105" s="99">
        <v>145</v>
      </c>
      <c r="E105" s="99">
        <v>1979</v>
      </c>
      <c r="F105" s="202">
        <v>106.9889</v>
      </c>
      <c r="G105" s="202">
        <v>27.29416</v>
      </c>
      <c r="H105" s="202">
        <v>14.4</v>
      </c>
      <c r="I105" s="207">
        <f t="shared" si="11"/>
        <v>65.29473999999999</v>
      </c>
      <c r="J105" s="220">
        <v>7579.44</v>
      </c>
      <c r="K105" s="207">
        <f t="shared" si="12"/>
        <v>65.29473999999999</v>
      </c>
      <c r="L105" s="219">
        <f t="shared" si="12"/>
        <v>7579.44</v>
      </c>
      <c r="M105" s="108">
        <f t="shared" si="13"/>
        <v>0.00861471823775899</v>
      </c>
      <c r="N105" s="127">
        <v>279.5</v>
      </c>
      <c r="O105" s="110">
        <f t="shared" si="14"/>
        <v>2.4078137474536376</v>
      </c>
      <c r="P105" s="130">
        <f t="shared" si="15"/>
        <v>516.8830942655394</v>
      </c>
      <c r="Q105" s="111">
        <f t="shared" si="16"/>
        <v>144.46882484721826</v>
      </c>
      <c r="S105" s="63"/>
      <c r="T105" s="63"/>
    </row>
    <row r="106" spans="1:20" ht="12.75">
      <c r="A106" s="1327"/>
      <c r="B106" s="21">
        <v>7</v>
      </c>
      <c r="C106" s="778" t="s">
        <v>634</v>
      </c>
      <c r="D106" s="99">
        <v>45</v>
      </c>
      <c r="E106" s="99">
        <v>1986</v>
      </c>
      <c r="F106" s="202">
        <v>38.1</v>
      </c>
      <c r="G106" s="202">
        <v>7.23842</v>
      </c>
      <c r="H106" s="202">
        <v>4.5</v>
      </c>
      <c r="I106" s="207">
        <f t="shared" si="11"/>
        <v>26.361580000000004</v>
      </c>
      <c r="J106" s="220">
        <v>2939.75</v>
      </c>
      <c r="K106" s="207">
        <f t="shared" si="12"/>
        <v>26.361580000000004</v>
      </c>
      <c r="L106" s="219">
        <f t="shared" si="12"/>
        <v>2939.75</v>
      </c>
      <c r="M106" s="108">
        <f t="shared" si="13"/>
        <v>0.00896728633387193</v>
      </c>
      <c r="N106" s="127">
        <v>279.5</v>
      </c>
      <c r="O106" s="110">
        <f t="shared" si="14"/>
        <v>2.506356530317204</v>
      </c>
      <c r="P106" s="130">
        <f t="shared" si="15"/>
        <v>538.0371800323159</v>
      </c>
      <c r="Q106" s="111">
        <f t="shared" si="16"/>
        <v>150.38139181903227</v>
      </c>
      <c r="S106" s="63"/>
      <c r="T106" s="63"/>
    </row>
    <row r="107" spans="1:20" ht="12.75">
      <c r="A107" s="1327"/>
      <c r="B107" s="21">
        <v>8</v>
      </c>
      <c r="C107" s="778" t="s">
        <v>635</v>
      </c>
      <c r="D107" s="99">
        <v>121</v>
      </c>
      <c r="E107" s="99">
        <v>1989</v>
      </c>
      <c r="F107" s="202">
        <v>122.5</v>
      </c>
      <c r="G107" s="202">
        <v>26.40255</v>
      </c>
      <c r="H107" s="202">
        <v>16.8</v>
      </c>
      <c r="I107" s="207">
        <f t="shared" si="11"/>
        <v>79.29745</v>
      </c>
      <c r="J107" s="220">
        <v>8057.37</v>
      </c>
      <c r="K107" s="207">
        <f t="shared" si="12"/>
        <v>79.29745</v>
      </c>
      <c r="L107" s="219">
        <f t="shared" si="12"/>
        <v>8057.37</v>
      </c>
      <c r="M107" s="108">
        <f t="shared" si="13"/>
        <v>0.009841604642705995</v>
      </c>
      <c r="N107" s="127">
        <v>279.5</v>
      </c>
      <c r="O107" s="110">
        <f t="shared" si="14"/>
        <v>2.7507284976363255</v>
      </c>
      <c r="P107" s="130">
        <f t="shared" si="15"/>
        <v>590.4962785623596</v>
      </c>
      <c r="Q107" s="111">
        <f t="shared" si="16"/>
        <v>165.04370985817954</v>
      </c>
      <c r="S107" s="63"/>
      <c r="T107" s="63"/>
    </row>
    <row r="108" spans="1:20" ht="12.75">
      <c r="A108" s="1327"/>
      <c r="B108" s="21">
        <v>9</v>
      </c>
      <c r="C108" s="778" t="s">
        <v>548</v>
      </c>
      <c r="D108" s="99">
        <v>72</v>
      </c>
      <c r="E108" s="99">
        <v>1990</v>
      </c>
      <c r="F108" s="202">
        <v>71.44</v>
      </c>
      <c r="G108" s="202">
        <v>12.89866</v>
      </c>
      <c r="H108" s="202">
        <v>10.08</v>
      </c>
      <c r="I108" s="207">
        <f t="shared" si="11"/>
        <v>48.46134</v>
      </c>
      <c r="J108" s="220">
        <v>4777.56</v>
      </c>
      <c r="K108" s="207">
        <f t="shared" si="12"/>
        <v>48.46134</v>
      </c>
      <c r="L108" s="219">
        <f t="shared" si="12"/>
        <v>4777.56</v>
      </c>
      <c r="M108" s="108">
        <f t="shared" si="13"/>
        <v>0.01014353351920227</v>
      </c>
      <c r="N108" s="127">
        <v>279.5</v>
      </c>
      <c r="O108" s="110">
        <f t="shared" si="14"/>
        <v>2.8351176186170344</v>
      </c>
      <c r="P108" s="130">
        <f t="shared" si="15"/>
        <v>608.6120111521361</v>
      </c>
      <c r="Q108" s="111">
        <f t="shared" si="16"/>
        <v>170.10705711702204</v>
      </c>
      <c r="S108" s="63"/>
      <c r="T108" s="63"/>
    </row>
    <row r="109" spans="1:20" ht="12.75" customHeight="1" thickBot="1">
      <c r="A109" s="1328"/>
      <c r="B109" s="47">
        <v>10</v>
      </c>
      <c r="C109" s="779" t="s">
        <v>636</v>
      </c>
      <c r="D109" s="100">
        <v>51</v>
      </c>
      <c r="E109" s="100">
        <v>1988</v>
      </c>
      <c r="F109" s="203">
        <v>56.06851</v>
      </c>
      <c r="G109" s="203">
        <v>11.6005</v>
      </c>
      <c r="H109" s="203">
        <v>7.14</v>
      </c>
      <c r="I109" s="346">
        <f t="shared" si="11"/>
        <v>37.328010000000006</v>
      </c>
      <c r="J109" s="221">
        <v>3354.47</v>
      </c>
      <c r="K109" s="346">
        <f t="shared" si="12"/>
        <v>37.328010000000006</v>
      </c>
      <c r="L109" s="349">
        <f t="shared" si="12"/>
        <v>3354.47</v>
      </c>
      <c r="M109" s="140">
        <f t="shared" si="13"/>
        <v>0.011127841357949246</v>
      </c>
      <c r="N109" s="344">
        <v>279.5</v>
      </c>
      <c r="O109" s="141">
        <f t="shared" si="14"/>
        <v>3.1102316595468142</v>
      </c>
      <c r="P109" s="222">
        <f t="shared" si="15"/>
        <v>667.6704814769547</v>
      </c>
      <c r="Q109" s="131">
        <f t="shared" si="16"/>
        <v>186.61389957280886</v>
      </c>
      <c r="S109" s="63"/>
      <c r="T109" s="63"/>
    </row>
    <row r="110" spans="1:20" ht="12.75" customHeight="1">
      <c r="A110" s="1283" t="s">
        <v>33</v>
      </c>
      <c r="B110" s="404">
        <v>1</v>
      </c>
      <c r="C110" s="780" t="s">
        <v>637</v>
      </c>
      <c r="D110" s="538">
        <v>102</v>
      </c>
      <c r="E110" s="538">
        <v>1990</v>
      </c>
      <c r="F110" s="365">
        <v>36.8</v>
      </c>
      <c r="G110" s="365">
        <v>6.61614</v>
      </c>
      <c r="H110" s="365">
        <v>3.94</v>
      </c>
      <c r="I110" s="365">
        <f t="shared" si="11"/>
        <v>26.243859999999994</v>
      </c>
      <c r="J110" s="366">
        <v>2188.22</v>
      </c>
      <c r="K110" s="365">
        <f t="shared" si="12"/>
        <v>26.243859999999994</v>
      </c>
      <c r="L110" s="366">
        <f t="shared" si="12"/>
        <v>2188.22</v>
      </c>
      <c r="M110" s="447">
        <f>K110/L110</f>
        <v>0.01199324565171692</v>
      </c>
      <c r="N110" s="448">
        <v>279.5</v>
      </c>
      <c r="O110" s="449">
        <f t="shared" si="14"/>
        <v>3.352112159654879</v>
      </c>
      <c r="P110" s="449">
        <f t="shared" si="15"/>
        <v>719.5947391030152</v>
      </c>
      <c r="Q110" s="450">
        <f t="shared" si="16"/>
        <v>201.12672957929274</v>
      </c>
      <c r="S110" s="63"/>
      <c r="T110" s="63"/>
    </row>
    <row r="111" spans="1:20" ht="12.75">
      <c r="A111" s="1284"/>
      <c r="B111" s="377">
        <v>2</v>
      </c>
      <c r="C111" s="362" t="s">
        <v>638</v>
      </c>
      <c r="D111" s="363">
        <v>90</v>
      </c>
      <c r="E111" s="363">
        <v>1980</v>
      </c>
      <c r="F111" s="364">
        <v>83.31063</v>
      </c>
      <c r="G111" s="364">
        <v>16.54889</v>
      </c>
      <c r="H111" s="364">
        <v>9</v>
      </c>
      <c r="I111" s="396">
        <f t="shared" si="11"/>
        <v>57.76174</v>
      </c>
      <c r="J111" s="372">
        <v>4599.25</v>
      </c>
      <c r="K111" s="396">
        <f t="shared" si="12"/>
        <v>57.76174</v>
      </c>
      <c r="L111" s="424">
        <f t="shared" si="12"/>
        <v>4599.25</v>
      </c>
      <c r="M111" s="367">
        <f>K111/L111</f>
        <v>0.012558947654508887</v>
      </c>
      <c r="N111" s="368">
        <v>279.5</v>
      </c>
      <c r="O111" s="369">
        <f t="shared" si="14"/>
        <v>3.510225869435234</v>
      </c>
      <c r="P111" s="369">
        <f t="shared" si="15"/>
        <v>753.5368592705332</v>
      </c>
      <c r="Q111" s="370">
        <f t="shared" si="16"/>
        <v>210.61355216611403</v>
      </c>
      <c r="S111" s="63"/>
      <c r="T111" s="63"/>
    </row>
    <row r="112" spans="1:20" ht="12.75">
      <c r="A112" s="1284"/>
      <c r="B112" s="377">
        <v>3</v>
      </c>
      <c r="C112" s="362" t="s">
        <v>639</v>
      </c>
      <c r="D112" s="363">
        <v>72</v>
      </c>
      <c r="E112" s="363">
        <v>1988</v>
      </c>
      <c r="F112" s="364">
        <v>89.02</v>
      </c>
      <c r="G112" s="364">
        <v>17.44756</v>
      </c>
      <c r="H112" s="364">
        <v>10.08</v>
      </c>
      <c r="I112" s="396">
        <f t="shared" si="11"/>
        <v>61.49244</v>
      </c>
      <c r="J112" s="372">
        <v>4725.36</v>
      </c>
      <c r="K112" s="396">
        <f t="shared" si="12"/>
        <v>61.49244</v>
      </c>
      <c r="L112" s="424">
        <f t="shared" si="12"/>
        <v>4725.36</v>
      </c>
      <c r="M112" s="374">
        <f aca="true" t="shared" si="17" ref="M112:M119">K112/L112</f>
        <v>0.013013281527756616</v>
      </c>
      <c r="N112" s="368">
        <v>279.5</v>
      </c>
      <c r="O112" s="369">
        <f t="shared" si="14"/>
        <v>3.6372121870079743</v>
      </c>
      <c r="P112" s="369">
        <f t="shared" si="15"/>
        <v>780.796891665397</v>
      </c>
      <c r="Q112" s="375">
        <f t="shared" si="16"/>
        <v>218.23273122047846</v>
      </c>
      <c r="S112" s="63"/>
      <c r="T112" s="63"/>
    </row>
    <row r="113" spans="1:20" ht="12.75">
      <c r="A113" s="1284"/>
      <c r="B113" s="377">
        <v>4</v>
      </c>
      <c r="C113" s="362" t="s">
        <v>640</v>
      </c>
      <c r="D113" s="363">
        <v>61</v>
      </c>
      <c r="E113" s="363">
        <v>1970</v>
      </c>
      <c r="F113" s="364">
        <v>56.25196</v>
      </c>
      <c r="G113" s="364">
        <v>7.02829</v>
      </c>
      <c r="H113" s="364">
        <v>5.97</v>
      </c>
      <c r="I113" s="396">
        <f t="shared" si="11"/>
        <v>43.25367</v>
      </c>
      <c r="J113" s="372">
        <v>3066.42</v>
      </c>
      <c r="K113" s="396">
        <f t="shared" si="12"/>
        <v>43.25367</v>
      </c>
      <c r="L113" s="424">
        <f t="shared" si="12"/>
        <v>3066.42</v>
      </c>
      <c r="M113" s="374">
        <f t="shared" si="17"/>
        <v>0.014105592188936936</v>
      </c>
      <c r="N113" s="368">
        <v>279.5</v>
      </c>
      <c r="O113" s="376">
        <f t="shared" si="14"/>
        <v>3.9425130168078737</v>
      </c>
      <c r="P113" s="369">
        <f t="shared" si="15"/>
        <v>846.3355313362161</v>
      </c>
      <c r="Q113" s="375">
        <f t="shared" si="16"/>
        <v>236.5507810084724</v>
      </c>
      <c r="S113" s="63"/>
      <c r="T113" s="63"/>
    </row>
    <row r="114" spans="1:20" ht="12.75">
      <c r="A114" s="1284"/>
      <c r="B114" s="377">
        <v>5</v>
      </c>
      <c r="C114" s="362" t="s">
        <v>641</v>
      </c>
      <c r="D114" s="363">
        <v>61</v>
      </c>
      <c r="E114" s="363">
        <v>1980</v>
      </c>
      <c r="F114" s="364">
        <v>61.90863</v>
      </c>
      <c r="G114" s="364">
        <v>7.58804</v>
      </c>
      <c r="H114" s="364">
        <v>6</v>
      </c>
      <c r="I114" s="396">
        <f t="shared" si="11"/>
        <v>48.32059</v>
      </c>
      <c r="J114" s="372">
        <v>3128.4</v>
      </c>
      <c r="K114" s="396">
        <f t="shared" si="12"/>
        <v>48.32059</v>
      </c>
      <c r="L114" s="424">
        <f t="shared" si="12"/>
        <v>3128.4</v>
      </c>
      <c r="M114" s="374">
        <f t="shared" si="17"/>
        <v>0.015445783787239483</v>
      </c>
      <c r="N114" s="368">
        <v>279.5</v>
      </c>
      <c r="O114" s="376">
        <f t="shared" si="14"/>
        <v>4.317096568533436</v>
      </c>
      <c r="P114" s="369">
        <f t="shared" si="15"/>
        <v>926.7470272343689</v>
      </c>
      <c r="Q114" s="375">
        <f t="shared" si="16"/>
        <v>259.0257941120061</v>
      </c>
      <c r="S114" s="63"/>
      <c r="T114" s="63"/>
    </row>
    <row r="115" spans="1:20" ht="12.75">
      <c r="A115" s="1284"/>
      <c r="B115" s="377">
        <v>6</v>
      </c>
      <c r="C115" s="362" t="s">
        <v>642</v>
      </c>
      <c r="D115" s="363">
        <v>60</v>
      </c>
      <c r="E115" s="363">
        <v>1988</v>
      </c>
      <c r="F115" s="364">
        <v>63.8751</v>
      </c>
      <c r="G115" s="364">
        <v>7.37245</v>
      </c>
      <c r="H115" s="364">
        <v>6</v>
      </c>
      <c r="I115" s="396">
        <f t="shared" si="11"/>
        <v>50.50265</v>
      </c>
      <c r="J115" s="372">
        <v>3180.06</v>
      </c>
      <c r="K115" s="396">
        <f t="shared" si="12"/>
        <v>50.50265</v>
      </c>
      <c r="L115" s="424">
        <f t="shared" si="12"/>
        <v>3180.06</v>
      </c>
      <c r="M115" s="374">
        <f t="shared" si="17"/>
        <v>0.015881036835782975</v>
      </c>
      <c r="N115" s="368">
        <v>279.5</v>
      </c>
      <c r="O115" s="376">
        <f t="shared" si="14"/>
        <v>4.438749795601342</v>
      </c>
      <c r="P115" s="369">
        <f t="shared" si="15"/>
        <v>952.8622101469784</v>
      </c>
      <c r="Q115" s="375">
        <f t="shared" si="16"/>
        <v>266.32498773608046</v>
      </c>
      <c r="S115" s="63"/>
      <c r="T115" s="63"/>
    </row>
    <row r="116" spans="1:20" ht="12.75">
      <c r="A116" s="1284"/>
      <c r="B116" s="377">
        <v>7</v>
      </c>
      <c r="C116" s="362" t="s">
        <v>643</v>
      </c>
      <c r="D116" s="363">
        <v>60</v>
      </c>
      <c r="E116" s="363">
        <v>1992</v>
      </c>
      <c r="F116" s="364">
        <v>67</v>
      </c>
      <c r="G116" s="364">
        <v>9.30936</v>
      </c>
      <c r="H116" s="364">
        <v>6</v>
      </c>
      <c r="I116" s="396">
        <f t="shared" si="11"/>
        <v>51.69064</v>
      </c>
      <c r="J116" s="372">
        <v>3137.02</v>
      </c>
      <c r="K116" s="396">
        <f t="shared" si="12"/>
        <v>51.69064</v>
      </c>
      <c r="L116" s="424">
        <f t="shared" si="12"/>
        <v>3137.02</v>
      </c>
      <c r="M116" s="374">
        <f t="shared" si="17"/>
        <v>0.016477625262191507</v>
      </c>
      <c r="N116" s="368">
        <v>279.5</v>
      </c>
      <c r="O116" s="376">
        <f t="shared" si="14"/>
        <v>4.605496260782527</v>
      </c>
      <c r="P116" s="369">
        <f t="shared" si="15"/>
        <v>988.6575157314904</v>
      </c>
      <c r="Q116" s="375">
        <f t="shared" si="16"/>
        <v>276.3297756469516</v>
      </c>
      <c r="S116" s="63"/>
      <c r="T116" s="63"/>
    </row>
    <row r="117" spans="1:20" ht="12.75">
      <c r="A117" s="1284"/>
      <c r="B117" s="377">
        <v>8</v>
      </c>
      <c r="C117" s="362" t="s">
        <v>644</v>
      </c>
      <c r="D117" s="363">
        <v>20</v>
      </c>
      <c r="E117" s="363">
        <v>1992</v>
      </c>
      <c r="F117" s="364">
        <v>47.12071</v>
      </c>
      <c r="G117" s="364">
        <v>5.2475</v>
      </c>
      <c r="H117" s="364">
        <v>4</v>
      </c>
      <c r="I117" s="396">
        <f t="shared" si="11"/>
        <v>37.87321</v>
      </c>
      <c r="J117" s="372">
        <v>2238.28</v>
      </c>
      <c r="K117" s="396">
        <f t="shared" si="12"/>
        <v>37.87321</v>
      </c>
      <c r="L117" s="424">
        <f t="shared" si="12"/>
        <v>2238.28</v>
      </c>
      <c r="M117" s="374">
        <f t="shared" si="17"/>
        <v>0.01692067569741051</v>
      </c>
      <c r="N117" s="368">
        <v>279.5</v>
      </c>
      <c r="O117" s="376">
        <f t="shared" si="14"/>
        <v>4.729328857426238</v>
      </c>
      <c r="P117" s="369">
        <f t="shared" si="15"/>
        <v>1015.2405418446307</v>
      </c>
      <c r="Q117" s="375">
        <f t="shared" si="16"/>
        <v>283.75973144557423</v>
      </c>
      <c r="S117" s="63"/>
      <c r="T117" s="63"/>
    </row>
    <row r="118" spans="1:20" ht="12.75">
      <c r="A118" s="1284"/>
      <c r="B118" s="395">
        <v>9</v>
      </c>
      <c r="C118" s="362" t="s">
        <v>645</v>
      </c>
      <c r="D118" s="363">
        <v>60</v>
      </c>
      <c r="E118" s="363">
        <v>1991</v>
      </c>
      <c r="F118" s="364">
        <v>48.70168</v>
      </c>
      <c r="G118" s="364">
        <v>3.23461</v>
      </c>
      <c r="H118" s="364">
        <v>6</v>
      </c>
      <c r="I118" s="396">
        <f t="shared" si="11"/>
        <v>39.46707000000001</v>
      </c>
      <c r="J118" s="372">
        <v>2291</v>
      </c>
      <c r="K118" s="396">
        <f t="shared" si="12"/>
        <v>39.46707000000001</v>
      </c>
      <c r="L118" s="424">
        <f t="shared" si="12"/>
        <v>2291</v>
      </c>
      <c r="M118" s="374">
        <f t="shared" si="17"/>
        <v>0.017227005674378005</v>
      </c>
      <c r="N118" s="368">
        <v>279.5</v>
      </c>
      <c r="O118" s="376">
        <f t="shared" si="14"/>
        <v>4.814948085988652</v>
      </c>
      <c r="P118" s="369">
        <f t="shared" si="15"/>
        <v>1033.6203404626804</v>
      </c>
      <c r="Q118" s="375">
        <f t="shared" si="16"/>
        <v>288.89688515931914</v>
      </c>
      <c r="S118" s="63"/>
      <c r="T118" s="63"/>
    </row>
    <row r="119" spans="1:20" ht="13.5" thickBot="1">
      <c r="A119" s="1329"/>
      <c r="B119" s="386">
        <v>10</v>
      </c>
      <c r="C119" s="397" t="s">
        <v>646</v>
      </c>
      <c r="D119" s="398">
        <v>59</v>
      </c>
      <c r="E119" s="398">
        <v>1987</v>
      </c>
      <c r="F119" s="399">
        <v>56.1298</v>
      </c>
      <c r="G119" s="399">
        <v>7.83663</v>
      </c>
      <c r="H119" s="399">
        <v>5.9</v>
      </c>
      <c r="I119" s="451">
        <f t="shared" si="11"/>
        <v>42.393170000000005</v>
      </c>
      <c r="J119" s="400">
        <v>2335.48</v>
      </c>
      <c r="K119" s="451">
        <f t="shared" si="12"/>
        <v>42.393170000000005</v>
      </c>
      <c r="L119" s="456">
        <f t="shared" si="12"/>
        <v>2335.48</v>
      </c>
      <c r="M119" s="401">
        <f t="shared" si="17"/>
        <v>0.018151801770942163</v>
      </c>
      <c r="N119" s="452">
        <v>279.5</v>
      </c>
      <c r="O119" s="402">
        <f t="shared" si="14"/>
        <v>5.073428594978335</v>
      </c>
      <c r="P119" s="402">
        <f t="shared" si="15"/>
        <v>1089.1081062565297</v>
      </c>
      <c r="Q119" s="403">
        <f t="shared" si="16"/>
        <v>304.4057156987</v>
      </c>
      <c r="S119" s="63"/>
      <c r="T119" s="63"/>
    </row>
    <row r="120" spans="1:20" ht="12.75">
      <c r="A120" s="1330" t="s">
        <v>46</v>
      </c>
      <c r="B120" s="22">
        <v>1</v>
      </c>
      <c r="C120" s="521" t="s">
        <v>647</v>
      </c>
      <c r="D120" s="492">
        <v>80</v>
      </c>
      <c r="E120" s="492">
        <v>1968</v>
      </c>
      <c r="F120" s="703">
        <v>92.12135</v>
      </c>
      <c r="G120" s="703">
        <v>8.4386</v>
      </c>
      <c r="H120" s="703">
        <v>7.97</v>
      </c>
      <c r="I120" s="703">
        <f t="shared" si="11"/>
        <v>75.71275000000001</v>
      </c>
      <c r="J120" s="709">
        <v>3989.83</v>
      </c>
      <c r="K120" s="703">
        <f t="shared" si="12"/>
        <v>75.71275000000001</v>
      </c>
      <c r="L120" s="709">
        <f t="shared" si="12"/>
        <v>3989.83</v>
      </c>
      <c r="M120" s="648">
        <f>K120/L120</f>
        <v>0.018976435086206684</v>
      </c>
      <c r="N120" s="649">
        <v>279.5</v>
      </c>
      <c r="O120" s="506">
        <f>M120*N120</f>
        <v>5.303913606594768</v>
      </c>
      <c r="P120" s="506">
        <f>M120*60*1000</f>
        <v>1138.5861051724012</v>
      </c>
      <c r="Q120" s="507">
        <f>P120*N120/1000</f>
        <v>318.23481639568615</v>
      </c>
      <c r="S120" s="63"/>
      <c r="T120" s="63"/>
    </row>
    <row r="121" spans="1:20" ht="12.75" customHeight="1">
      <c r="A121" s="1331"/>
      <c r="B121" s="24">
        <v>2</v>
      </c>
      <c r="C121" s="522" t="s">
        <v>648</v>
      </c>
      <c r="D121" s="493">
        <v>48</v>
      </c>
      <c r="E121" s="493">
        <v>1960</v>
      </c>
      <c r="F121" s="704">
        <v>43.94744</v>
      </c>
      <c r="G121" s="704">
        <v>5.61</v>
      </c>
      <c r="H121" s="704">
        <v>0.48</v>
      </c>
      <c r="I121" s="729">
        <f t="shared" si="11"/>
        <v>37.857440000000004</v>
      </c>
      <c r="J121" s="710">
        <v>1937.45</v>
      </c>
      <c r="K121" s="729">
        <f t="shared" si="12"/>
        <v>37.857440000000004</v>
      </c>
      <c r="L121" s="715">
        <f t="shared" si="12"/>
        <v>1937.45</v>
      </c>
      <c r="M121" s="650">
        <f aca="true" t="shared" si="18" ref="M121:M129">K121/L121</f>
        <v>0.019539828124596766</v>
      </c>
      <c r="N121" s="717">
        <v>279.5</v>
      </c>
      <c r="O121" s="508">
        <f aca="true" t="shared" si="19" ref="O121:O129">M121*N121</f>
        <v>5.461381960824796</v>
      </c>
      <c r="P121" s="685">
        <f aca="true" t="shared" si="20" ref="P121:P129">M121*60*1000</f>
        <v>1172.3896874758059</v>
      </c>
      <c r="Q121" s="509">
        <f aca="true" t="shared" si="21" ref="Q121:Q129">P121*N121/1000</f>
        <v>327.6829176494877</v>
      </c>
      <c r="S121" s="63"/>
      <c r="T121" s="63"/>
    </row>
    <row r="122" spans="1:20" ht="12.75" customHeight="1">
      <c r="A122" s="1331"/>
      <c r="B122" s="24">
        <v>3</v>
      </c>
      <c r="C122" s="522" t="s">
        <v>649</v>
      </c>
      <c r="D122" s="493">
        <v>48</v>
      </c>
      <c r="E122" s="493">
        <v>1962</v>
      </c>
      <c r="F122" s="704">
        <v>44.89432</v>
      </c>
      <c r="G122" s="704">
        <v>5.94903</v>
      </c>
      <c r="H122" s="704">
        <v>0.48</v>
      </c>
      <c r="I122" s="729">
        <f t="shared" si="11"/>
        <v>38.46529</v>
      </c>
      <c r="J122" s="710">
        <v>1933.93</v>
      </c>
      <c r="K122" s="729">
        <f t="shared" si="12"/>
        <v>38.46529</v>
      </c>
      <c r="L122" s="715">
        <f t="shared" si="12"/>
        <v>1933.93</v>
      </c>
      <c r="M122" s="650">
        <f t="shared" si="18"/>
        <v>0.019889701281845775</v>
      </c>
      <c r="N122" s="717">
        <v>279.5</v>
      </c>
      <c r="O122" s="508">
        <f t="shared" si="19"/>
        <v>5.559171508275894</v>
      </c>
      <c r="P122" s="685">
        <f t="shared" si="20"/>
        <v>1193.3820769107465</v>
      </c>
      <c r="Q122" s="509">
        <f t="shared" si="21"/>
        <v>333.55029049655366</v>
      </c>
      <c r="S122" s="63"/>
      <c r="T122" s="63"/>
    </row>
    <row r="123" spans="1:20" ht="12.75" customHeight="1">
      <c r="A123" s="1331"/>
      <c r="B123" s="24">
        <v>4</v>
      </c>
      <c r="C123" s="522" t="s">
        <v>650</v>
      </c>
      <c r="D123" s="493">
        <v>43</v>
      </c>
      <c r="E123" s="493">
        <v>1961</v>
      </c>
      <c r="F123" s="704">
        <v>28.55197</v>
      </c>
      <c r="G123" s="704">
        <v>3.01678</v>
      </c>
      <c r="H123" s="704">
        <v>0.32</v>
      </c>
      <c r="I123" s="729">
        <f t="shared" si="11"/>
        <v>25.21519</v>
      </c>
      <c r="J123" s="710">
        <v>1225.32</v>
      </c>
      <c r="K123" s="729">
        <f t="shared" si="12"/>
        <v>25.21519</v>
      </c>
      <c r="L123" s="715">
        <f t="shared" si="12"/>
        <v>1225.32</v>
      </c>
      <c r="M123" s="650">
        <f t="shared" si="18"/>
        <v>0.020578452975549246</v>
      </c>
      <c r="N123" s="717">
        <v>279.5</v>
      </c>
      <c r="O123" s="508">
        <f t="shared" si="19"/>
        <v>5.751677606666014</v>
      </c>
      <c r="P123" s="685">
        <f t="shared" si="20"/>
        <v>1234.707178532955</v>
      </c>
      <c r="Q123" s="509">
        <f t="shared" si="21"/>
        <v>345.10065639996094</v>
      </c>
      <c r="S123" s="63"/>
      <c r="T123" s="63"/>
    </row>
    <row r="124" spans="1:20" ht="12.75" customHeight="1">
      <c r="A124" s="1331"/>
      <c r="B124" s="24">
        <v>5</v>
      </c>
      <c r="C124" s="522" t="s">
        <v>651</v>
      </c>
      <c r="D124" s="493">
        <v>114</v>
      </c>
      <c r="E124" s="493">
        <v>1958</v>
      </c>
      <c r="F124" s="704">
        <v>78.4</v>
      </c>
      <c r="G124" s="704">
        <v>9.03861</v>
      </c>
      <c r="H124" s="704">
        <v>0</v>
      </c>
      <c r="I124" s="729">
        <f t="shared" si="11"/>
        <v>69.36139</v>
      </c>
      <c r="J124" s="710">
        <v>3243.77</v>
      </c>
      <c r="K124" s="729">
        <f t="shared" si="12"/>
        <v>69.36139</v>
      </c>
      <c r="L124" s="715">
        <f t="shared" si="12"/>
        <v>3243.77</v>
      </c>
      <c r="M124" s="650">
        <f t="shared" si="18"/>
        <v>0.02138295563495562</v>
      </c>
      <c r="N124" s="717">
        <v>279.5</v>
      </c>
      <c r="O124" s="508">
        <f t="shared" si="19"/>
        <v>5.9765360999700965</v>
      </c>
      <c r="P124" s="685">
        <f t="shared" si="20"/>
        <v>1282.9773380973372</v>
      </c>
      <c r="Q124" s="509">
        <f t="shared" si="21"/>
        <v>358.59216599820576</v>
      </c>
      <c r="S124" s="63"/>
      <c r="T124" s="63"/>
    </row>
    <row r="125" spans="1:20" ht="12.75" customHeight="1">
      <c r="A125" s="1331"/>
      <c r="B125" s="24">
        <v>6</v>
      </c>
      <c r="C125" s="522" t="s">
        <v>652</v>
      </c>
      <c r="D125" s="493">
        <v>45</v>
      </c>
      <c r="E125" s="493">
        <v>1986</v>
      </c>
      <c r="F125" s="704">
        <v>58.61356</v>
      </c>
      <c r="G125" s="704">
        <v>6.94353</v>
      </c>
      <c r="H125" s="704">
        <v>3.57</v>
      </c>
      <c r="I125" s="729">
        <f t="shared" si="11"/>
        <v>48.10003</v>
      </c>
      <c r="J125" s="710">
        <v>2141.72</v>
      </c>
      <c r="K125" s="729">
        <f t="shared" si="12"/>
        <v>48.10003</v>
      </c>
      <c r="L125" s="715">
        <f t="shared" si="12"/>
        <v>2141.72</v>
      </c>
      <c r="M125" s="650">
        <f t="shared" si="18"/>
        <v>0.022458598696374878</v>
      </c>
      <c r="N125" s="717">
        <v>279.5</v>
      </c>
      <c r="O125" s="508">
        <f t="shared" si="19"/>
        <v>6.277178335636778</v>
      </c>
      <c r="P125" s="685">
        <f t="shared" si="20"/>
        <v>1347.5159217824926</v>
      </c>
      <c r="Q125" s="509">
        <f t="shared" si="21"/>
        <v>376.63070013820663</v>
      </c>
      <c r="S125" s="63"/>
      <c r="T125" s="63"/>
    </row>
    <row r="126" spans="1:20" ht="13.5" customHeight="1">
      <c r="A126" s="1331"/>
      <c r="B126" s="24">
        <v>7</v>
      </c>
      <c r="C126" s="522" t="s">
        <v>653</v>
      </c>
      <c r="D126" s="493">
        <v>40</v>
      </c>
      <c r="E126" s="493">
        <v>1980</v>
      </c>
      <c r="F126" s="704">
        <v>46.62861</v>
      </c>
      <c r="G126" s="704">
        <v>4.81848</v>
      </c>
      <c r="H126" s="704">
        <v>0.4</v>
      </c>
      <c r="I126" s="729">
        <f t="shared" si="11"/>
        <v>41.41013</v>
      </c>
      <c r="J126" s="710">
        <v>1774.94</v>
      </c>
      <c r="K126" s="729">
        <f t="shared" si="12"/>
        <v>41.41013</v>
      </c>
      <c r="L126" s="715">
        <f t="shared" si="12"/>
        <v>1774.94</v>
      </c>
      <c r="M126" s="650">
        <f t="shared" si="18"/>
        <v>0.023330439338794553</v>
      </c>
      <c r="N126" s="717">
        <v>279.5</v>
      </c>
      <c r="O126" s="508">
        <f t="shared" si="19"/>
        <v>6.520857795193078</v>
      </c>
      <c r="P126" s="685">
        <f t="shared" si="20"/>
        <v>1399.8263603276732</v>
      </c>
      <c r="Q126" s="509">
        <f t="shared" si="21"/>
        <v>391.25146771158467</v>
      </c>
      <c r="S126" s="63"/>
      <c r="T126" s="63"/>
    </row>
    <row r="127" spans="1:20" ht="12.75" customHeight="1">
      <c r="A127" s="1331"/>
      <c r="B127" s="61">
        <v>8</v>
      </c>
      <c r="C127" s="522" t="s">
        <v>654</v>
      </c>
      <c r="D127" s="493">
        <v>13</v>
      </c>
      <c r="E127" s="493">
        <v>1968</v>
      </c>
      <c r="F127" s="704">
        <v>15.7507</v>
      </c>
      <c r="G127" s="704">
        <v>2.38615</v>
      </c>
      <c r="H127" s="704">
        <v>0.13</v>
      </c>
      <c r="I127" s="729">
        <f t="shared" si="11"/>
        <v>13.234549999999999</v>
      </c>
      <c r="J127" s="710">
        <v>545.87</v>
      </c>
      <c r="K127" s="729">
        <f t="shared" si="12"/>
        <v>13.234549999999999</v>
      </c>
      <c r="L127" s="715">
        <f t="shared" si="12"/>
        <v>545.87</v>
      </c>
      <c r="M127" s="650">
        <f t="shared" si="18"/>
        <v>0.024244875153424807</v>
      </c>
      <c r="N127" s="717">
        <v>279.5</v>
      </c>
      <c r="O127" s="508">
        <f t="shared" si="19"/>
        <v>6.7764426053822335</v>
      </c>
      <c r="P127" s="685">
        <f t="shared" si="20"/>
        <v>1454.6925092054882</v>
      </c>
      <c r="Q127" s="509">
        <f t="shared" si="21"/>
        <v>406.586556322934</v>
      </c>
      <c r="S127" s="63"/>
      <c r="T127" s="63"/>
    </row>
    <row r="128" spans="1:20" ht="12.75" customHeight="1">
      <c r="A128" s="1331"/>
      <c r="B128" s="24">
        <v>9</v>
      </c>
      <c r="C128" s="522" t="s">
        <v>655</v>
      </c>
      <c r="D128" s="493">
        <v>32</v>
      </c>
      <c r="E128" s="493">
        <v>1961</v>
      </c>
      <c r="F128" s="704">
        <v>33.45</v>
      </c>
      <c r="G128" s="704">
        <v>3.23551</v>
      </c>
      <c r="H128" s="704">
        <v>0.32</v>
      </c>
      <c r="I128" s="729">
        <f t="shared" si="11"/>
        <v>29.89449</v>
      </c>
      <c r="J128" s="710">
        <v>1197</v>
      </c>
      <c r="K128" s="729">
        <f t="shared" si="12"/>
        <v>29.89449</v>
      </c>
      <c r="L128" s="715">
        <f t="shared" si="12"/>
        <v>1197</v>
      </c>
      <c r="M128" s="650">
        <f t="shared" si="18"/>
        <v>0.02497451127819549</v>
      </c>
      <c r="N128" s="717">
        <v>279.5</v>
      </c>
      <c r="O128" s="508">
        <f t="shared" si="19"/>
        <v>6.9803759022556395</v>
      </c>
      <c r="P128" s="685">
        <f t="shared" si="20"/>
        <v>1498.4706766917293</v>
      </c>
      <c r="Q128" s="509">
        <f t="shared" si="21"/>
        <v>418.82255413533835</v>
      </c>
      <c r="S128" s="63"/>
      <c r="T128" s="63"/>
    </row>
    <row r="129" spans="1:20" ht="12.75" customHeight="1" thickBot="1">
      <c r="A129" s="1332"/>
      <c r="B129" s="25">
        <v>10</v>
      </c>
      <c r="C129" s="523" t="s">
        <v>656</v>
      </c>
      <c r="D129" s="494">
        <v>29</v>
      </c>
      <c r="E129" s="494">
        <v>1961</v>
      </c>
      <c r="F129" s="705">
        <v>53.0808</v>
      </c>
      <c r="G129" s="705">
        <v>4.92961</v>
      </c>
      <c r="H129" s="705">
        <v>0.48</v>
      </c>
      <c r="I129" s="848">
        <f t="shared" si="11"/>
        <v>47.67119</v>
      </c>
      <c r="J129" s="711">
        <v>1902.43</v>
      </c>
      <c r="K129" s="848">
        <f t="shared" si="12"/>
        <v>47.67119</v>
      </c>
      <c r="L129" s="940">
        <f t="shared" si="12"/>
        <v>1902.43</v>
      </c>
      <c r="M129" s="687">
        <f t="shared" si="18"/>
        <v>0.025058052070247</v>
      </c>
      <c r="N129" s="942">
        <v>279.5</v>
      </c>
      <c r="O129" s="689">
        <f t="shared" si="19"/>
        <v>7.003725553634037</v>
      </c>
      <c r="P129" s="689">
        <f t="shared" si="20"/>
        <v>1503.4831242148198</v>
      </c>
      <c r="Q129" s="690">
        <f t="shared" si="21"/>
        <v>420.2235332180421</v>
      </c>
      <c r="S129" s="63"/>
      <c r="T129" s="63"/>
    </row>
    <row r="130" spans="1:20" ht="12.75">
      <c r="A130" s="1305" t="s">
        <v>49</v>
      </c>
      <c r="B130" s="27">
        <v>1</v>
      </c>
      <c r="C130" s="794" t="s">
        <v>549</v>
      </c>
      <c r="D130" s="516">
        <v>53</v>
      </c>
      <c r="E130" s="516">
        <v>1915</v>
      </c>
      <c r="F130" s="706">
        <v>12.73408</v>
      </c>
      <c r="G130" s="706">
        <v>2.08589</v>
      </c>
      <c r="H130" s="706">
        <v>0.7</v>
      </c>
      <c r="I130" s="706">
        <f t="shared" si="11"/>
        <v>9.94819</v>
      </c>
      <c r="J130" s="712">
        <v>392.4</v>
      </c>
      <c r="K130" s="706">
        <f t="shared" si="12"/>
        <v>9.94819</v>
      </c>
      <c r="L130" s="712">
        <f t="shared" si="12"/>
        <v>392.4</v>
      </c>
      <c r="M130" s="736">
        <f>K130/L130</f>
        <v>0.025352166156982672</v>
      </c>
      <c r="N130" s="701">
        <v>279.5</v>
      </c>
      <c r="O130" s="737">
        <f>M130*N130</f>
        <v>7.085930440876657</v>
      </c>
      <c r="P130" s="737">
        <f>M130*60*1000</f>
        <v>1521.1299694189604</v>
      </c>
      <c r="Q130" s="718">
        <f>P130*N130/1000</f>
        <v>425.15582645259946</v>
      </c>
      <c r="S130" s="63"/>
      <c r="T130" s="63"/>
    </row>
    <row r="131" spans="1:20" ht="12.75" customHeight="1">
      <c r="A131" s="1306"/>
      <c r="B131" s="29">
        <v>2</v>
      </c>
      <c r="C131" s="795" t="s">
        <v>550</v>
      </c>
      <c r="D131" s="518">
        <v>14</v>
      </c>
      <c r="E131" s="518">
        <v>1959</v>
      </c>
      <c r="F131" s="707">
        <v>15.12445</v>
      </c>
      <c r="G131" s="707">
        <v>1.11445</v>
      </c>
      <c r="H131" s="707">
        <v>0</v>
      </c>
      <c r="I131" s="730">
        <f t="shared" si="11"/>
        <v>14.01</v>
      </c>
      <c r="J131" s="713">
        <v>533.41</v>
      </c>
      <c r="K131" s="730">
        <f t="shared" si="12"/>
        <v>14.01</v>
      </c>
      <c r="L131" s="716">
        <f t="shared" si="12"/>
        <v>533.41</v>
      </c>
      <c r="M131" s="695">
        <f aca="true" t="shared" si="22" ref="M131:M139">K131/L131</f>
        <v>0.026264974409928574</v>
      </c>
      <c r="N131" s="719">
        <v>279.5</v>
      </c>
      <c r="O131" s="696">
        <f aca="true" t="shared" si="23" ref="O131:O139">M131*N131</f>
        <v>7.341060347575036</v>
      </c>
      <c r="P131" s="693">
        <f aca="true" t="shared" si="24" ref="P131:P139">M131*60*1000</f>
        <v>1575.8984645957144</v>
      </c>
      <c r="Q131" s="697">
        <f aca="true" t="shared" si="25" ref="Q131:Q139">P131*N131/1000</f>
        <v>440.46362085450215</v>
      </c>
      <c r="S131" s="63"/>
      <c r="T131" s="63"/>
    </row>
    <row r="132" spans="1:20" ht="12.75" customHeight="1">
      <c r="A132" s="1306"/>
      <c r="B132" s="29">
        <v>3</v>
      </c>
      <c r="C132" s="795" t="s">
        <v>657</v>
      </c>
      <c r="D132" s="518">
        <v>78</v>
      </c>
      <c r="E132" s="518">
        <v>1976</v>
      </c>
      <c r="F132" s="707">
        <v>40.72264</v>
      </c>
      <c r="G132" s="707">
        <v>4.43886</v>
      </c>
      <c r="H132" s="707">
        <v>0.77</v>
      </c>
      <c r="I132" s="730">
        <f t="shared" si="11"/>
        <v>35.51378</v>
      </c>
      <c r="J132" s="713">
        <v>1336.01</v>
      </c>
      <c r="K132" s="730">
        <f t="shared" si="12"/>
        <v>35.51378</v>
      </c>
      <c r="L132" s="716">
        <f t="shared" si="12"/>
        <v>1336.01</v>
      </c>
      <c r="M132" s="695">
        <f t="shared" si="22"/>
        <v>0.026581971691828653</v>
      </c>
      <c r="N132" s="719">
        <v>279.5</v>
      </c>
      <c r="O132" s="696">
        <f t="shared" si="23"/>
        <v>7.4296610878661085</v>
      </c>
      <c r="P132" s="693">
        <f t="shared" si="24"/>
        <v>1594.9183015097192</v>
      </c>
      <c r="Q132" s="697">
        <f t="shared" si="25"/>
        <v>445.7796652719665</v>
      </c>
      <c r="S132" s="63"/>
      <c r="T132" s="63"/>
    </row>
    <row r="133" spans="1:20" ht="12.75" customHeight="1">
      <c r="A133" s="1306"/>
      <c r="B133" s="29">
        <v>4</v>
      </c>
      <c r="C133" s="795" t="s">
        <v>658</v>
      </c>
      <c r="D133" s="518">
        <v>28</v>
      </c>
      <c r="E133" s="518">
        <v>1961</v>
      </c>
      <c r="F133" s="707">
        <v>32.13849</v>
      </c>
      <c r="G133" s="707">
        <v>3.75849</v>
      </c>
      <c r="H133" s="707">
        <v>0.28</v>
      </c>
      <c r="I133" s="730">
        <f t="shared" si="11"/>
        <v>28.099999999999994</v>
      </c>
      <c r="J133" s="713">
        <v>1052.91</v>
      </c>
      <c r="K133" s="730">
        <f t="shared" si="12"/>
        <v>28.099999999999994</v>
      </c>
      <c r="L133" s="716">
        <f t="shared" si="12"/>
        <v>1052.91</v>
      </c>
      <c r="M133" s="695">
        <f t="shared" si="22"/>
        <v>0.026687941039595018</v>
      </c>
      <c r="N133" s="719">
        <v>279.5</v>
      </c>
      <c r="O133" s="696">
        <f t="shared" si="23"/>
        <v>7.459279520566808</v>
      </c>
      <c r="P133" s="693">
        <f t="shared" si="24"/>
        <v>1601.276462375701</v>
      </c>
      <c r="Q133" s="697">
        <f t="shared" si="25"/>
        <v>447.5567712340084</v>
      </c>
      <c r="S133" s="63"/>
      <c r="T133" s="63"/>
    </row>
    <row r="134" spans="1:20" ht="12.75" customHeight="1">
      <c r="A134" s="1306"/>
      <c r="B134" s="29">
        <v>5</v>
      </c>
      <c r="C134" s="795" t="s">
        <v>659</v>
      </c>
      <c r="D134" s="518">
        <v>9</v>
      </c>
      <c r="E134" s="518">
        <v>1966</v>
      </c>
      <c r="F134" s="707">
        <v>16.60576</v>
      </c>
      <c r="G134" s="707">
        <v>1.23192</v>
      </c>
      <c r="H134" s="707">
        <v>0.008</v>
      </c>
      <c r="I134" s="730">
        <f t="shared" si="11"/>
        <v>15.36584</v>
      </c>
      <c r="J134" s="713">
        <v>541.95</v>
      </c>
      <c r="K134" s="730">
        <f t="shared" si="12"/>
        <v>15.36584</v>
      </c>
      <c r="L134" s="716">
        <f t="shared" si="12"/>
        <v>541.95</v>
      </c>
      <c r="M134" s="695">
        <f t="shared" si="22"/>
        <v>0.028352873881354365</v>
      </c>
      <c r="N134" s="719">
        <v>279.5</v>
      </c>
      <c r="O134" s="696">
        <f t="shared" si="23"/>
        <v>7.924628249838545</v>
      </c>
      <c r="P134" s="693">
        <f t="shared" si="24"/>
        <v>1701.1724328812618</v>
      </c>
      <c r="Q134" s="697">
        <f t="shared" si="25"/>
        <v>475.47769499031267</v>
      </c>
      <c r="S134" s="63"/>
      <c r="T134" s="63"/>
    </row>
    <row r="135" spans="1:20" ht="12.75" customHeight="1">
      <c r="A135" s="1306"/>
      <c r="B135" s="29">
        <v>6</v>
      </c>
      <c r="C135" s="795" t="s">
        <v>660</v>
      </c>
      <c r="D135" s="518">
        <v>19</v>
      </c>
      <c r="E135" s="518">
        <v>1959</v>
      </c>
      <c r="F135" s="707">
        <v>32.8647</v>
      </c>
      <c r="G135" s="707">
        <v>4.20949</v>
      </c>
      <c r="H135" s="707">
        <v>0.17</v>
      </c>
      <c r="I135" s="730">
        <f t="shared" si="11"/>
        <v>28.48521</v>
      </c>
      <c r="J135" s="713">
        <v>1005.13</v>
      </c>
      <c r="K135" s="730">
        <f t="shared" si="12"/>
        <v>28.48521</v>
      </c>
      <c r="L135" s="716">
        <f t="shared" si="12"/>
        <v>1005.13</v>
      </c>
      <c r="M135" s="695">
        <f t="shared" si="22"/>
        <v>0.028339826689084992</v>
      </c>
      <c r="N135" s="719">
        <v>279.5</v>
      </c>
      <c r="O135" s="696">
        <f t="shared" si="23"/>
        <v>7.920981559599255</v>
      </c>
      <c r="P135" s="693">
        <f t="shared" si="24"/>
        <v>1700.3896013450997</v>
      </c>
      <c r="Q135" s="697">
        <f t="shared" si="25"/>
        <v>475.25889357595537</v>
      </c>
      <c r="S135" s="63"/>
      <c r="T135" s="63"/>
    </row>
    <row r="136" spans="1:20" ht="12.75" customHeight="1">
      <c r="A136" s="1306"/>
      <c r="B136" s="29">
        <v>7</v>
      </c>
      <c r="C136" s="795" t="s">
        <v>661</v>
      </c>
      <c r="D136" s="518">
        <v>75</v>
      </c>
      <c r="E136" s="518">
        <v>1963</v>
      </c>
      <c r="F136" s="707">
        <v>44.88607</v>
      </c>
      <c r="G136" s="707">
        <v>6.25607</v>
      </c>
      <c r="H136" s="707">
        <v>0.73</v>
      </c>
      <c r="I136" s="730">
        <f t="shared" si="11"/>
        <v>37.9</v>
      </c>
      <c r="J136" s="713">
        <v>1322.94</v>
      </c>
      <c r="K136" s="730">
        <f t="shared" si="12"/>
        <v>37.9</v>
      </c>
      <c r="L136" s="716">
        <f t="shared" si="12"/>
        <v>1322.94</v>
      </c>
      <c r="M136" s="695">
        <f t="shared" si="22"/>
        <v>0.028648313604547445</v>
      </c>
      <c r="N136" s="719">
        <v>279.5</v>
      </c>
      <c r="O136" s="696">
        <f t="shared" si="23"/>
        <v>8.007203652471011</v>
      </c>
      <c r="P136" s="693">
        <f t="shared" si="24"/>
        <v>1718.8988162728467</v>
      </c>
      <c r="Q136" s="697">
        <f t="shared" si="25"/>
        <v>480.4322191482607</v>
      </c>
      <c r="S136" s="63"/>
      <c r="T136" s="63"/>
    </row>
    <row r="137" spans="1:20" ht="13.5" customHeight="1">
      <c r="A137" s="1306"/>
      <c r="B137" s="64">
        <v>8</v>
      </c>
      <c r="C137" s="795" t="s">
        <v>662</v>
      </c>
      <c r="D137" s="518">
        <v>9</v>
      </c>
      <c r="E137" s="518">
        <v>1962</v>
      </c>
      <c r="F137" s="707">
        <v>14.63105</v>
      </c>
      <c r="G137" s="707">
        <v>0.706452</v>
      </c>
      <c r="H137" s="707">
        <v>0.009</v>
      </c>
      <c r="I137" s="730">
        <f t="shared" si="11"/>
        <v>13.915598</v>
      </c>
      <c r="J137" s="713">
        <v>482.49</v>
      </c>
      <c r="K137" s="730">
        <f t="shared" si="12"/>
        <v>13.915598</v>
      </c>
      <c r="L137" s="716">
        <f t="shared" si="12"/>
        <v>482.49</v>
      </c>
      <c r="M137" s="695">
        <f t="shared" si="22"/>
        <v>0.02884121536197641</v>
      </c>
      <c r="N137" s="719">
        <v>279.5</v>
      </c>
      <c r="O137" s="696">
        <f t="shared" si="23"/>
        <v>8.061119693672406</v>
      </c>
      <c r="P137" s="693">
        <f t="shared" si="24"/>
        <v>1730.4729217185845</v>
      </c>
      <c r="Q137" s="697">
        <f t="shared" si="25"/>
        <v>483.6671816203444</v>
      </c>
      <c r="S137" s="63"/>
      <c r="T137" s="63"/>
    </row>
    <row r="138" spans="1:20" ht="12.75" customHeight="1">
      <c r="A138" s="1306"/>
      <c r="B138" s="29">
        <v>9</v>
      </c>
      <c r="C138" s="795" t="s">
        <v>663</v>
      </c>
      <c r="D138" s="518">
        <v>4</v>
      </c>
      <c r="E138" s="518">
        <v>1957</v>
      </c>
      <c r="F138" s="707">
        <v>4.52</v>
      </c>
      <c r="G138" s="707">
        <v>0.379</v>
      </c>
      <c r="H138" s="707">
        <v>0</v>
      </c>
      <c r="I138" s="730">
        <f t="shared" si="11"/>
        <v>4.141</v>
      </c>
      <c r="J138" s="713">
        <v>140.92</v>
      </c>
      <c r="K138" s="730">
        <f t="shared" si="12"/>
        <v>4.141</v>
      </c>
      <c r="L138" s="716">
        <f t="shared" si="12"/>
        <v>140.92</v>
      </c>
      <c r="M138" s="695">
        <f t="shared" si="22"/>
        <v>0.029385466931592396</v>
      </c>
      <c r="N138" s="719">
        <v>279.5</v>
      </c>
      <c r="O138" s="696">
        <f t="shared" si="23"/>
        <v>8.213238007380074</v>
      </c>
      <c r="P138" s="693">
        <f t="shared" si="24"/>
        <v>1763.1280158955437</v>
      </c>
      <c r="Q138" s="697">
        <f t="shared" si="25"/>
        <v>492.79428044280445</v>
      </c>
      <c r="S138" s="63"/>
      <c r="T138" s="63"/>
    </row>
    <row r="139" spans="1:20" ht="12.75" customHeight="1" thickBot="1">
      <c r="A139" s="1307"/>
      <c r="B139" s="33">
        <v>10</v>
      </c>
      <c r="C139" s="1058" t="s">
        <v>664</v>
      </c>
      <c r="D139" s="520">
        <v>15</v>
      </c>
      <c r="E139" s="520">
        <v>1978</v>
      </c>
      <c r="F139" s="708">
        <v>34.4</v>
      </c>
      <c r="G139" s="708">
        <v>2.34816</v>
      </c>
      <c r="H139" s="708">
        <v>0.13</v>
      </c>
      <c r="I139" s="731">
        <f t="shared" si="11"/>
        <v>31.92184</v>
      </c>
      <c r="J139" s="714">
        <v>946.44</v>
      </c>
      <c r="K139" s="731">
        <f t="shared" si="12"/>
        <v>31.92184</v>
      </c>
      <c r="L139" s="941">
        <f t="shared" si="12"/>
        <v>946.44</v>
      </c>
      <c r="M139" s="698">
        <f t="shared" si="22"/>
        <v>0.033728329318287474</v>
      </c>
      <c r="N139" s="943">
        <v>279.5</v>
      </c>
      <c r="O139" s="699">
        <f t="shared" si="23"/>
        <v>9.427068044461349</v>
      </c>
      <c r="P139" s="699">
        <f t="shared" si="24"/>
        <v>2023.6997590972483</v>
      </c>
      <c r="Q139" s="700">
        <f t="shared" si="25"/>
        <v>565.6240826676809</v>
      </c>
      <c r="S139" s="63"/>
      <c r="T139" s="63"/>
    </row>
    <row r="140" spans="19:20" ht="12.75">
      <c r="S140" s="63"/>
      <c r="T140" s="63"/>
    </row>
    <row r="141" spans="19:20" ht="12.75">
      <c r="S141" s="63"/>
      <c r="T141" s="63"/>
    </row>
    <row r="142" spans="1:20" ht="15">
      <c r="A142" s="1233" t="s">
        <v>1076</v>
      </c>
      <c r="B142" s="1233"/>
      <c r="C142" s="1233"/>
      <c r="D142" s="1233"/>
      <c r="E142" s="1233"/>
      <c r="F142" s="1233"/>
      <c r="G142" s="1233"/>
      <c r="H142" s="1233"/>
      <c r="I142" s="1233"/>
      <c r="J142" s="1233"/>
      <c r="K142" s="1233"/>
      <c r="L142" s="1233"/>
      <c r="M142" s="1233"/>
      <c r="N142" s="1233"/>
      <c r="O142" s="1233"/>
      <c r="P142" s="1233"/>
      <c r="Q142" s="1233"/>
      <c r="S142" s="63"/>
      <c r="T142" s="63"/>
    </row>
    <row r="143" spans="1:20" ht="13.5" thickBot="1">
      <c r="A143" s="1234" t="s">
        <v>1109</v>
      </c>
      <c r="B143" s="1234"/>
      <c r="C143" s="1234"/>
      <c r="D143" s="1234"/>
      <c r="E143" s="1234"/>
      <c r="F143" s="1234"/>
      <c r="G143" s="1234"/>
      <c r="H143" s="1234"/>
      <c r="I143" s="1234"/>
      <c r="J143" s="1234"/>
      <c r="K143" s="1234"/>
      <c r="L143" s="1234"/>
      <c r="M143" s="1234"/>
      <c r="N143" s="1234"/>
      <c r="O143" s="1234"/>
      <c r="P143" s="1234"/>
      <c r="Q143" s="1234"/>
      <c r="S143" s="63"/>
      <c r="T143" s="63"/>
    </row>
    <row r="144" spans="1:20" ht="12.75">
      <c r="A144" s="1201" t="s">
        <v>1</v>
      </c>
      <c r="B144" s="1203" t="s">
        <v>0</v>
      </c>
      <c r="C144" s="1193" t="s">
        <v>2</v>
      </c>
      <c r="D144" s="1193" t="s">
        <v>3</v>
      </c>
      <c r="E144" s="1193" t="s">
        <v>13</v>
      </c>
      <c r="F144" s="1207" t="s">
        <v>14</v>
      </c>
      <c r="G144" s="1208"/>
      <c r="H144" s="1208"/>
      <c r="I144" s="1209"/>
      <c r="J144" s="1193" t="s">
        <v>4</v>
      </c>
      <c r="K144" s="1193" t="s">
        <v>15</v>
      </c>
      <c r="L144" s="1193" t="s">
        <v>5</v>
      </c>
      <c r="M144" s="1193" t="s">
        <v>6</v>
      </c>
      <c r="N144" s="1193" t="s">
        <v>16</v>
      </c>
      <c r="O144" s="1195" t="s">
        <v>17</v>
      </c>
      <c r="P144" s="1193" t="s">
        <v>25</v>
      </c>
      <c r="Q144" s="1197" t="s">
        <v>26</v>
      </c>
      <c r="S144" s="63"/>
      <c r="T144" s="63"/>
    </row>
    <row r="145" spans="1:20" ht="33.75">
      <c r="A145" s="1202"/>
      <c r="B145" s="1204"/>
      <c r="C145" s="1205"/>
      <c r="D145" s="1194"/>
      <c r="E145" s="1194"/>
      <c r="F145" s="26" t="s">
        <v>18</v>
      </c>
      <c r="G145" s="26" t="s">
        <v>19</v>
      </c>
      <c r="H145" s="26" t="s">
        <v>20</v>
      </c>
      <c r="I145" s="26" t="s">
        <v>21</v>
      </c>
      <c r="J145" s="1194"/>
      <c r="K145" s="1194"/>
      <c r="L145" s="1194"/>
      <c r="M145" s="1194"/>
      <c r="N145" s="1194"/>
      <c r="O145" s="1196"/>
      <c r="P145" s="1194"/>
      <c r="Q145" s="1198"/>
      <c r="S145" s="63"/>
      <c r="T145" s="63"/>
    </row>
    <row r="146" spans="1:20" ht="13.5" thickBot="1">
      <c r="A146" s="1202"/>
      <c r="B146" s="1204"/>
      <c r="C146" s="1205"/>
      <c r="D146" s="10" t="s">
        <v>7</v>
      </c>
      <c r="E146" s="10" t="s">
        <v>8</v>
      </c>
      <c r="F146" s="10" t="s">
        <v>9</v>
      </c>
      <c r="G146" s="10" t="s">
        <v>9</v>
      </c>
      <c r="H146" s="10" t="s">
        <v>9</v>
      </c>
      <c r="I146" s="10" t="s">
        <v>9</v>
      </c>
      <c r="J146" s="10" t="s">
        <v>22</v>
      </c>
      <c r="K146" s="10" t="s">
        <v>9</v>
      </c>
      <c r="L146" s="10" t="s">
        <v>22</v>
      </c>
      <c r="M146" s="10" t="s">
        <v>23</v>
      </c>
      <c r="N146" s="10" t="s">
        <v>10</v>
      </c>
      <c r="O146" s="10" t="s">
        <v>24</v>
      </c>
      <c r="P146" s="1379" t="s">
        <v>27</v>
      </c>
      <c r="Q146" s="11" t="s">
        <v>28</v>
      </c>
      <c r="S146" s="63"/>
      <c r="T146" s="63"/>
    </row>
    <row r="147" spans="1:20" ht="12.75">
      <c r="A147" s="1210" t="s">
        <v>48</v>
      </c>
      <c r="B147" s="485">
        <v>1</v>
      </c>
      <c r="C147" s="1388" t="s">
        <v>1110</v>
      </c>
      <c r="D147" s="1389">
        <v>101</v>
      </c>
      <c r="E147" s="1390" t="s">
        <v>64</v>
      </c>
      <c r="F147" s="1428">
        <v>44.1</v>
      </c>
      <c r="G147" s="1428">
        <v>8.97</v>
      </c>
      <c r="H147" s="1429">
        <v>16</v>
      </c>
      <c r="I147" s="1428">
        <v>19.13</v>
      </c>
      <c r="J147" s="1454">
        <v>4440.66</v>
      </c>
      <c r="K147" s="1428">
        <v>19.13</v>
      </c>
      <c r="L147" s="1454">
        <v>4440.66</v>
      </c>
      <c r="M147" s="732">
        <f>K147/L147</f>
        <v>0.004307918192340778</v>
      </c>
      <c r="N147" s="1422">
        <v>269.2</v>
      </c>
      <c r="O147" s="1423">
        <f>M147*N147</f>
        <v>1.1596915773781373</v>
      </c>
      <c r="P147" s="1423">
        <f>M147*60*1000</f>
        <v>258.47509154044667</v>
      </c>
      <c r="Q147" s="461">
        <f>P147*N147/1000</f>
        <v>69.58149464268824</v>
      </c>
      <c r="S147" s="63"/>
      <c r="T147" s="63"/>
    </row>
    <row r="148" spans="1:20" ht="12.75">
      <c r="A148" s="1211"/>
      <c r="B148" s="487">
        <v>2</v>
      </c>
      <c r="C148" s="1391" t="s">
        <v>1111</v>
      </c>
      <c r="D148" s="1392">
        <v>45</v>
      </c>
      <c r="E148" s="1393" t="s">
        <v>64</v>
      </c>
      <c r="F148" s="1430">
        <v>23.82</v>
      </c>
      <c r="G148" s="1430">
        <v>5.02</v>
      </c>
      <c r="H148" s="1431">
        <v>7.2</v>
      </c>
      <c r="I148" s="1430">
        <v>11.6</v>
      </c>
      <c r="J148" s="1455">
        <v>2319.88</v>
      </c>
      <c r="K148" s="1430">
        <v>11.6</v>
      </c>
      <c r="L148" s="1455">
        <v>2319.88</v>
      </c>
      <c r="M148" s="734">
        <f>K148/L148</f>
        <v>0.005000258634067279</v>
      </c>
      <c r="N148" s="720">
        <v>269.2</v>
      </c>
      <c r="O148" s="462">
        <f>M148*N148</f>
        <v>1.3460696242909116</v>
      </c>
      <c r="P148" s="460">
        <f>M148*60*1000</f>
        <v>300.01551804403675</v>
      </c>
      <c r="Q148" s="463">
        <f>P148*N148/1000</f>
        <v>80.7641774574547</v>
      </c>
      <c r="S148" s="63"/>
      <c r="T148" s="63"/>
    </row>
    <row r="149" spans="1:20" ht="12.75">
      <c r="A149" s="1211"/>
      <c r="B149" s="487">
        <v>3</v>
      </c>
      <c r="C149" s="1391" t="s">
        <v>1112</v>
      </c>
      <c r="D149" s="1392">
        <v>45</v>
      </c>
      <c r="E149" s="1393" t="s">
        <v>64</v>
      </c>
      <c r="F149" s="1430">
        <v>23.73</v>
      </c>
      <c r="G149" s="1430">
        <v>4.76</v>
      </c>
      <c r="H149" s="1431">
        <v>7.2</v>
      </c>
      <c r="I149" s="1430">
        <v>11.77</v>
      </c>
      <c r="J149" s="1455">
        <v>2313.86</v>
      </c>
      <c r="K149" s="1430">
        <v>11.77</v>
      </c>
      <c r="L149" s="1455">
        <v>2313.86</v>
      </c>
      <c r="M149" s="734">
        <f>K149/L149</f>
        <v>0.005086738177763564</v>
      </c>
      <c r="N149" s="720">
        <v>269.2</v>
      </c>
      <c r="O149" s="462">
        <f>M149*N149</f>
        <v>1.3693499174539514</v>
      </c>
      <c r="P149" s="460">
        <f>M149*60*1000</f>
        <v>305.20429066581386</v>
      </c>
      <c r="Q149" s="463">
        <f>P149*N149/1000</f>
        <v>82.16099504723708</v>
      </c>
      <c r="S149" s="63"/>
      <c r="T149" s="63"/>
    </row>
    <row r="150" spans="1:20" ht="12.75">
      <c r="A150" s="1211"/>
      <c r="B150" s="487">
        <v>4</v>
      </c>
      <c r="C150" s="1391" t="s">
        <v>1113</v>
      </c>
      <c r="D150" s="1392">
        <v>61</v>
      </c>
      <c r="E150" s="1393" t="s">
        <v>64</v>
      </c>
      <c r="F150" s="1430">
        <v>29.48</v>
      </c>
      <c r="G150" s="1430">
        <v>5.58</v>
      </c>
      <c r="H150" s="1431">
        <v>9.6</v>
      </c>
      <c r="I150" s="1430">
        <v>14.3</v>
      </c>
      <c r="J150" s="1455">
        <v>2737.01</v>
      </c>
      <c r="K150" s="1430">
        <v>14.3</v>
      </c>
      <c r="L150" s="1455">
        <v>2737.01</v>
      </c>
      <c r="M150" s="734">
        <f>K150/L150</f>
        <v>0.005224679486008454</v>
      </c>
      <c r="N150" s="720">
        <v>269.2</v>
      </c>
      <c r="O150" s="462">
        <f>M150*N150</f>
        <v>1.406483717633476</v>
      </c>
      <c r="P150" s="460">
        <f>M150*60*1000</f>
        <v>313.4807691605073</v>
      </c>
      <c r="Q150" s="463">
        <f>P150*N150/1000</f>
        <v>84.38902305800856</v>
      </c>
      <c r="S150" s="63"/>
      <c r="T150" s="63"/>
    </row>
    <row r="151" spans="1:20" ht="12.75">
      <c r="A151" s="1211"/>
      <c r="B151" s="487">
        <v>5</v>
      </c>
      <c r="C151" s="1391" t="s">
        <v>1114</v>
      </c>
      <c r="D151" s="1392">
        <v>78</v>
      </c>
      <c r="E151" s="1393" t="s">
        <v>64</v>
      </c>
      <c r="F151" s="1430">
        <v>42.5</v>
      </c>
      <c r="G151" s="1430">
        <v>7.89</v>
      </c>
      <c r="H151" s="1431">
        <v>12.8</v>
      </c>
      <c r="I151" s="1430">
        <v>20.97</v>
      </c>
      <c r="J151" s="1455">
        <v>3899.32</v>
      </c>
      <c r="K151" s="1430">
        <v>20.97</v>
      </c>
      <c r="L151" s="1455">
        <v>3799.48</v>
      </c>
      <c r="M151" s="734">
        <f>K151/L151</f>
        <v>0.00551917630833693</v>
      </c>
      <c r="N151" s="720">
        <v>269.2</v>
      </c>
      <c r="O151" s="462">
        <f>M151*N151</f>
        <v>1.4857622622043016</v>
      </c>
      <c r="P151" s="460">
        <f>M151*60*1000</f>
        <v>331.15057850021583</v>
      </c>
      <c r="Q151" s="463">
        <f>P151*N151/1000</f>
        <v>89.14573573225809</v>
      </c>
      <c r="S151" s="63"/>
      <c r="T151" s="63"/>
    </row>
    <row r="152" spans="1:20" ht="12.75">
      <c r="A152" s="1211"/>
      <c r="B152" s="785">
        <v>6</v>
      </c>
      <c r="C152" s="1391" t="s">
        <v>1115</v>
      </c>
      <c r="D152" s="1392">
        <v>40</v>
      </c>
      <c r="E152" s="1393" t="s">
        <v>64</v>
      </c>
      <c r="F152" s="1430">
        <v>29.09</v>
      </c>
      <c r="G152" s="1430">
        <v>5.72</v>
      </c>
      <c r="H152" s="1431">
        <v>6.4</v>
      </c>
      <c r="I152" s="1430">
        <v>16.97</v>
      </c>
      <c r="J152" s="1455">
        <v>2494.75</v>
      </c>
      <c r="K152" s="1430">
        <v>16.97</v>
      </c>
      <c r="L152" s="1455">
        <v>2494.75</v>
      </c>
      <c r="M152" s="734">
        <f>K152/L152</f>
        <v>0.006802284798075959</v>
      </c>
      <c r="N152" s="720">
        <v>269.2</v>
      </c>
      <c r="O152" s="462">
        <f>M152*N152</f>
        <v>1.8311750676420482</v>
      </c>
      <c r="P152" s="460">
        <f>M152*60*1000</f>
        <v>408.13708788455756</v>
      </c>
      <c r="Q152" s="463">
        <f>P152*N152/1000</f>
        <v>109.87050405852288</v>
      </c>
      <c r="S152" s="63"/>
      <c r="T152" s="63"/>
    </row>
    <row r="153" spans="1:20" ht="12.75">
      <c r="A153" s="1211"/>
      <c r="B153" s="487">
        <v>7</v>
      </c>
      <c r="C153" s="1391" t="s">
        <v>1116</v>
      </c>
      <c r="D153" s="1392">
        <v>103</v>
      </c>
      <c r="E153" s="1393" t="s">
        <v>64</v>
      </c>
      <c r="F153" s="1430">
        <v>54.37</v>
      </c>
      <c r="G153" s="1430">
        <v>8.09</v>
      </c>
      <c r="H153" s="1431">
        <v>16</v>
      </c>
      <c r="I153" s="1430">
        <v>30.28</v>
      </c>
      <c r="J153" s="1455">
        <v>4437.08</v>
      </c>
      <c r="K153" s="1430">
        <v>30.28</v>
      </c>
      <c r="L153" s="1455">
        <v>4437.08</v>
      </c>
      <c r="M153" s="734">
        <f>K153/L153</f>
        <v>0.0068243078781541015</v>
      </c>
      <c r="N153" s="720">
        <v>269.2</v>
      </c>
      <c r="O153" s="462">
        <f>M153*N153</f>
        <v>1.837103680799084</v>
      </c>
      <c r="P153" s="460">
        <f>M153*60*1000</f>
        <v>409.4584726892461</v>
      </c>
      <c r="Q153" s="463">
        <f>P153*N153/1000</f>
        <v>110.22622084794504</v>
      </c>
      <c r="S153" s="63"/>
      <c r="T153" s="63"/>
    </row>
    <row r="154" spans="1:20" ht="12.75">
      <c r="A154" s="1211"/>
      <c r="B154" s="785">
        <v>8</v>
      </c>
      <c r="C154" s="1391" t="s">
        <v>1084</v>
      </c>
      <c r="D154" s="1392">
        <v>119</v>
      </c>
      <c r="E154" s="1393" t="s">
        <v>64</v>
      </c>
      <c r="F154" s="1432">
        <v>73.28</v>
      </c>
      <c r="G154" s="1432">
        <v>13.32</v>
      </c>
      <c r="H154" s="1431">
        <v>19.04</v>
      </c>
      <c r="I154" s="1432">
        <v>40.92</v>
      </c>
      <c r="J154" s="1455">
        <v>5726.62</v>
      </c>
      <c r="K154" s="1432">
        <v>40.92</v>
      </c>
      <c r="L154" s="1455">
        <v>5726.62</v>
      </c>
      <c r="M154" s="734">
        <f>K154/L154</f>
        <v>0.007145576273613406</v>
      </c>
      <c r="N154" s="720">
        <v>269.2</v>
      </c>
      <c r="O154" s="462">
        <f>M154*N154</f>
        <v>1.923589132856729</v>
      </c>
      <c r="P154" s="460">
        <f>M154*60*1000</f>
        <v>428.7345764168044</v>
      </c>
      <c r="Q154" s="463">
        <f>P154*N154/1000</f>
        <v>115.41534797140373</v>
      </c>
      <c r="S154" s="63"/>
      <c r="T154" s="63"/>
    </row>
    <row r="155" spans="1:20" ht="12.75">
      <c r="A155" s="1211"/>
      <c r="B155" s="786">
        <v>9</v>
      </c>
      <c r="C155" s="1391" t="s">
        <v>1078</v>
      </c>
      <c r="D155" s="1392">
        <v>88</v>
      </c>
      <c r="E155" s="1393">
        <v>2007</v>
      </c>
      <c r="F155" s="1430">
        <v>47.68</v>
      </c>
      <c r="G155" s="1430">
        <v>0</v>
      </c>
      <c r="H155" s="1431">
        <v>0</v>
      </c>
      <c r="I155" s="1430">
        <v>47.676</v>
      </c>
      <c r="J155" s="1456">
        <v>6315.31</v>
      </c>
      <c r="K155" s="1430">
        <v>47.676</v>
      </c>
      <c r="L155" s="1456">
        <v>6315.31</v>
      </c>
      <c r="M155" s="734">
        <f>K155/L155</f>
        <v>0.007549273115650696</v>
      </c>
      <c r="N155" s="720">
        <v>269.2</v>
      </c>
      <c r="O155" s="462">
        <f>M155*N155</f>
        <v>2.0322643227331674</v>
      </c>
      <c r="P155" s="460">
        <f>M155*60*1000</f>
        <v>452.95638693904175</v>
      </c>
      <c r="Q155" s="463">
        <f>P155*N155/1000</f>
        <v>121.93585936399003</v>
      </c>
      <c r="S155" s="63"/>
      <c r="T155" s="63"/>
    </row>
    <row r="156" spans="1:20" ht="12.75" customHeight="1" thickBot="1">
      <c r="A156" s="1212"/>
      <c r="B156" s="787">
        <v>10</v>
      </c>
      <c r="C156" s="1394" t="s">
        <v>1077</v>
      </c>
      <c r="D156" s="1395">
        <v>60</v>
      </c>
      <c r="E156" s="1396" t="s">
        <v>64</v>
      </c>
      <c r="F156" s="1433">
        <v>34.7</v>
      </c>
      <c r="G156" s="1433">
        <v>4.28</v>
      </c>
      <c r="H156" s="1434">
        <v>9.6</v>
      </c>
      <c r="I156" s="1433">
        <v>20.82</v>
      </c>
      <c r="J156" s="1457">
        <v>2723.9</v>
      </c>
      <c r="K156" s="1433">
        <v>20.82</v>
      </c>
      <c r="L156" s="1457">
        <v>2723.9</v>
      </c>
      <c r="M156" s="735">
        <f>K156/L156</f>
        <v>0.007643452402804802</v>
      </c>
      <c r="N156" s="721">
        <v>269.2</v>
      </c>
      <c r="O156" s="741">
        <f>M156*N156</f>
        <v>2.0576173868350525</v>
      </c>
      <c r="P156" s="541">
        <f>M156*60*1000</f>
        <v>458.60714416828813</v>
      </c>
      <c r="Q156" s="542">
        <f>P156*N156/1000</f>
        <v>123.45704321010317</v>
      </c>
      <c r="S156" s="63"/>
      <c r="T156" s="63"/>
    </row>
    <row r="157" spans="1:20" ht="12.75">
      <c r="A157" s="1184" t="s">
        <v>29</v>
      </c>
      <c r="B157" s="404">
        <v>1</v>
      </c>
      <c r="C157" s="1413" t="s">
        <v>1082</v>
      </c>
      <c r="D157" s="1414">
        <v>99</v>
      </c>
      <c r="E157" s="1415" t="s">
        <v>64</v>
      </c>
      <c r="F157" s="1435">
        <v>60.73</v>
      </c>
      <c r="G157" s="1435">
        <v>10.66</v>
      </c>
      <c r="H157" s="1436">
        <v>15.92</v>
      </c>
      <c r="I157" s="1435">
        <v>34.15</v>
      </c>
      <c r="J157" s="1458">
        <v>4437.03</v>
      </c>
      <c r="K157" s="1435">
        <v>33.71</v>
      </c>
      <c r="L157" s="1466">
        <v>4388.03</v>
      </c>
      <c r="M157" s="447">
        <f>K157/L157</f>
        <v>0.007682262883344007</v>
      </c>
      <c r="N157" s="448">
        <v>269.2</v>
      </c>
      <c r="O157" s="449">
        <f>M157*N157</f>
        <v>2.0680651681962066</v>
      </c>
      <c r="P157" s="449">
        <f>M157*60*1000</f>
        <v>460.93577300064044</v>
      </c>
      <c r="Q157" s="450">
        <f>P157*N157/1000</f>
        <v>124.0839100917724</v>
      </c>
      <c r="S157" s="63"/>
      <c r="T157" s="63"/>
    </row>
    <row r="158" spans="1:20" ht="12.75">
      <c r="A158" s="1185"/>
      <c r="B158" s="377">
        <v>2</v>
      </c>
      <c r="C158" s="1416" t="s">
        <v>1085</v>
      </c>
      <c r="D158" s="1417">
        <v>75</v>
      </c>
      <c r="E158" s="1418" t="s">
        <v>64</v>
      </c>
      <c r="F158" s="1437">
        <v>50.45</v>
      </c>
      <c r="G158" s="1437">
        <v>7.63</v>
      </c>
      <c r="H158" s="1438">
        <v>11.92</v>
      </c>
      <c r="I158" s="1437">
        <v>30.9</v>
      </c>
      <c r="J158" s="1459">
        <v>3968.65</v>
      </c>
      <c r="K158" s="1437">
        <v>30.9</v>
      </c>
      <c r="L158" s="1459">
        <v>3968.65</v>
      </c>
      <c r="M158" s="367">
        <f>K158/L158</f>
        <v>0.0077860229549091</v>
      </c>
      <c r="N158" s="373">
        <v>269.2</v>
      </c>
      <c r="O158" s="369">
        <f>M158*N158</f>
        <v>2.0959973794615294</v>
      </c>
      <c r="P158" s="369">
        <f>M158*60*1000</f>
        <v>467.161377294546</v>
      </c>
      <c r="Q158" s="370">
        <f>P158*N158/1000</f>
        <v>125.75984276769178</v>
      </c>
      <c r="S158" s="63"/>
      <c r="T158" s="63"/>
    </row>
    <row r="159" spans="1:20" ht="12.75">
      <c r="A159" s="1185"/>
      <c r="B159" s="377">
        <v>3</v>
      </c>
      <c r="C159" s="1416" t="s">
        <v>1083</v>
      </c>
      <c r="D159" s="1417">
        <v>100</v>
      </c>
      <c r="E159" s="1418" t="s">
        <v>64</v>
      </c>
      <c r="F159" s="1437">
        <v>60.47</v>
      </c>
      <c r="G159" s="1437">
        <v>9.59</v>
      </c>
      <c r="H159" s="1438">
        <v>16</v>
      </c>
      <c r="I159" s="1437">
        <v>34.88</v>
      </c>
      <c r="J159" s="1459">
        <v>4434.25</v>
      </c>
      <c r="K159" s="1437">
        <v>34.88</v>
      </c>
      <c r="L159" s="1459">
        <v>4434.25</v>
      </c>
      <c r="M159" s="374">
        <f>K159/L159</f>
        <v>0.00786604273552461</v>
      </c>
      <c r="N159" s="373">
        <v>269.2</v>
      </c>
      <c r="O159" s="369">
        <f>M159*N159</f>
        <v>2.117538704403225</v>
      </c>
      <c r="P159" s="369">
        <f>M159*60*1000</f>
        <v>471.96256413147665</v>
      </c>
      <c r="Q159" s="375">
        <f>P159*N159/1000</f>
        <v>127.05232226419352</v>
      </c>
      <c r="S159" s="63"/>
      <c r="T159" s="63"/>
    </row>
    <row r="160" spans="1:20" ht="12.75">
      <c r="A160" s="1185"/>
      <c r="B160" s="377">
        <v>4</v>
      </c>
      <c r="C160" s="1416" t="s">
        <v>1117</v>
      </c>
      <c r="D160" s="1417">
        <v>45</v>
      </c>
      <c r="E160" s="1418" t="s">
        <v>64</v>
      </c>
      <c r="F160" s="1439">
        <v>31.2</v>
      </c>
      <c r="G160" s="1439">
        <v>5.47</v>
      </c>
      <c r="H160" s="1438">
        <v>7.2</v>
      </c>
      <c r="I160" s="1439">
        <v>18.53</v>
      </c>
      <c r="J160" s="1459">
        <v>2343.95</v>
      </c>
      <c r="K160" s="1439">
        <v>18.53</v>
      </c>
      <c r="L160" s="1459">
        <v>2343.95</v>
      </c>
      <c r="M160" s="374">
        <f>K160/L160</f>
        <v>0.007905458734188017</v>
      </c>
      <c r="N160" s="373">
        <v>269.2</v>
      </c>
      <c r="O160" s="376">
        <f>M160*N160</f>
        <v>2.128149491243414</v>
      </c>
      <c r="P160" s="369">
        <f>M160*60*1000</f>
        <v>474.327524051281</v>
      </c>
      <c r="Q160" s="375">
        <f>P160*N160/1000</f>
        <v>127.68896947460483</v>
      </c>
      <c r="S160" s="63"/>
      <c r="T160" s="63"/>
    </row>
    <row r="161" spans="1:20" ht="12.75">
      <c r="A161" s="1185"/>
      <c r="B161" s="377">
        <v>5</v>
      </c>
      <c r="C161" s="1416" t="s">
        <v>1086</v>
      </c>
      <c r="D161" s="1417">
        <v>103</v>
      </c>
      <c r="E161" s="1418" t="s">
        <v>64</v>
      </c>
      <c r="F161" s="1437">
        <v>63.09</v>
      </c>
      <c r="G161" s="1437">
        <v>8.77</v>
      </c>
      <c r="H161" s="1438">
        <v>16</v>
      </c>
      <c r="I161" s="1437">
        <v>38.32</v>
      </c>
      <c r="J161" s="1459">
        <v>4436.68</v>
      </c>
      <c r="K161" s="1437">
        <v>38.32</v>
      </c>
      <c r="L161" s="1459">
        <v>4436.68</v>
      </c>
      <c r="M161" s="374">
        <f>K161/L161</f>
        <v>0.008637088994473345</v>
      </c>
      <c r="N161" s="373">
        <v>269.2</v>
      </c>
      <c r="O161" s="376">
        <f>M161*N161</f>
        <v>2.3251043573122243</v>
      </c>
      <c r="P161" s="369">
        <f>M161*60*1000</f>
        <v>518.2253396684007</v>
      </c>
      <c r="Q161" s="375">
        <f>P161*N161/1000</f>
        <v>139.50626143873347</v>
      </c>
      <c r="S161" s="63"/>
      <c r="T161" s="63"/>
    </row>
    <row r="162" spans="1:20" ht="12.75">
      <c r="A162" s="1185"/>
      <c r="B162" s="407">
        <v>6</v>
      </c>
      <c r="C162" s="1416" t="s">
        <v>1079</v>
      </c>
      <c r="D162" s="1417">
        <v>20</v>
      </c>
      <c r="E162" s="1418" t="s">
        <v>1080</v>
      </c>
      <c r="F162" s="1437">
        <v>15.7</v>
      </c>
      <c r="G162" s="1437">
        <v>2.18</v>
      </c>
      <c r="H162" s="1438">
        <v>3.2</v>
      </c>
      <c r="I162" s="1437">
        <v>10.32</v>
      </c>
      <c r="J162" s="1459">
        <v>1189.16</v>
      </c>
      <c r="K162" s="1437">
        <v>10.32</v>
      </c>
      <c r="L162" s="1459">
        <v>1189.16</v>
      </c>
      <c r="M162" s="374">
        <f>K162/L162</f>
        <v>0.008678394833327727</v>
      </c>
      <c r="N162" s="373">
        <v>269.2</v>
      </c>
      <c r="O162" s="376">
        <f>M162*N162</f>
        <v>2.336223889131824</v>
      </c>
      <c r="P162" s="369">
        <f>M162*60*1000</f>
        <v>520.7036899996637</v>
      </c>
      <c r="Q162" s="375">
        <f>P162*N162/1000</f>
        <v>140.17343334790945</v>
      </c>
      <c r="S162" s="63"/>
      <c r="T162" s="63"/>
    </row>
    <row r="163" spans="1:20" ht="12.75">
      <c r="A163" s="1185"/>
      <c r="B163" s="377">
        <v>7</v>
      </c>
      <c r="C163" s="1416" t="s">
        <v>1081</v>
      </c>
      <c r="D163" s="1417">
        <v>119</v>
      </c>
      <c r="E163" s="1418" t="s">
        <v>64</v>
      </c>
      <c r="F163" s="1437">
        <v>80.33</v>
      </c>
      <c r="G163" s="1437">
        <v>10.85</v>
      </c>
      <c r="H163" s="1438">
        <v>19.04</v>
      </c>
      <c r="I163" s="1437">
        <v>50.44</v>
      </c>
      <c r="J163" s="1459">
        <v>5732.68</v>
      </c>
      <c r="K163" s="1437">
        <v>50.44</v>
      </c>
      <c r="L163" s="1459">
        <v>5732.68</v>
      </c>
      <c r="M163" s="374">
        <f>K163/L163</f>
        <v>0.008798677058548532</v>
      </c>
      <c r="N163" s="373">
        <v>269.2</v>
      </c>
      <c r="O163" s="376">
        <f>M163*N163</f>
        <v>2.3686038641612646</v>
      </c>
      <c r="P163" s="369">
        <f>M163*60*1000</f>
        <v>527.9206235129119</v>
      </c>
      <c r="Q163" s="375">
        <f>P163*N163/1000</f>
        <v>142.11623184967587</v>
      </c>
      <c r="S163" s="63"/>
      <c r="T163" s="63"/>
    </row>
    <row r="164" spans="1:20" ht="12.75">
      <c r="A164" s="1185"/>
      <c r="B164" s="377">
        <v>8</v>
      </c>
      <c r="C164" s="1416" t="s">
        <v>1087</v>
      </c>
      <c r="D164" s="1417">
        <v>75</v>
      </c>
      <c r="E164" s="1418" t="s">
        <v>64</v>
      </c>
      <c r="F164" s="1437">
        <v>56.79</v>
      </c>
      <c r="G164" s="1437">
        <v>8.18</v>
      </c>
      <c r="H164" s="1438">
        <v>12</v>
      </c>
      <c r="I164" s="1437">
        <v>36.614</v>
      </c>
      <c r="J164" s="1040">
        <v>3966.62</v>
      </c>
      <c r="K164" s="1437">
        <v>36.36</v>
      </c>
      <c r="L164" s="1459">
        <v>3941.34</v>
      </c>
      <c r="M164" s="374">
        <f>K164/L164</f>
        <v>0.009225288861148746</v>
      </c>
      <c r="N164" s="373">
        <v>269.2</v>
      </c>
      <c r="O164" s="376">
        <f>M164*N164</f>
        <v>2.4834477614212425</v>
      </c>
      <c r="P164" s="369">
        <f>M164*60*1000</f>
        <v>553.5173316689248</v>
      </c>
      <c r="Q164" s="375">
        <f>P164*N164/1000</f>
        <v>149.00686568527456</v>
      </c>
      <c r="S164" s="63"/>
      <c r="T164" s="63"/>
    </row>
    <row r="165" spans="1:20" ht="12.75">
      <c r="A165" s="1185"/>
      <c r="B165" s="377">
        <v>9</v>
      </c>
      <c r="C165" s="1416" t="s">
        <v>1089</v>
      </c>
      <c r="D165" s="1417">
        <v>75</v>
      </c>
      <c r="E165" s="1418" t="s">
        <v>64</v>
      </c>
      <c r="F165" s="1437">
        <v>61.27</v>
      </c>
      <c r="G165" s="1437">
        <v>7.58</v>
      </c>
      <c r="H165" s="1438">
        <v>12</v>
      </c>
      <c r="I165" s="1437">
        <v>41.69</v>
      </c>
      <c r="J165" s="1459">
        <v>3954.15</v>
      </c>
      <c r="K165" s="1437">
        <v>41.69</v>
      </c>
      <c r="L165" s="1459">
        <v>3954.15</v>
      </c>
      <c r="M165" s="374">
        <f>K165/L165</f>
        <v>0.0105433531858933</v>
      </c>
      <c r="N165" s="373">
        <v>269.2</v>
      </c>
      <c r="O165" s="376">
        <f>M165*N165</f>
        <v>2.8382706776424764</v>
      </c>
      <c r="P165" s="369">
        <f>M165*60*1000</f>
        <v>632.601191153598</v>
      </c>
      <c r="Q165" s="375">
        <f>P165*N165/1000</f>
        <v>170.2962406585486</v>
      </c>
      <c r="S165" s="63"/>
      <c r="T165" s="63"/>
    </row>
    <row r="166" spans="1:20" ht="13.5" thickBot="1">
      <c r="A166" s="1186"/>
      <c r="B166" s="388">
        <v>10</v>
      </c>
      <c r="C166" s="1419" t="s">
        <v>1088</v>
      </c>
      <c r="D166" s="1420">
        <v>45</v>
      </c>
      <c r="E166" s="1421" t="s">
        <v>64</v>
      </c>
      <c r="F166" s="1440">
        <v>41.88</v>
      </c>
      <c r="G166" s="1440">
        <v>6.6</v>
      </c>
      <c r="H166" s="1441">
        <v>7.2</v>
      </c>
      <c r="I166" s="1440">
        <v>28.08</v>
      </c>
      <c r="J166" s="1460">
        <v>2340.65</v>
      </c>
      <c r="K166" s="1440">
        <v>28.08</v>
      </c>
      <c r="L166" s="1460">
        <v>2340.65</v>
      </c>
      <c r="M166" s="401">
        <f>K166/L166</f>
        <v>0.011996667592335461</v>
      </c>
      <c r="N166" s="409">
        <v>269.2</v>
      </c>
      <c r="O166" s="402">
        <f>M166*N166</f>
        <v>3.229502915856706</v>
      </c>
      <c r="P166" s="402">
        <f>M166*60*1000</f>
        <v>719.8000555401276</v>
      </c>
      <c r="Q166" s="403">
        <f>P166*N166/1000</f>
        <v>193.77017495140234</v>
      </c>
      <c r="S166" s="63"/>
      <c r="T166" s="63"/>
    </row>
    <row r="167" spans="1:20" ht="12.75">
      <c r="A167" s="1187" t="s">
        <v>30</v>
      </c>
      <c r="B167" s="477">
        <v>1</v>
      </c>
      <c r="C167" s="1397" t="s">
        <v>1091</v>
      </c>
      <c r="D167" s="1398">
        <v>48</v>
      </c>
      <c r="E167" s="1399" t="s">
        <v>64</v>
      </c>
      <c r="F167" s="1442">
        <v>34.551</v>
      </c>
      <c r="G167" s="1442">
        <v>5.6</v>
      </c>
      <c r="H167" s="1443">
        <v>0.5</v>
      </c>
      <c r="I167" s="1442">
        <v>28.45</v>
      </c>
      <c r="J167" s="1461">
        <v>1973.26</v>
      </c>
      <c r="K167" s="1442">
        <v>27.88</v>
      </c>
      <c r="L167" s="1467">
        <v>1889.6</v>
      </c>
      <c r="M167" s="648">
        <f>K167/L167</f>
        <v>0.014754445385266723</v>
      </c>
      <c r="N167" s="649">
        <v>269.2</v>
      </c>
      <c r="O167" s="506">
        <f>M167*N167</f>
        <v>3.9718966977138015</v>
      </c>
      <c r="P167" s="506">
        <f>M167*60*1000</f>
        <v>885.2667231160034</v>
      </c>
      <c r="Q167" s="507">
        <f>P167*N167/1000</f>
        <v>238.31380186282811</v>
      </c>
      <c r="S167" s="63"/>
      <c r="T167" s="63"/>
    </row>
    <row r="168" spans="1:20" ht="12.75">
      <c r="A168" s="1188"/>
      <c r="B168" s="480">
        <v>2</v>
      </c>
      <c r="C168" s="1400" t="s">
        <v>1092</v>
      </c>
      <c r="D168" s="1381">
        <v>60</v>
      </c>
      <c r="E168" s="1382" t="s">
        <v>64</v>
      </c>
      <c r="F168" s="1444">
        <v>51.8</v>
      </c>
      <c r="G168" s="1444">
        <v>4.84</v>
      </c>
      <c r="H168" s="1445">
        <v>9.6</v>
      </c>
      <c r="I168" s="1444">
        <v>37.36</v>
      </c>
      <c r="J168" s="1383">
        <v>2425.09</v>
      </c>
      <c r="K168" s="1444">
        <v>37.36</v>
      </c>
      <c r="L168" s="1468">
        <v>2425.09</v>
      </c>
      <c r="M168" s="650">
        <f>K168/L168</f>
        <v>0.015405613812270883</v>
      </c>
      <c r="N168" s="651">
        <v>269.2</v>
      </c>
      <c r="O168" s="508">
        <f>M168*N168</f>
        <v>4.147191238263321</v>
      </c>
      <c r="P168" s="508">
        <f>M168*60*1000</f>
        <v>924.336828736253</v>
      </c>
      <c r="Q168" s="509">
        <f>P168*N168/1000</f>
        <v>248.8314742957993</v>
      </c>
      <c r="S168" s="63"/>
      <c r="T168" s="63"/>
    </row>
    <row r="169" spans="1:20" ht="12.75">
      <c r="A169" s="1188"/>
      <c r="B169" s="480">
        <v>3</v>
      </c>
      <c r="C169" s="1400" t="s">
        <v>1095</v>
      </c>
      <c r="D169" s="1381">
        <v>108</v>
      </c>
      <c r="E169" s="1382" t="s">
        <v>64</v>
      </c>
      <c r="F169" s="1444">
        <v>62.31</v>
      </c>
      <c r="G169" s="1444">
        <v>5.11</v>
      </c>
      <c r="H169" s="1445">
        <v>17.28</v>
      </c>
      <c r="I169" s="1444">
        <v>39.92</v>
      </c>
      <c r="J169" s="1380">
        <v>2582.45</v>
      </c>
      <c r="K169" s="1444">
        <v>39.92</v>
      </c>
      <c r="L169" s="1468">
        <v>2582.45</v>
      </c>
      <c r="M169" s="650">
        <f>K169/L169</f>
        <v>0.0154581889291177</v>
      </c>
      <c r="N169" s="651">
        <v>269.2</v>
      </c>
      <c r="O169" s="508">
        <f>M169*N169</f>
        <v>4.161344459718485</v>
      </c>
      <c r="P169" s="508">
        <f>M169*60*1000</f>
        <v>927.491335747062</v>
      </c>
      <c r="Q169" s="509">
        <f>P169*N169/1000</f>
        <v>249.68066758310906</v>
      </c>
      <c r="S169" s="63"/>
      <c r="T169" s="63"/>
    </row>
    <row r="170" spans="1:20" ht="12.75">
      <c r="A170" s="1188"/>
      <c r="B170" s="480">
        <v>4</v>
      </c>
      <c r="C170" s="1401" t="s">
        <v>1094</v>
      </c>
      <c r="D170" s="1380">
        <v>70</v>
      </c>
      <c r="E170" s="1382" t="s">
        <v>64</v>
      </c>
      <c r="F170" s="1444">
        <v>57.44</v>
      </c>
      <c r="G170" s="1444">
        <v>6.84</v>
      </c>
      <c r="H170" s="1445">
        <v>0.68</v>
      </c>
      <c r="I170" s="1444">
        <v>49.92</v>
      </c>
      <c r="J170" s="1380">
        <v>3063.74</v>
      </c>
      <c r="K170" s="1444">
        <v>49.92</v>
      </c>
      <c r="L170" s="1468">
        <v>3063.74</v>
      </c>
      <c r="M170" s="650">
        <f>K170/L170</f>
        <v>0.0162938108325119</v>
      </c>
      <c r="N170" s="651">
        <v>269.2</v>
      </c>
      <c r="O170" s="508">
        <f>M170*N170</f>
        <v>4.386293876112203</v>
      </c>
      <c r="P170" s="508">
        <f>M170*60*1000</f>
        <v>977.6286499507139</v>
      </c>
      <c r="Q170" s="509">
        <f>P170*N170/1000</f>
        <v>263.1776325667322</v>
      </c>
      <c r="S170" s="63"/>
      <c r="T170" s="63"/>
    </row>
    <row r="171" spans="1:20" ht="12.75">
      <c r="A171" s="1188"/>
      <c r="B171" s="480">
        <v>5</v>
      </c>
      <c r="C171" s="1401" t="s">
        <v>1093</v>
      </c>
      <c r="D171" s="1381">
        <v>106</v>
      </c>
      <c r="E171" s="1382" t="s">
        <v>64</v>
      </c>
      <c r="F171" s="1444">
        <v>68.18</v>
      </c>
      <c r="G171" s="1444">
        <v>6.07</v>
      </c>
      <c r="H171" s="1445">
        <v>17.28</v>
      </c>
      <c r="I171" s="1444">
        <v>44.83</v>
      </c>
      <c r="J171" s="1383">
        <v>2631.27</v>
      </c>
      <c r="K171" s="1444">
        <v>44.48</v>
      </c>
      <c r="L171" s="1468">
        <v>2590.66</v>
      </c>
      <c r="M171" s="650">
        <f>K171/L171</f>
        <v>0.01716936996749863</v>
      </c>
      <c r="N171" s="651">
        <v>269.2</v>
      </c>
      <c r="O171" s="508">
        <f>M171*N171</f>
        <v>4.621994395250631</v>
      </c>
      <c r="P171" s="508">
        <f>M171*60*1000</f>
        <v>1030.1621980499178</v>
      </c>
      <c r="Q171" s="509">
        <f>P171*N171/1000</f>
        <v>277.31966371503785</v>
      </c>
      <c r="S171" s="63"/>
      <c r="T171" s="63"/>
    </row>
    <row r="172" spans="1:20" ht="12.75">
      <c r="A172" s="1188"/>
      <c r="B172" s="480">
        <v>6</v>
      </c>
      <c r="C172" s="1400" t="s">
        <v>147</v>
      </c>
      <c r="D172" s="1380">
        <v>31</v>
      </c>
      <c r="E172" s="1382" t="s">
        <v>64</v>
      </c>
      <c r="F172" s="1444">
        <v>24.37</v>
      </c>
      <c r="G172" s="1444">
        <v>2.59</v>
      </c>
      <c r="H172" s="1445">
        <v>0.31</v>
      </c>
      <c r="I172" s="1444">
        <v>21.47</v>
      </c>
      <c r="J172" s="1380">
        <v>1196.73</v>
      </c>
      <c r="K172" s="1444">
        <v>21.47</v>
      </c>
      <c r="L172" s="1468">
        <v>1196.73</v>
      </c>
      <c r="M172" s="650">
        <f>K172/L172</f>
        <v>0.017940554678164664</v>
      </c>
      <c r="N172" s="651">
        <v>269.2</v>
      </c>
      <c r="O172" s="508">
        <f>M172*N172</f>
        <v>4.829597319361928</v>
      </c>
      <c r="P172" s="508">
        <f>M172*60*1000</f>
        <v>1076.4332806898797</v>
      </c>
      <c r="Q172" s="509">
        <f>P172*N172/1000</f>
        <v>289.77583916171557</v>
      </c>
      <c r="S172" s="63"/>
      <c r="T172" s="63"/>
    </row>
    <row r="173" spans="1:20" ht="12.75">
      <c r="A173" s="1188"/>
      <c r="B173" s="480">
        <v>7</v>
      </c>
      <c r="C173" s="1401" t="s">
        <v>1090</v>
      </c>
      <c r="D173" s="1402">
        <v>31</v>
      </c>
      <c r="E173" s="1403" t="s">
        <v>64</v>
      </c>
      <c r="F173" s="1444">
        <v>42.25</v>
      </c>
      <c r="G173" s="1444">
        <v>3.55</v>
      </c>
      <c r="H173" s="1445">
        <v>5.28</v>
      </c>
      <c r="I173" s="1444">
        <v>33.42</v>
      </c>
      <c r="J173" s="1383">
        <v>1844.65</v>
      </c>
      <c r="K173" s="1444">
        <v>29.76</v>
      </c>
      <c r="L173" s="1468">
        <v>1653.89</v>
      </c>
      <c r="M173" s="650">
        <f>K173/L173</f>
        <v>0.017993941555968052</v>
      </c>
      <c r="N173" s="651">
        <v>269.2</v>
      </c>
      <c r="O173" s="508">
        <f>M173*N173</f>
        <v>4.8439690668666</v>
      </c>
      <c r="P173" s="508">
        <f>M173*60*1000</f>
        <v>1079.636493358083</v>
      </c>
      <c r="Q173" s="509">
        <f>P173*N173/1000</f>
        <v>290.6381440119959</v>
      </c>
      <c r="S173" s="63"/>
      <c r="T173" s="63"/>
    </row>
    <row r="174" spans="1:20" ht="12.75">
      <c r="A174" s="1188"/>
      <c r="B174" s="480">
        <v>8</v>
      </c>
      <c r="C174" s="1401" t="s">
        <v>1096</v>
      </c>
      <c r="D174" s="1402">
        <v>47</v>
      </c>
      <c r="E174" s="1403" t="s">
        <v>64</v>
      </c>
      <c r="F174" s="1444">
        <v>45.89</v>
      </c>
      <c r="G174" s="1444">
        <v>2.74</v>
      </c>
      <c r="H174" s="1445">
        <v>7.6</v>
      </c>
      <c r="I174" s="1444">
        <v>35.55</v>
      </c>
      <c r="J174" s="1383">
        <v>1955.05</v>
      </c>
      <c r="K174" s="1444">
        <v>35.03</v>
      </c>
      <c r="L174" s="1468">
        <v>1926.39</v>
      </c>
      <c r="M174" s="650">
        <f>K174/L174</f>
        <v>0.01818427213596416</v>
      </c>
      <c r="N174" s="651">
        <v>269.2</v>
      </c>
      <c r="O174" s="508">
        <f>M174*N174</f>
        <v>4.895206059001552</v>
      </c>
      <c r="P174" s="508">
        <f>M174*60*1000</f>
        <v>1091.0563281578495</v>
      </c>
      <c r="Q174" s="509">
        <f>P174*N174/1000</f>
        <v>293.71236354009307</v>
      </c>
      <c r="S174" s="63"/>
      <c r="T174" s="63"/>
    </row>
    <row r="175" spans="1:20" ht="12.75">
      <c r="A175" s="1188"/>
      <c r="B175" s="480">
        <v>9</v>
      </c>
      <c r="C175" s="1401" t="s">
        <v>1098</v>
      </c>
      <c r="D175" s="1402">
        <v>32</v>
      </c>
      <c r="E175" s="1403" t="s">
        <v>64</v>
      </c>
      <c r="F175" s="1444">
        <v>24.89</v>
      </c>
      <c r="G175" s="1444">
        <v>2.45</v>
      </c>
      <c r="H175" s="1445">
        <v>0.31</v>
      </c>
      <c r="I175" s="1444">
        <v>22.13</v>
      </c>
      <c r="J175" s="1383">
        <v>1162.87</v>
      </c>
      <c r="K175" s="1444">
        <v>20.87</v>
      </c>
      <c r="L175" s="1468">
        <v>1096.68</v>
      </c>
      <c r="M175" s="650">
        <f>K175/L175</f>
        <v>0.01903016376700587</v>
      </c>
      <c r="N175" s="651">
        <v>269.2</v>
      </c>
      <c r="O175" s="508">
        <f>M175*N175</f>
        <v>5.12292008607798</v>
      </c>
      <c r="P175" s="508">
        <f>M175*60*1000</f>
        <v>1141.8098260203521</v>
      </c>
      <c r="Q175" s="509">
        <f>P175*N175/1000</f>
        <v>307.3752051646788</v>
      </c>
      <c r="S175" s="63"/>
      <c r="T175" s="63"/>
    </row>
    <row r="176" spans="1:20" ht="13.5" thickBot="1">
      <c r="A176" s="1189"/>
      <c r="B176" s="489">
        <v>10</v>
      </c>
      <c r="C176" s="1404" t="s">
        <v>1097</v>
      </c>
      <c r="D176" s="1405">
        <v>14</v>
      </c>
      <c r="E176" s="1406" t="s">
        <v>64</v>
      </c>
      <c r="F176" s="1446">
        <v>14.9</v>
      </c>
      <c r="G176" s="1446">
        <v>0</v>
      </c>
      <c r="H176" s="1447">
        <v>0</v>
      </c>
      <c r="I176" s="1446">
        <v>14.9</v>
      </c>
      <c r="J176" s="1384">
        <v>766.97</v>
      </c>
      <c r="K176" s="1446">
        <v>10.04</v>
      </c>
      <c r="L176" s="1469">
        <v>516.55</v>
      </c>
      <c r="M176" s="1385">
        <f>K176/L176</f>
        <v>0.01943664698480302</v>
      </c>
      <c r="N176" s="652">
        <v>269.2</v>
      </c>
      <c r="O176" s="1386">
        <f>M176*N176</f>
        <v>5.232345368308972</v>
      </c>
      <c r="P176" s="508">
        <f>M176*60*1000</f>
        <v>1166.1988190881812</v>
      </c>
      <c r="Q176" s="1387">
        <f>P176*N176/1000</f>
        <v>313.94072209853834</v>
      </c>
      <c r="S176" s="63"/>
      <c r="T176" s="63"/>
    </row>
    <row r="177" spans="1:20" ht="12.75">
      <c r="A177" s="1190" t="s">
        <v>49</v>
      </c>
      <c r="B177" s="1426">
        <v>1</v>
      </c>
      <c r="C177" s="1427" t="s">
        <v>1100</v>
      </c>
      <c r="D177" s="1407">
        <v>10</v>
      </c>
      <c r="E177" s="1408" t="s">
        <v>64</v>
      </c>
      <c r="F177" s="1448">
        <v>14.11</v>
      </c>
      <c r="G177" s="1448">
        <v>1.31</v>
      </c>
      <c r="H177" s="1449">
        <v>1.76</v>
      </c>
      <c r="I177" s="1448">
        <v>11.04</v>
      </c>
      <c r="J177" s="1462">
        <v>552.99</v>
      </c>
      <c r="K177" s="1448">
        <v>10.28</v>
      </c>
      <c r="L177" s="1470">
        <v>519.54</v>
      </c>
      <c r="M177" s="736">
        <f>K177/L177</f>
        <v>0.019786734418909036</v>
      </c>
      <c r="N177" s="701">
        <v>269.2</v>
      </c>
      <c r="O177" s="737">
        <f>M177*N177</f>
        <v>5.326588905570312</v>
      </c>
      <c r="P177" s="737">
        <f>M177*60*1000</f>
        <v>1187.2040651345421</v>
      </c>
      <c r="Q177" s="718">
        <f>P177*N177/1000</f>
        <v>319.5953343342187</v>
      </c>
      <c r="S177" s="63"/>
      <c r="T177" s="63"/>
    </row>
    <row r="178" spans="1:20" ht="12.75">
      <c r="A178" s="1191"/>
      <c r="B178" s="470">
        <v>2</v>
      </c>
      <c r="C178" s="1424" t="s">
        <v>1099</v>
      </c>
      <c r="D178" s="1409">
        <v>25</v>
      </c>
      <c r="E178" s="1410" t="s">
        <v>64</v>
      </c>
      <c r="F178" s="1450">
        <v>34.32</v>
      </c>
      <c r="G178" s="1450">
        <v>4.25</v>
      </c>
      <c r="H178" s="1451">
        <v>4.49</v>
      </c>
      <c r="I178" s="1450">
        <v>25.58</v>
      </c>
      <c r="J178" s="1463">
        <v>1214.16</v>
      </c>
      <c r="K178" s="1450">
        <v>25.58</v>
      </c>
      <c r="L178" s="1464">
        <v>1214.25</v>
      </c>
      <c r="M178" s="695">
        <f>K178/L178</f>
        <v>0.02106650195593988</v>
      </c>
      <c r="N178" s="692">
        <v>269.2</v>
      </c>
      <c r="O178" s="696">
        <f>M178*N178</f>
        <v>5.671102326539016</v>
      </c>
      <c r="P178" s="696">
        <f>M178*60*1000</f>
        <v>1263.9901173563928</v>
      </c>
      <c r="Q178" s="697">
        <f>P178*N178/1000</f>
        <v>340.2661395923409</v>
      </c>
      <c r="S178" s="63"/>
      <c r="T178" s="63"/>
    </row>
    <row r="179" spans="1:20" ht="12.75">
      <c r="A179" s="1191"/>
      <c r="B179" s="470">
        <v>3</v>
      </c>
      <c r="C179" s="1424" t="s">
        <v>1101</v>
      </c>
      <c r="D179" s="1409">
        <v>12</v>
      </c>
      <c r="E179" s="1410" t="s">
        <v>64</v>
      </c>
      <c r="F179" s="1450">
        <v>14.18</v>
      </c>
      <c r="G179" s="1450">
        <v>0.76</v>
      </c>
      <c r="H179" s="1451">
        <v>2.08</v>
      </c>
      <c r="I179" s="1450">
        <v>11.34</v>
      </c>
      <c r="J179" s="1463">
        <v>625.2</v>
      </c>
      <c r="K179" s="1450">
        <v>10.33</v>
      </c>
      <c r="L179" s="1464">
        <v>474.36</v>
      </c>
      <c r="M179" s="695">
        <f>K179/L179</f>
        <v>0.02177670967197909</v>
      </c>
      <c r="N179" s="692">
        <v>269.2</v>
      </c>
      <c r="O179" s="696">
        <f>M179*N179</f>
        <v>5.86229024369677</v>
      </c>
      <c r="P179" s="696">
        <f>M179*60*1000</f>
        <v>1306.6025803187454</v>
      </c>
      <c r="Q179" s="697">
        <f>P179*N179/1000</f>
        <v>351.73741462180624</v>
      </c>
      <c r="S179" s="63"/>
      <c r="T179" s="63"/>
    </row>
    <row r="180" spans="1:20" ht="12.75">
      <c r="A180" s="1191"/>
      <c r="B180" s="470">
        <v>4</v>
      </c>
      <c r="C180" s="1424" t="s">
        <v>1102</v>
      </c>
      <c r="D180" s="1409">
        <v>5</v>
      </c>
      <c r="E180" s="1410" t="s">
        <v>64</v>
      </c>
      <c r="F180" s="1450">
        <v>14.86</v>
      </c>
      <c r="G180" s="1450">
        <v>0.86</v>
      </c>
      <c r="H180" s="1451">
        <v>0.81</v>
      </c>
      <c r="I180" s="1450">
        <v>13.19</v>
      </c>
      <c r="J180" s="1463">
        <v>654.51</v>
      </c>
      <c r="K180" s="1450">
        <v>10.9</v>
      </c>
      <c r="L180" s="1464">
        <v>495.61</v>
      </c>
      <c r="M180" s="695">
        <f>K180/L180</f>
        <v>0.021993099412844778</v>
      </c>
      <c r="N180" s="692">
        <v>269.2</v>
      </c>
      <c r="O180" s="696">
        <f>M180*N180</f>
        <v>5.920542361937814</v>
      </c>
      <c r="P180" s="696">
        <f>M180*60*1000</f>
        <v>1319.5859647706866</v>
      </c>
      <c r="Q180" s="697">
        <f>P180*N180/1000</f>
        <v>355.2325417162688</v>
      </c>
      <c r="S180" s="63"/>
      <c r="T180" s="63"/>
    </row>
    <row r="181" spans="1:20" ht="12.75">
      <c r="A181" s="1191"/>
      <c r="B181" s="470">
        <v>5</v>
      </c>
      <c r="C181" s="1424" t="s">
        <v>1104</v>
      </c>
      <c r="D181" s="1409">
        <v>13</v>
      </c>
      <c r="E181" s="1410" t="s">
        <v>64</v>
      </c>
      <c r="F181" s="1450">
        <v>18.4</v>
      </c>
      <c r="G181" s="1450">
        <v>0.8</v>
      </c>
      <c r="H181" s="1451">
        <v>0.18</v>
      </c>
      <c r="I181" s="1450">
        <v>17.42</v>
      </c>
      <c r="J181" s="1463">
        <v>773.05</v>
      </c>
      <c r="K181" s="1450">
        <v>12.29</v>
      </c>
      <c r="L181" s="1464">
        <v>550.52</v>
      </c>
      <c r="M181" s="695">
        <f>K181/L181</f>
        <v>0.022324347889268327</v>
      </c>
      <c r="N181" s="692">
        <v>269.2</v>
      </c>
      <c r="O181" s="696">
        <f>M181*N181</f>
        <v>6.009714451791034</v>
      </c>
      <c r="P181" s="696">
        <f>M181*60*1000</f>
        <v>1339.4608733560995</v>
      </c>
      <c r="Q181" s="697">
        <f>P181*N181/1000</f>
        <v>360.58286710746194</v>
      </c>
      <c r="S181" s="63"/>
      <c r="T181" s="63"/>
    </row>
    <row r="182" spans="1:20" ht="12.75">
      <c r="A182" s="1191"/>
      <c r="B182" s="470">
        <v>6</v>
      </c>
      <c r="C182" s="1424" t="s">
        <v>1105</v>
      </c>
      <c r="D182" s="1409">
        <v>65</v>
      </c>
      <c r="E182" s="1410" t="s">
        <v>64</v>
      </c>
      <c r="F182" s="1450">
        <v>25.1</v>
      </c>
      <c r="G182" s="1450">
        <v>2.11</v>
      </c>
      <c r="H182" s="1451">
        <v>0.65</v>
      </c>
      <c r="I182" s="1450">
        <v>22.34</v>
      </c>
      <c r="J182" s="1463">
        <v>998.65</v>
      </c>
      <c r="K182" s="1450">
        <v>21.96</v>
      </c>
      <c r="L182" s="1464">
        <v>981.67</v>
      </c>
      <c r="M182" s="695">
        <f>K182/L182</f>
        <v>0.022370042886102257</v>
      </c>
      <c r="N182" s="692">
        <v>269.2</v>
      </c>
      <c r="O182" s="696">
        <f>M182*N182</f>
        <v>6.022015544938728</v>
      </c>
      <c r="P182" s="696">
        <f>M182*60*1000</f>
        <v>1342.2025731661354</v>
      </c>
      <c r="Q182" s="697">
        <f>P182*N182/1000</f>
        <v>361.3209326963236</v>
      </c>
      <c r="S182" s="63"/>
      <c r="T182" s="63"/>
    </row>
    <row r="183" spans="1:20" ht="12.75">
      <c r="A183" s="1191"/>
      <c r="B183" s="470">
        <v>7</v>
      </c>
      <c r="C183" s="1424" t="s">
        <v>1103</v>
      </c>
      <c r="D183" s="1409">
        <v>17</v>
      </c>
      <c r="E183" s="1410" t="s">
        <v>64</v>
      </c>
      <c r="F183" s="1450">
        <v>19.57</v>
      </c>
      <c r="G183" s="1450">
        <v>2.08</v>
      </c>
      <c r="H183" s="1451">
        <v>0.8</v>
      </c>
      <c r="I183" s="1450">
        <v>16.69</v>
      </c>
      <c r="J183" s="1463">
        <v>635.98</v>
      </c>
      <c r="K183" s="1450">
        <v>16.69</v>
      </c>
      <c r="L183" s="1464">
        <v>635.98</v>
      </c>
      <c r="M183" s="695">
        <f>K183/L183</f>
        <v>0.026242963615208028</v>
      </c>
      <c r="N183" s="692">
        <v>269.2</v>
      </c>
      <c r="O183" s="696">
        <f>M183*N183</f>
        <v>7.064605805214001</v>
      </c>
      <c r="P183" s="696">
        <f>M183*60*1000</f>
        <v>1574.5778169124817</v>
      </c>
      <c r="Q183" s="697">
        <f>P183*N183/1000</f>
        <v>423.87634831284004</v>
      </c>
      <c r="S183" s="63"/>
      <c r="T183" s="63"/>
    </row>
    <row r="184" spans="1:20" ht="12.75">
      <c r="A184" s="1191"/>
      <c r="B184" s="470">
        <v>8</v>
      </c>
      <c r="C184" s="1424" t="s">
        <v>1106</v>
      </c>
      <c r="D184" s="1409">
        <v>12</v>
      </c>
      <c r="E184" s="1410" t="s">
        <v>64</v>
      </c>
      <c r="F184" s="1450">
        <v>30.77</v>
      </c>
      <c r="G184" s="1450">
        <v>0.87</v>
      </c>
      <c r="H184" s="1451">
        <v>2.27</v>
      </c>
      <c r="I184" s="1450">
        <v>27.63</v>
      </c>
      <c r="J184" s="1464">
        <v>666.55</v>
      </c>
      <c r="K184" s="1450">
        <v>17.54</v>
      </c>
      <c r="L184" s="1464">
        <v>666.55</v>
      </c>
      <c r="M184" s="695">
        <f>K184/L184</f>
        <v>0.02631460505588478</v>
      </c>
      <c r="N184" s="692">
        <v>269.2</v>
      </c>
      <c r="O184" s="696">
        <f>M184*N184</f>
        <v>7.083891681044182</v>
      </c>
      <c r="P184" s="696">
        <f>M184*60*1000</f>
        <v>1578.8763033530868</v>
      </c>
      <c r="Q184" s="697">
        <f>P184*N184/1000</f>
        <v>425.0335008626509</v>
      </c>
      <c r="S184" s="63"/>
      <c r="T184" s="63"/>
    </row>
    <row r="185" spans="1:20" ht="12.75">
      <c r="A185" s="1191"/>
      <c r="B185" s="470">
        <v>9</v>
      </c>
      <c r="C185" s="1424" t="s">
        <v>1107</v>
      </c>
      <c r="D185" s="1409">
        <v>8</v>
      </c>
      <c r="E185" s="1410" t="s">
        <v>64</v>
      </c>
      <c r="F185" s="1450">
        <v>9.99</v>
      </c>
      <c r="G185" s="1450">
        <v>0.54</v>
      </c>
      <c r="H185" s="1451">
        <v>0.07</v>
      </c>
      <c r="I185" s="1450">
        <v>9.38</v>
      </c>
      <c r="J185" s="1463">
        <v>351.41</v>
      </c>
      <c r="K185" s="1450">
        <v>9.38</v>
      </c>
      <c r="L185" s="1464">
        <v>351.41</v>
      </c>
      <c r="M185" s="695">
        <f>K185/L185</f>
        <v>0.026692467488119292</v>
      </c>
      <c r="N185" s="692">
        <v>269.2</v>
      </c>
      <c r="O185" s="696">
        <f>M185*N185</f>
        <v>7.185612247801713</v>
      </c>
      <c r="P185" s="696">
        <f>M185*60*1000</f>
        <v>1601.5480492871577</v>
      </c>
      <c r="Q185" s="697">
        <f>P185*N185/1000</f>
        <v>431.13673486810285</v>
      </c>
      <c r="S185" s="63"/>
      <c r="T185" s="63"/>
    </row>
    <row r="186" spans="1:20" ht="13.5" thickBot="1">
      <c r="A186" s="1192"/>
      <c r="B186" s="474">
        <v>10</v>
      </c>
      <c r="C186" s="1425" t="s">
        <v>1108</v>
      </c>
      <c r="D186" s="1411">
        <v>4</v>
      </c>
      <c r="E186" s="1412" t="s">
        <v>64</v>
      </c>
      <c r="F186" s="1452">
        <v>6.058</v>
      </c>
      <c r="G186" s="1452">
        <v>0.16</v>
      </c>
      <c r="H186" s="1453">
        <v>0.4</v>
      </c>
      <c r="I186" s="1452">
        <v>5.5</v>
      </c>
      <c r="J186" s="1465">
        <v>191.55</v>
      </c>
      <c r="K186" s="1452">
        <v>5.5</v>
      </c>
      <c r="L186" s="1471">
        <v>191.55</v>
      </c>
      <c r="M186" s="698">
        <f>K186/L186</f>
        <v>0.028713129731140694</v>
      </c>
      <c r="N186" s="702">
        <v>269.2</v>
      </c>
      <c r="O186" s="699">
        <f>M186*N186</f>
        <v>7.729574523623074</v>
      </c>
      <c r="P186" s="699">
        <f>M186*60*1000</f>
        <v>1722.7877838684415</v>
      </c>
      <c r="Q186" s="700">
        <f>P186*N186/1000</f>
        <v>463.7744714173844</v>
      </c>
      <c r="S186" s="63"/>
      <c r="T186" s="63"/>
    </row>
    <row r="187" spans="19:20" ht="12.75">
      <c r="S187" s="63"/>
      <c r="T187" s="63"/>
    </row>
    <row r="188" spans="19:20" ht="12.75">
      <c r="S188" s="63"/>
      <c r="T188" s="63"/>
    </row>
    <row r="189" spans="1:20" s="17" customFormat="1" ht="20.25" customHeight="1">
      <c r="A189" s="1233" t="s">
        <v>36</v>
      </c>
      <c r="B189" s="1233"/>
      <c r="C189" s="1233"/>
      <c r="D189" s="1233"/>
      <c r="E189" s="1233"/>
      <c r="F189" s="1233"/>
      <c r="G189" s="1233"/>
      <c r="H189" s="1233"/>
      <c r="I189" s="1233"/>
      <c r="J189" s="1233"/>
      <c r="K189" s="1233"/>
      <c r="L189" s="1233"/>
      <c r="M189" s="1233"/>
      <c r="N189" s="1233"/>
      <c r="O189" s="1233"/>
      <c r="P189" s="1233"/>
      <c r="Q189" s="1233"/>
      <c r="S189" s="63"/>
      <c r="T189" s="63"/>
    </row>
    <row r="190" spans="1:20" s="17" customFormat="1" ht="14.25" customHeight="1" thickBot="1">
      <c r="A190" s="1234" t="s">
        <v>665</v>
      </c>
      <c r="B190" s="1234"/>
      <c r="C190" s="1234"/>
      <c r="D190" s="1234"/>
      <c r="E190" s="1234"/>
      <c r="F190" s="1234"/>
      <c r="G190" s="1234"/>
      <c r="H190" s="1234"/>
      <c r="I190" s="1234"/>
      <c r="J190" s="1234"/>
      <c r="K190" s="1234"/>
      <c r="L190" s="1234"/>
      <c r="M190" s="1234"/>
      <c r="N190" s="1234"/>
      <c r="O190" s="1234"/>
      <c r="P190" s="1234"/>
      <c r="Q190" s="1234"/>
      <c r="S190" s="63"/>
      <c r="T190" s="63"/>
    </row>
    <row r="191" spans="1:20" ht="12.75" customHeight="1">
      <c r="A191" s="1201" t="s">
        <v>1</v>
      </c>
      <c r="B191" s="1203" t="s">
        <v>0</v>
      </c>
      <c r="C191" s="1193" t="s">
        <v>2</v>
      </c>
      <c r="D191" s="1193" t="s">
        <v>3</v>
      </c>
      <c r="E191" s="1193" t="s">
        <v>13</v>
      </c>
      <c r="F191" s="1207" t="s">
        <v>14</v>
      </c>
      <c r="G191" s="1208"/>
      <c r="H191" s="1208"/>
      <c r="I191" s="1209"/>
      <c r="J191" s="1193" t="s">
        <v>4</v>
      </c>
      <c r="K191" s="1193" t="s">
        <v>15</v>
      </c>
      <c r="L191" s="1193" t="s">
        <v>5</v>
      </c>
      <c r="M191" s="1193" t="s">
        <v>6</v>
      </c>
      <c r="N191" s="1193" t="s">
        <v>16</v>
      </c>
      <c r="O191" s="1195" t="s">
        <v>17</v>
      </c>
      <c r="P191" s="1195" t="s">
        <v>37</v>
      </c>
      <c r="Q191" s="1197" t="s">
        <v>26</v>
      </c>
      <c r="S191" s="63"/>
      <c r="T191" s="63"/>
    </row>
    <row r="192" spans="1:20" s="2" customFormat="1" ht="33.75">
      <c r="A192" s="1202"/>
      <c r="B192" s="1204"/>
      <c r="C192" s="1205"/>
      <c r="D192" s="1194"/>
      <c r="E192" s="1194"/>
      <c r="F192" s="26" t="s">
        <v>18</v>
      </c>
      <c r="G192" s="26" t="s">
        <v>19</v>
      </c>
      <c r="H192" s="26" t="s">
        <v>20</v>
      </c>
      <c r="I192" s="26" t="s">
        <v>21</v>
      </c>
      <c r="J192" s="1194"/>
      <c r="K192" s="1194"/>
      <c r="L192" s="1194"/>
      <c r="M192" s="1194"/>
      <c r="N192" s="1194"/>
      <c r="O192" s="1196"/>
      <c r="P192" s="1196"/>
      <c r="Q192" s="1198"/>
      <c r="S192" s="63"/>
      <c r="T192" s="63"/>
    </row>
    <row r="193" spans="1:20" s="3" customFormat="1" ht="17.25" customHeight="1" thickBot="1">
      <c r="A193" s="1259"/>
      <c r="B193" s="1256"/>
      <c r="C193" s="1206"/>
      <c r="D193" s="42" t="s">
        <v>7</v>
      </c>
      <c r="E193" s="42" t="s">
        <v>8</v>
      </c>
      <c r="F193" s="42" t="s">
        <v>9</v>
      </c>
      <c r="G193" s="42" t="s">
        <v>9</v>
      </c>
      <c r="H193" s="42" t="s">
        <v>9</v>
      </c>
      <c r="I193" s="42" t="s">
        <v>9</v>
      </c>
      <c r="J193" s="42" t="s">
        <v>22</v>
      </c>
      <c r="K193" s="42" t="s">
        <v>9</v>
      </c>
      <c r="L193" s="42" t="s">
        <v>22</v>
      </c>
      <c r="M193" s="42" t="s">
        <v>145</v>
      </c>
      <c r="N193" s="42" t="s">
        <v>10</v>
      </c>
      <c r="O193" s="42" t="s">
        <v>24</v>
      </c>
      <c r="P193" s="43" t="s">
        <v>38</v>
      </c>
      <c r="Q193" s="44" t="s">
        <v>28</v>
      </c>
      <c r="S193" s="63"/>
      <c r="T193" s="63"/>
    </row>
    <row r="194" spans="1:20" ht="12.75">
      <c r="A194" s="1210" t="s">
        <v>48</v>
      </c>
      <c r="B194" s="20">
        <v>1</v>
      </c>
      <c r="C194" s="316" t="s">
        <v>199</v>
      </c>
      <c r="D194" s="99">
        <v>30</v>
      </c>
      <c r="E194" s="126">
        <v>1985</v>
      </c>
      <c r="F194" s="202">
        <v>14.091</v>
      </c>
      <c r="G194" s="202">
        <v>3.626</v>
      </c>
      <c r="H194" s="202">
        <v>4.8</v>
      </c>
      <c r="I194" s="202">
        <v>5.665</v>
      </c>
      <c r="J194" s="109">
        <v>1496.17</v>
      </c>
      <c r="K194" s="202">
        <v>5.665</v>
      </c>
      <c r="L194" s="109">
        <v>1496.17</v>
      </c>
      <c r="M194" s="139">
        <f>K194/L194</f>
        <v>0.0037863344406050114</v>
      </c>
      <c r="N194" s="127">
        <v>302.3</v>
      </c>
      <c r="O194" s="130">
        <f>M194*N194</f>
        <v>1.144608901394895</v>
      </c>
      <c r="P194" s="130">
        <f>M194*60*1000</f>
        <v>227.18006643630068</v>
      </c>
      <c r="Q194" s="164">
        <f>P194*N194/1000</f>
        <v>68.6765340836937</v>
      </c>
      <c r="R194" s="6"/>
      <c r="S194" s="63"/>
      <c r="T194" s="63"/>
    </row>
    <row r="195" spans="1:20" ht="12.75">
      <c r="A195" s="1252"/>
      <c r="B195" s="45">
        <v>2</v>
      </c>
      <c r="C195" s="316" t="s">
        <v>198</v>
      </c>
      <c r="D195" s="99">
        <v>25</v>
      </c>
      <c r="E195" s="99">
        <v>1969</v>
      </c>
      <c r="F195" s="202">
        <v>11.005</v>
      </c>
      <c r="G195" s="202">
        <v>1.836</v>
      </c>
      <c r="H195" s="202">
        <v>3.84</v>
      </c>
      <c r="I195" s="202">
        <v>5.329</v>
      </c>
      <c r="J195" s="109">
        <v>1321.91</v>
      </c>
      <c r="K195" s="202">
        <v>5.329</v>
      </c>
      <c r="L195" s="109">
        <v>1321.91</v>
      </c>
      <c r="M195" s="108">
        <f aca="true" t="shared" si="26" ref="M195:M203">K195/L195</f>
        <v>0.004031288060457973</v>
      </c>
      <c r="N195" s="127">
        <v>302.3</v>
      </c>
      <c r="O195" s="110">
        <f aca="true" t="shared" si="27" ref="O195:O223">M195*N195</f>
        <v>1.2186583806764453</v>
      </c>
      <c r="P195" s="130">
        <f aca="true" t="shared" si="28" ref="P195:P223">M195*60*1000</f>
        <v>241.87728362747836</v>
      </c>
      <c r="Q195" s="111">
        <f aca="true" t="shared" si="29" ref="Q195:Q223">P195*N195/1000</f>
        <v>73.1195028405867</v>
      </c>
      <c r="S195" s="63"/>
      <c r="T195" s="63"/>
    </row>
    <row r="196" spans="1:20" ht="12.75">
      <c r="A196" s="1211"/>
      <c r="B196" s="21">
        <v>3</v>
      </c>
      <c r="C196" s="316" t="s">
        <v>238</v>
      </c>
      <c r="D196" s="99">
        <v>28</v>
      </c>
      <c r="E196" s="126">
        <v>1991</v>
      </c>
      <c r="F196" s="207">
        <v>15.29</v>
      </c>
      <c r="G196" s="207">
        <v>3.621</v>
      </c>
      <c r="H196" s="207">
        <v>4.56</v>
      </c>
      <c r="I196" s="207">
        <v>7.109</v>
      </c>
      <c r="J196" s="109">
        <v>1509.42</v>
      </c>
      <c r="K196" s="207">
        <v>7.109</v>
      </c>
      <c r="L196" s="127">
        <v>1509.42</v>
      </c>
      <c r="M196" s="108">
        <f t="shared" si="26"/>
        <v>0.004709756065243603</v>
      </c>
      <c r="N196" s="127">
        <v>302.3</v>
      </c>
      <c r="O196" s="110">
        <f t="shared" si="27"/>
        <v>1.4237592585231411</v>
      </c>
      <c r="P196" s="130">
        <f t="shared" si="28"/>
        <v>282.5853639146162</v>
      </c>
      <c r="Q196" s="111">
        <f t="shared" si="29"/>
        <v>85.42555551138848</v>
      </c>
      <c r="S196" s="63"/>
      <c r="T196" s="63"/>
    </row>
    <row r="197" spans="1:20" ht="12.75">
      <c r="A197" s="1211"/>
      <c r="B197" s="21">
        <v>4</v>
      </c>
      <c r="C197" s="316" t="s">
        <v>254</v>
      </c>
      <c r="D197" s="99">
        <v>68</v>
      </c>
      <c r="E197" s="99">
        <v>2008</v>
      </c>
      <c r="F197" s="202">
        <v>24.49</v>
      </c>
      <c r="G197" s="202">
        <v>1.735</v>
      </c>
      <c r="H197" s="202">
        <v>5.44</v>
      </c>
      <c r="I197" s="202">
        <v>16.551</v>
      </c>
      <c r="J197" s="109">
        <v>3892.42</v>
      </c>
      <c r="K197" s="202">
        <v>16.551</v>
      </c>
      <c r="L197" s="109">
        <v>3892.42</v>
      </c>
      <c r="M197" s="108">
        <f t="shared" si="26"/>
        <v>0.004252110512226326</v>
      </c>
      <c r="N197" s="127">
        <v>302.3</v>
      </c>
      <c r="O197" s="110">
        <f t="shared" si="27"/>
        <v>1.2854130078460184</v>
      </c>
      <c r="P197" s="130">
        <f t="shared" si="28"/>
        <v>255.12663073357962</v>
      </c>
      <c r="Q197" s="111">
        <f t="shared" si="29"/>
        <v>77.12478047076112</v>
      </c>
      <c r="S197" s="63"/>
      <c r="T197" s="63"/>
    </row>
    <row r="198" spans="1:20" ht="12.75">
      <c r="A198" s="1211"/>
      <c r="B198" s="21">
        <v>5</v>
      </c>
      <c r="C198" s="316" t="s">
        <v>202</v>
      </c>
      <c r="D198" s="99">
        <v>30</v>
      </c>
      <c r="E198" s="99">
        <v>1987</v>
      </c>
      <c r="F198" s="202">
        <v>15.61</v>
      </c>
      <c r="G198" s="202">
        <v>3.7</v>
      </c>
      <c r="H198" s="202">
        <v>4.8</v>
      </c>
      <c r="I198" s="202">
        <v>7.11</v>
      </c>
      <c r="J198" s="109">
        <v>1596.15</v>
      </c>
      <c r="K198" s="202">
        <v>7.11</v>
      </c>
      <c r="L198" s="109">
        <v>1596.15</v>
      </c>
      <c r="M198" s="108">
        <f t="shared" si="26"/>
        <v>0.004454468564984494</v>
      </c>
      <c r="N198" s="127">
        <v>302.3</v>
      </c>
      <c r="O198" s="110">
        <f t="shared" si="27"/>
        <v>1.3465858471948124</v>
      </c>
      <c r="P198" s="130">
        <f t="shared" si="28"/>
        <v>267.26811389906965</v>
      </c>
      <c r="Q198" s="111">
        <f t="shared" si="29"/>
        <v>80.79515083168876</v>
      </c>
      <c r="S198" s="63"/>
      <c r="T198" s="63"/>
    </row>
    <row r="199" spans="1:20" ht="12.75">
      <c r="A199" s="1211"/>
      <c r="B199" s="21">
        <v>6</v>
      </c>
      <c r="C199" s="316" t="s">
        <v>201</v>
      </c>
      <c r="D199" s="99">
        <v>75</v>
      </c>
      <c r="E199" s="99">
        <v>1976</v>
      </c>
      <c r="F199" s="202">
        <v>38.13</v>
      </c>
      <c r="G199" s="202">
        <v>8.188</v>
      </c>
      <c r="H199" s="202">
        <v>12</v>
      </c>
      <c r="I199" s="202">
        <v>17.942</v>
      </c>
      <c r="J199" s="109">
        <v>3969.47</v>
      </c>
      <c r="K199" s="202">
        <v>17.942</v>
      </c>
      <c r="L199" s="109">
        <v>3969.47</v>
      </c>
      <c r="M199" s="108">
        <f t="shared" si="26"/>
        <v>0.004519998891539677</v>
      </c>
      <c r="N199" s="127">
        <v>302.3</v>
      </c>
      <c r="O199" s="110">
        <f t="shared" si="27"/>
        <v>1.3663956649124445</v>
      </c>
      <c r="P199" s="130">
        <f t="shared" si="28"/>
        <v>271.19993349238064</v>
      </c>
      <c r="Q199" s="111">
        <f t="shared" si="29"/>
        <v>81.98373989474668</v>
      </c>
      <c r="S199" s="63"/>
      <c r="T199" s="63"/>
    </row>
    <row r="200" spans="1:20" ht="12.75">
      <c r="A200" s="1211"/>
      <c r="B200" s="21">
        <v>7</v>
      </c>
      <c r="C200" s="316" t="s">
        <v>200</v>
      </c>
      <c r="D200" s="99">
        <v>60</v>
      </c>
      <c r="E200" s="99">
        <v>1971</v>
      </c>
      <c r="F200" s="202">
        <v>30.947</v>
      </c>
      <c r="G200" s="202">
        <v>5.02</v>
      </c>
      <c r="H200" s="202">
        <v>9.6</v>
      </c>
      <c r="I200" s="202">
        <v>16.327</v>
      </c>
      <c r="J200" s="109">
        <v>2799.04</v>
      </c>
      <c r="K200" s="202">
        <v>16.327</v>
      </c>
      <c r="L200" s="109">
        <v>2799.04</v>
      </c>
      <c r="M200" s="108">
        <f t="shared" si="26"/>
        <v>0.005833071338744713</v>
      </c>
      <c r="N200" s="127">
        <v>302.3</v>
      </c>
      <c r="O200" s="110">
        <f t="shared" si="27"/>
        <v>1.763337465702527</v>
      </c>
      <c r="P200" s="130">
        <f t="shared" si="28"/>
        <v>349.9842803246828</v>
      </c>
      <c r="Q200" s="111">
        <f t="shared" si="29"/>
        <v>105.80024794215161</v>
      </c>
      <c r="S200" s="63"/>
      <c r="T200" s="63"/>
    </row>
    <row r="201" spans="1:20" ht="12.75">
      <c r="A201" s="1211"/>
      <c r="B201" s="21">
        <v>8</v>
      </c>
      <c r="C201" s="316" t="s">
        <v>666</v>
      </c>
      <c r="D201" s="99">
        <v>51</v>
      </c>
      <c r="E201" s="99">
        <v>2007</v>
      </c>
      <c r="F201" s="202">
        <v>28.737</v>
      </c>
      <c r="G201" s="202">
        <v>5.559</v>
      </c>
      <c r="H201" s="202">
        <v>3.507</v>
      </c>
      <c r="I201" s="202">
        <v>19.671</v>
      </c>
      <c r="J201" s="109">
        <v>2943.57</v>
      </c>
      <c r="K201" s="202">
        <v>19.671</v>
      </c>
      <c r="L201" s="109">
        <v>2943.57</v>
      </c>
      <c r="M201" s="108">
        <f t="shared" si="26"/>
        <v>0.00668270161742374</v>
      </c>
      <c r="N201" s="127">
        <v>302.3</v>
      </c>
      <c r="O201" s="110">
        <f t="shared" si="27"/>
        <v>2.0201806989471964</v>
      </c>
      <c r="P201" s="130">
        <f t="shared" si="28"/>
        <v>400.9620970454244</v>
      </c>
      <c r="Q201" s="111">
        <f t="shared" si="29"/>
        <v>121.2108419368318</v>
      </c>
      <c r="S201" s="63"/>
      <c r="T201" s="63"/>
    </row>
    <row r="202" spans="1:20" ht="12.75">
      <c r="A202" s="1211"/>
      <c r="B202" s="21">
        <v>9</v>
      </c>
      <c r="C202" s="316" t="s">
        <v>667</v>
      </c>
      <c r="D202" s="99">
        <v>54</v>
      </c>
      <c r="E202" s="99">
        <v>2007</v>
      </c>
      <c r="F202" s="202">
        <v>29.277</v>
      </c>
      <c r="G202" s="202">
        <v>4.896</v>
      </c>
      <c r="H202" s="202">
        <v>3.275</v>
      </c>
      <c r="I202" s="202">
        <v>21.106</v>
      </c>
      <c r="J202" s="109">
        <v>3133.4</v>
      </c>
      <c r="K202" s="202">
        <v>21.106</v>
      </c>
      <c r="L202" s="109">
        <v>3133.4</v>
      </c>
      <c r="M202" s="108">
        <f t="shared" si="26"/>
        <v>0.006735814131614221</v>
      </c>
      <c r="N202" s="127">
        <v>302.3</v>
      </c>
      <c r="O202" s="110">
        <f t="shared" si="27"/>
        <v>2.036236611986979</v>
      </c>
      <c r="P202" s="130">
        <f t="shared" si="28"/>
        <v>404.1488478968532</v>
      </c>
      <c r="Q202" s="111">
        <f t="shared" si="29"/>
        <v>122.17419671921873</v>
      </c>
      <c r="S202" s="63"/>
      <c r="T202" s="63"/>
    </row>
    <row r="203" spans="1:20" ht="13.5" thickBot="1">
      <c r="A203" s="1212"/>
      <c r="B203" s="47">
        <v>10</v>
      </c>
      <c r="C203" s="317" t="s">
        <v>225</v>
      </c>
      <c r="D203" s="100">
        <v>54</v>
      </c>
      <c r="E203" s="100">
        <v>1981</v>
      </c>
      <c r="F203" s="203">
        <v>34.5</v>
      </c>
      <c r="G203" s="203">
        <v>5.042</v>
      </c>
      <c r="H203" s="203">
        <v>8.64</v>
      </c>
      <c r="I203" s="203">
        <v>20.818</v>
      </c>
      <c r="J203" s="129">
        <v>2960.66</v>
      </c>
      <c r="K203" s="207">
        <v>20.371</v>
      </c>
      <c r="L203" s="127">
        <v>2897.11</v>
      </c>
      <c r="M203" s="140">
        <f t="shared" si="26"/>
        <v>0.007031490002105545</v>
      </c>
      <c r="N203" s="129">
        <v>302.3</v>
      </c>
      <c r="O203" s="141">
        <f t="shared" si="27"/>
        <v>2.1256194276365066</v>
      </c>
      <c r="P203" s="222">
        <f t="shared" si="28"/>
        <v>421.88940012633276</v>
      </c>
      <c r="Q203" s="131">
        <f t="shared" si="29"/>
        <v>127.53716565819039</v>
      </c>
      <c r="S203" s="63"/>
      <c r="T203" s="63"/>
    </row>
    <row r="204" spans="1:20" ht="12.75">
      <c r="A204" s="1323" t="s">
        <v>45</v>
      </c>
      <c r="B204" s="404">
        <v>1</v>
      </c>
      <c r="C204" s="855" t="s">
        <v>226</v>
      </c>
      <c r="D204" s="423">
        <v>100</v>
      </c>
      <c r="E204" s="423">
        <v>1969</v>
      </c>
      <c r="F204" s="396">
        <v>62.2</v>
      </c>
      <c r="G204" s="396">
        <v>8.45</v>
      </c>
      <c r="H204" s="396">
        <v>16</v>
      </c>
      <c r="I204" s="396">
        <v>37.75</v>
      </c>
      <c r="J204" s="368">
        <v>4648.63</v>
      </c>
      <c r="K204" s="365">
        <v>37.75</v>
      </c>
      <c r="L204" s="448">
        <v>4648.63</v>
      </c>
      <c r="M204" s="367">
        <f>K204/L204</f>
        <v>0.008120672111998588</v>
      </c>
      <c r="N204" s="368">
        <v>302.3</v>
      </c>
      <c r="O204" s="369">
        <f t="shared" si="27"/>
        <v>2.454879179457173</v>
      </c>
      <c r="P204" s="369">
        <f t="shared" si="28"/>
        <v>487.2403267199153</v>
      </c>
      <c r="Q204" s="370">
        <f t="shared" si="29"/>
        <v>147.29275076743042</v>
      </c>
      <c r="S204" s="63"/>
      <c r="T204" s="63"/>
    </row>
    <row r="205" spans="1:20" ht="12.75">
      <c r="A205" s="1185"/>
      <c r="B205" s="377">
        <v>2</v>
      </c>
      <c r="C205" s="491" t="s">
        <v>668</v>
      </c>
      <c r="D205" s="363">
        <v>31</v>
      </c>
      <c r="E205" s="363">
        <v>1990</v>
      </c>
      <c r="F205" s="364">
        <v>20.65</v>
      </c>
      <c r="G205" s="364">
        <v>2.765</v>
      </c>
      <c r="H205" s="364">
        <v>4.8</v>
      </c>
      <c r="I205" s="364">
        <v>13.085</v>
      </c>
      <c r="J205" s="373">
        <v>1617.54</v>
      </c>
      <c r="K205" s="364">
        <v>13.085</v>
      </c>
      <c r="L205" s="373">
        <v>1617.54</v>
      </c>
      <c r="M205" s="367">
        <f>K205/L205</f>
        <v>0.00808944446505187</v>
      </c>
      <c r="N205" s="368">
        <v>302.3</v>
      </c>
      <c r="O205" s="369">
        <f t="shared" si="27"/>
        <v>2.4454390617851804</v>
      </c>
      <c r="P205" s="369">
        <f t="shared" si="28"/>
        <v>485.36666790311216</v>
      </c>
      <c r="Q205" s="370">
        <f t="shared" si="29"/>
        <v>146.72634370711083</v>
      </c>
      <c r="S205" s="63"/>
      <c r="T205" s="63"/>
    </row>
    <row r="206" spans="1:20" ht="12.75">
      <c r="A206" s="1185"/>
      <c r="B206" s="377">
        <v>3</v>
      </c>
      <c r="C206" s="454" t="s">
        <v>669</v>
      </c>
      <c r="D206" s="363">
        <v>60</v>
      </c>
      <c r="E206" s="363">
        <v>1970</v>
      </c>
      <c r="F206" s="364">
        <v>37.7</v>
      </c>
      <c r="G206" s="364">
        <v>5.213</v>
      </c>
      <c r="H206" s="364">
        <v>9.6</v>
      </c>
      <c r="I206" s="364">
        <v>22.887</v>
      </c>
      <c r="J206" s="373">
        <v>2723.4</v>
      </c>
      <c r="K206" s="364">
        <v>22.887</v>
      </c>
      <c r="L206" s="373">
        <v>2723.4</v>
      </c>
      <c r="M206" s="374">
        <f aca="true" t="shared" si="30" ref="M206:M223">K206/L206</f>
        <v>0.008403833443489755</v>
      </c>
      <c r="N206" s="368">
        <v>302.3</v>
      </c>
      <c r="O206" s="369">
        <f t="shared" si="27"/>
        <v>2.540478849966953</v>
      </c>
      <c r="P206" s="369">
        <f t="shared" si="28"/>
        <v>504.2300066093853</v>
      </c>
      <c r="Q206" s="375">
        <f t="shared" si="29"/>
        <v>152.4287309980172</v>
      </c>
      <c r="S206" s="63"/>
      <c r="T206" s="63"/>
    </row>
    <row r="207" spans="1:20" ht="12.75">
      <c r="A207" s="1185"/>
      <c r="B207" s="377">
        <v>4</v>
      </c>
      <c r="C207" s="491" t="s">
        <v>253</v>
      </c>
      <c r="D207" s="363">
        <v>45</v>
      </c>
      <c r="E207" s="363">
        <v>1979</v>
      </c>
      <c r="F207" s="364">
        <v>32.309</v>
      </c>
      <c r="G207" s="364">
        <v>5.088</v>
      </c>
      <c r="H207" s="364">
        <v>7.2</v>
      </c>
      <c r="I207" s="364">
        <v>20.021</v>
      </c>
      <c r="J207" s="373">
        <v>2321.42</v>
      </c>
      <c r="K207" s="364">
        <v>20.021</v>
      </c>
      <c r="L207" s="373">
        <v>2321.42</v>
      </c>
      <c r="M207" s="374">
        <f t="shared" si="30"/>
        <v>0.008624462613400418</v>
      </c>
      <c r="N207" s="368">
        <v>302.3</v>
      </c>
      <c r="O207" s="376">
        <f t="shared" si="27"/>
        <v>2.6071750480309466</v>
      </c>
      <c r="P207" s="369">
        <f t="shared" si="28"/>
        <v>517.4677568040252</v>
      </c>
      <c r="Q207" s="375">
        <f t="shared" si="29"/>
        <v>156.4305028818568</v>
      </c>
      <c r="S207" s="63"/>
      <c r="T207" s="63"/>
    </row>
    <row r="208" spans="1:20" ht="12.75">
      <c r="A208" s="1185"/>
      <c r="B208" s="377">
        <v>5</v>
      </c>
      <c r="C208" s="454" t="s">
        <v>670</v>
      </c>
      <c r="D208" s="363">
        <v>100</v>
      </c>
      <c r="E208" s="363">
        <v>1969</v>
      </c>
      <c r="F208" s="364">
        <v>62.28</v>
      </c>
      <c r="G208" s="364">
        <v>6.765</v>
      </c>
      <c r="H208" s="364">
        <v>15.77</v>
      </c>
      <c r="I208" s="364">
        <v>39.745</v>
      </c>
      <c r="J208" s="373">
        <v>4440.95</v>
      </c>
      <c r="K208" s="364">
        <v>39.745</v>
      </c>
      <c r="L208" s="373">
        <v>4440.95</v>
      </c>
      <c r="M208" s="374">
        <f t="shared" si="30"/>
        <v>0.008949661671489207</v>
      </c>
      <c r="N208" s="368">
        <v>302.3</v>
      </c>
      <c r="O208" s="376">
        <f t="shared" si="27"/>
        <v>2.7054827232911873</v>
      </c>
      <c r="P208" s="369">
        <f t="shared" si="28"/>
        <v>536.9797002893525</v>
      </c>
      <c r="Q208" s="375">
        <f t="shared" si="29"/>
        <v>162.32896339747126</v>
      </c>
      <c r="S208" s="63"/>
      <c r="T208" s="63"/>
    </row>
    <row r="209" spans="1:20" ht="12.75">
      <c r="A209" s="1185"/>
      <c r="B209" s="377">
        <v>6</v>
      </c>
      <c r="C209" s="454" t="s">
        <v>671</v>
      </c>
      <c r="D209" s="363">
        <v>108</v>
      </c>
      <c r="E209" s="363">
        <v>1975</v>
      </c>
      <c r="F209" s="364">
        <v>84.29</v>
      </c>
      <c r="G209" s="364">
        <v>11.417</v>
      </c>
      <c r="H209" s="364">
        <v>17.28</v>
      </c>
      <c r="I209" s="364">
        <v>55.593</v>
      </c>
      <c r="J209" s="373">
        <v>6152.22</v>
      </c>
      <c r="K209" s="364">
        <v>55.593</v>
      </c>
      <c r="L209" s="373">
        <v>6152.22</v>
      </c>
      <c r="M209" s="374">
        <f t="shared" si="30"/>
        <v>0.009036250329149478</v>
      </c>
      <c r="N209" s="368">
        <v>302.3</v>
      </c>
      <c r="O209" s="376">
        <f t="shared" si="27"/>
        <v>2.731658474501887</v>
      </c>
      <c r="P209" s="369">
        <f t="shared" si="28"/>
        <v>542.1750197489687</v>
      </c>
      <c r="Q209" s="375">
        <f t="shared" si="29"/>
        <v>163.89950847011323</v>
      </c>
      <c r="S209" s="63"/>
      <c r="T209" s="63"/>
    </row>
    <row r="210" spans="1:20" ht="12.75">
      <c r="A210" s="1185"/>
      <c r="B210" s="377">
        <v>7</v>
      </c>
      <c r="C210" s="454" t="s">
        <v>672</v>
      </c>
      <c r="D210" s="363">
        <v>119</v>
      </c>
      <c r="E210" s="363">
        <v>1971</v>
      </c>
      <c r="F210" s="364">
        <v>82.919</v>
      </c>
      <c r="G210" s="364">
        <v>11.05</v>
      </c>
      <c r="H210" s="364">
        <v>19.04</v>
      </c>
      <c r="I210" s="364">
        <v>52.829</v>
      </c>
      <c r="J210" s="373">
        <v>5772.18</v>
      </c>
      <c r="K210" s="364">
        <v>52.829</v>
      </c>
      <c r="L210" s="373">
        <v>5772.18</v>
      </c>
      <c r="M210" s="374">
        <f t="shared" si="30"/>
        <v>0.009152347986376031</v>
      </c>
      <c r="N210" s="368">
        <v>302.3</v>
      </c>
      <c r="O210" s="376">
        <f t="shared" si="27"/>
        <v>2.7667547962814742</v>
      </c>
      <c r="P210" s="369">
        <f t="shared" si="28"/>
        <v>549.1408791825618</v>
      </c>
      <c r="Q210" s="375">
        <f t="shared" si="29"/>
        <v>166.00528777688842</v>
      </c>
      <c r="S210" s="63"/>
      <c r="T210" s="63"/>
    </row>
    <row r="211" spans="1:20" ht="12.75">
      <c r="A211" s="1185"/>
      <c r="B211" s="377">
        <v>8</v>
      </c>
      <c r="C211" s="491" t="s">
        <v>673</v>
      </c>
      <c r="D211" s="363">
        <v>120</v>
      </c>
      <c r="E211" s="363">
        <v>1972</v>
      </c>
      <c r="F211" s="364">
        <v>83.676</v>
      </c>
      <c r="G211" s="364">
        <v>11.609</v>
      </c>
      <c r="H211" s="364">
        <v>19.04</v>
      </c>
      <c r="I211" s="364">
        <v>53.028</v>
      </c>
      <c r="J211" s="373">
        <v>5746.89</v>
      </c>
      <c r="K211" s="364">
        <v>53.028</v>
      </c>
      <c r="L211" s="373">
        <v>5746.89</v>
      </c>
      <c r="M211" s="374">
        <f t="shared" si="30"/>
        <v>0.0092272516091312</v>
      </c>
      <c r="N211" s="368">
        <v>302.3</v>
      </c>
      <c r="O211" s="376">
        <f t="shared" si="27"/>
        <v>2.789398161440362</v>
      </c>
      <c r="P211" s="369">
        <f t="shared" si="28"/>
        <v>553.6350965478719</v>
      </c>
      <c r="Q211" s="375">
        <f t="shared" si="29"/>
        <v>167.36388968642166</v>
      </c>
      <c r="S211" s="63"/>
      <c r="T211" s="63"/>
    </row>
    <row r="212" spans="1:20" ht="12.75">
      <c r="A212" s="1185"/>
      <c r="B212" s="377">
        <v>9</v>
      </c>
      <c r="C212" s="454" t="s">
        <v>674</v>
      </c>
      <c r="D212" s="363">
        <v>64</v>
      </c>
      <c r="E212" s="363">
        <v>1970</v>
      </c>
      <c r="F212" s="364">
        <v>41.6</v>
      </c>
      <c r="G212" s="364">
        <v>5.846</v>
      </c>
      <c r="H212" s="364">
        <v>9.6</v>
      </c>
      <c r="I212" s="364">
        <v>26.154</v>
      </c>
      <c r="J212" s="373">
        <v>2791.86</v>
      </c>
      <c r="K212" s="364">
        <v>25.848</v>
      </c>
      <c r="L212" s="373">
        <v>2759.2</v>
      </c>
      <c r="M212" s="374">
        <f t="shared" si="30"/>
        <v>0.009367932734125834</v>
      </c>
      <c r="N212" s="368">
        <v>302.3</v>
      </c>
      <c r="O212" s="376">
        <f t="shared" si="27"/>
        <v>2.8319260655262397</v>
      </c>
      <c r="P212" s="369">
        <f t="shared" si="28"/>
        <v>562.07596404755</v>
      </c>
      <c r="Q212" s="375">
        <f t="shared" si="29"/>
        <v>169.91556393157438</v>
      </c>
      <c r="S212" s="63"/>
      <c r="T212" s="63"/>
    </row>
    <row r="213" spans="1:20" ht="13.5" customHeight="1" thickBot="1">
      <c r="A213" s="1186"/>
      <c r="B213" s="388">
        <v>10</v>
      </c>
      <c r="C213" s="455" t="s">
        <v>675</v>
      </c>
      <c r="D213" s="398">
        <v>60</v>
      </c>
      <c r="E213" s="398">
        <v>1972</v>
      </c>
      <c r="F213" s="399">
        <v>41.731</v>
      </c>
      <c r="G213" s="399">
        <v>6.176</v>
      </c>
      <c r="H213" s="399">
        <v>9.6</v>
      </c>
      <c r="I213" s="399">
        <v>25.955</v>
      </c>
      <c r="J213" s="409">
        <v>2729.58</v>
      </c>
      <c r="K213" s="399">
        <v>25.955</v>
      </c>
      <c r="L213" s="409">
        <v>2729.58</v>
      </c>
      <c r="M213" s="401">
        <f t="shared" si="30"/>
        <v>0.009508788897925688</v>
      </c>
      <c r="N213" s="409">
        <v>302.3</v>
      </c>
      <c r="O213" s="402">
        <f t="shared" si="27"/>
        <v>2.8745068838429355</v>
      </c>
      <c r="P213" s="402">
        <f t="shared" si="28"/>
        <v>570.5273338755412</v>
      </c>
      <c r="Q213" s="403">
        <f t="shared" si="29"/>
        <v>172.4704130305761</v>
      </c>
      <c r="S213" s="63"/>
      <c r="T213" s="63"/>
    </row>
    <row r="214" spans="1:20" ht="11.25" customHeight="1">
      <c r="A214" s="1285" t="s">
        <v>46</v>
      </c>
      <c r="B214" s="477">
        <v>1</v>
      </c>
      <c r="C214" s="851" t="s">
        <v>676</v>
      </c>
      <c r="D214" s="178">
        <v>30</v>
      </c>
      <c r="E214" s="178">
        <v>1988</v>
      </c>
      <c r="F214" s="252">
        <v>29.996</v>
      </c>
      <c r="G214" s="252">
        <v>2.776</v>
      </c>
      <c r="H214" s="252">
        <v>4.8</v>
      </c>
      <c r="I214" s="252">
        <v>22.42</v>
      </c>
      <c r="J214" s="112">
        <v>1509.1</v>
      </c>
      <c r="K214" s="252">
        <v>22.42</v>
      </c>
      <c r="L214" s="181">
        <v>1509.1</v>
      </c>
      <c r="M214" s="170">
        <f t="shared" si="30"/>
        <v>0.014856537008813201</v>
      </c>
      <c r="N214" s="181">
        <v>302.3</v>
      </c>
      <c r="O214" s="169">
        <f t="shared" si="27"/>
        <v>4.491131137764231</v>
      </c>
      <c r="P214" s="169">
        <f t="shared" si="28"/>
        <v>891.3922205287921</v>
      </c>
      <c r="Q214" s="171">
        <f t="shared" si="29"/>
        <v>269.46786826585384</v>
      </c>
      <c r="S214" s="63"/>
      <c r="T214" s="63"/>
    </row>
    <row r="215" spans="1:20" ht="12.75">
      <c r="A215" s="1188"/>
      <c r="B215" s="480">
        <v>2</v>
      </c>
      <c r="C215" s="1171" t="s">
        <v>677</v>
      </c>
      <c r="D215" s="102">
        <v>30</v>
      </c>
      <c r="E215" s="102">
        <v>1992</v>
      </c>
      <c r="F215" s="183">
        <v>32.246</v>
      </c>
      <c r="G215" s="183">
        <v>4.271</v>
      </c>
      <c r="H215" s="183">
        <v>4.8</v>
      </c>
      <c r="I215" s="183">
        <v>23.175</v>
      </c>
      <c r="J215" s="114">
        <v>1505.1</v>
      </c>
      <c r="K215" s="183">
        <v>23.175</v>
      </c>
      <c r="L215" s="114">
        <v>1505.1</v>
      </c>
      <c r="M215" s="113">
        <f t="shared" si="30"/>
        <v>0.015397647996810844</v>
      </c>
      <c r="N215" s="181">
        <v>302.3</v>
      </c>
      <c r="O215" s="115">
        <f t="shared" si="27"/>
        <v>4.654708989435918</v>
      </c>
      <c r="P215" s="169">
        <f t="shared" si="28"/>
        <v>923.8588798086506</v>
      </c>
      <c r="Q215" s="116">
        <f t="shared" si="29"/>
        <v>279.2825393661551</v>
      </c>
      <c r="S215" s="63"/>
      <c r="T215" s="63"/>
    </row>
    <row r="216" spans="1:20" ht="12.75">
      <c r="A216" s="1188"/>
      <c r="B216" s="480">
        <v>3</v>
      </c>
      <c r="C216" s="1171" t="s">
        <v>678</v>
      </c>
      <c r="D216" s="102">
        <v>22</v>
      </c>
      <c r="E216" s="102">
        <v>1976</v>
      </c>
      <c r="F216" s="183">
        <v>25.115</v>
      </c>
      <c r="G216" s="183">
        <v>2.607</v>
      </c>
      <c r="H216" s="183">
        <v>3.52</v>
      </c>
      <c r="I216" s="183">
        <v>18.988</v>
      </c>
      <c r="J216" s="114">
        <v>1170.7</v>
      </c>
      <c r="K216" s="183">
        <v>18.988</v>
      </c>
      <c r="L216" s="114">
        <v>1170.7</v>
      </c>
      <c r="M216" s="113">
        <f t="shared" si="30"/>
        <v>0.016219355940890065</v>
      </c>
      <c r="N216" s="181">
        <v>302.3</v>
      </c>
      <c r="O216" s="115">
        <f t="shared" si="27"/>
        <v>4.903111300931067</v>
      </c>
      <c r="P216" s="169">
        <f t="shared" si="28"/>
        <v>973.1613564534039</v>
      </c>
      <c r="Q216" s="116">
        <f t="shared" si="29"/>
        <v>294.186678055864</v>
      </c>
      <c r="S216" s="63"/>
      <c r="T216" s="63"/>
    </row>
    <row r="217" spans="1:20" ht="12.75">
      <c r="A217" s="1188"/>
      <c r="B217" s="480">
        <v>4</v>
      </c>
      <c r="C217" s="1172" t="s">
        <v>679</v>
      </c>
      <c r="D217" s="101">
        <v>30</v>
      </c>
      <c r="E217" s="101">
        <v>1992</v>
      </c>
      <c r="F217" s="296">
        <v>32.896</v>
      </c>
      <c r="G217" s="296">
        <v>3.141</v>
      </c>
      <c r="H217" s="296">
        <v>4.8</v>
      </c>
      <c r="I217" s="296">
        <v>24.955</v>
      </c>
      <c r="J217" s="181">
        <v>1505.1</v>
      </c>
      <c r="K217" s="296">
        <v>24.955</v>
      </c>
      <c r="L217" s="181">
        <v>1505.1</v>
      </c>
      <c r="M217" s="113">
        <f t="shared" si="30"/>
        <v>0.016580293668194804</v>
      </c>
      <c r="N217" s="181">
        <v>302.3</v>
      </c>
      <c r="O217" s="115">
        <f t="shared" si="27"/>
        <v>5.01222277589529</v>
      </c>
      <c r="P217" s="169">
        <f t="shared" si="28"/>
        <v>994.8176200916882</v>
      </c>
      <c r="Q217" s="116">
        <f t="shared" si="29"/>
        <v>300.73336655371736</v>
      </c>
      <c r="S217" s="63"/>
      <c r="T217" s="63"/>
    </row>
    <row r="218" spans="1:20" ht="12.75">
      <c r="A218" s="1188"/>
      <c r="B218" s="480">
        <v>5</v>
      </c>
      <c r="C218" s="1171" t="s">
        <v>680</v>
      </c>
      <c r="D218" s="102">
        <v>45</v>
      </c>
      <c r="E218" s="102">
        <v>1984</v>
      </c>
      <c r="F218" s="183">
        <v>53.778</v>
      </c>
      <c r="G218" s="183">
        <v>4.238</v>
      </c>
      <c r="H218" s="183">
        <v>7.2</v>
      </c>
      <c r="I218" s="183">
        <v>42.34</v>
      </c>
      <c r="J218" s="114">
        <v>2338.7</v>
      </c>
      <c r="K218" s="183">
        <v>42.34</v>
      </c>
      <c r="L218" s="114">
        <v>2338.7</v>
      </c>
      <c r="M218" s="113">
        <f t="shared" si="30"/>
        <v>0.018104074913413436</v>
      </c>
      <c r="N218" s="181">
        <v>302.3</v>
      </c>
      <c r="O218" s="115">
        <f t="shared" si="27"/>
        <v>5.472861846324882</v>
      </c>
      <c r="P218" s="169">
        <f t="shared" si="28"/>
        <v>1086.2444948048062</v>
      </c>
      <c r="Q218" s="116">
        <f t="shared" si="29"/>
        <v>328.3717107794929</v>
      </c>
      <c r="S218" s="63"/>
      <c r="T218" s="63"/>
    </row>
    <row r="219" spans="1:20" ht="12.75">
      <c r="A219" s="1188"/>
      <c r="B219" s="480">
        <v>6</v>
      </c>
      <c r="C219" s="1171" t="s">
        <v>681</v>
      </c>
      <c r="D219" s="102">
        <v>4</v>
      </c>
      <c r="E219" s="102">
        <v>1954</v>
      </c>
      <c r="F219" s="183">
        <v>6.258</v>
      </c>
      <c r="G219" s="183">
        <v>0.51</v>
      </c>
      <c r="H219" s="183">
        <v>0.48</v>
      </c>
      <c r="I219" s="183">
        <v>5.268</v>
      </c>
      <c r="J219" s="114">
        <v>278.31</v>
      </c>
      <c r="K219" s="183">
        <v>5.268</v>
      </c>
      <c r="L219" s="114">
        <v>278.31</v>
      </c>
      <c r="M219" s="113">
        <f t="shared" si="30"/>
        <v>0.018928532930904386</v>
      </c>
      <c r="N219" s="181">
        <v>302.3</v>
      </c>
      <c r="O219" s="115">
        <f t="shared" si="27"/>
        <v>5.722095505012396</v>
      </c>
      <c r="P219" s="169">
        <f t="shared" si="28"/>
        <v>1135.711975854263</v>
      </c>
      <c r="Q219" s="116">
        <f t="shared" si="29"/>
        <v>343.3257303007437</v>
      </c>
      <c r="S219" s="63"/>
      <c r="T219" s="63"/>
    </row>
    <row r="220" spans="1:20" ht="12.75">
      <c r="A220" s="1188"/>
      <c r="B220" s="480">
        <v>7</v>
      </c>
      <c r="C220" s="1171" t="s">
        <v>682</v>
      </c>
      <c r="D220" s="102">
        <v>31</v>
      </c>
      <c r="E220" s="102">
        <v>1981</v>
      </c>
      <c r="F220" s="183">
        <v>38.07</v>
      </c>
      <c r="G220" s="183">
        <v>3.377</v>
      </c>
      <c r="H220" s="183">
        <v>4.8</v>
      </c>
      <c r="I220" s="183">
        <v>29.893</v>
      </c>
      <c r="J220" s="114">
        <v>1508.3</v>
      </c>
      <c r="K220" s="183">
        <v>29.893</v>
      </c>
      <c r="L220" s="114">
        <v>1508.3</v>
      </c>
      <c r="M220" s="113">
        <f t="shared" si="30"/>
        <v>0.019819001524895578</v>
      </c>
      <c r="N220" s="181">
        <v>302.3</v>
      </c>
      <c r="O220" s="115">
        <f t="shared" si="27"/>
        <v>5.991284160975933</v>
      </c>
      <c r="P220" s="169">
        <f t="shared" si="28"/>
        <v>1189.1400914937346</v>
      </c>
      <c r="Q220" s="116">
        <f t="shared" si="29"/>
        <v>359.477049658556</v>
      </c>
      <c r="S220" s="63"/>
      <c r="T220" s="63"/>
    </row>
    <row r="221" spans="1:20" ht="12.75">
      <c r="A221" s="1188"/>
      <c r="B221" s="480">
        <v>8</v>
      </c>
      <c r="C221" s="1171" t="s">
        <v>683</v>
      </c>
      <c r="D221" s="102">
        <v>45</v>
      </c>
      <c r="E221" s="102">
        <v>1960</v>
      </c>
      <c r="F221" s="183">
        <v>42.781</v>
      </c>
      <c r="G221" s="183">
        <v>3.876</v>
      </c>
      <c r="H221" s="183">
        <v>0.44</v>
      </c>
      <c r="I221" s="183">
        <v>38.465</v>
      </c>
      <c r="J221" s="114">
        <v>1919.38</v>
      </c>
      <c r="K221" s="183">
        <v>38.465</v>
      </c>
      <c r="L221" s="114">
        <v>1919.38</v>
      </c>
      <c r="M221" s="113">
        <f t="shared" si="30"/>
        <v>0.020040325521783076</v>
      </c>
      <c r="N221" s="181">
        <v>302.3</v>
      </c>
      <c r="O221" s="115">
        <f t="shared" si="27"/>
        <v>6.058190405235024</v>
      </c>
      <c r="P221" s="169">
        <f t="shared" si="28"/>
        <v>1202.4195313069845</v>
      </c>
      <c r="Q221" s="116">
        <f t="shared" si="29"/>
        <v>363.4914243141014</v>
      </c>
      <c r="S221" s="63"/>
      <c r="T221" s="63"/>
    </row>
    <row r="222" spans="1:20" ht="12.75">
      <c r="A222" s="1188"/>
      <c r="B222" s="480">
        <v>9</v>
      </c>
      <c r="C222" s="1171" t="s">
        <v>255</v>
      </c>
      <c r="D222" s="102">
        <v>22</v>
      </c>
      <c r="E222" s="102">
        <v>1961</v>
      </c>
      <c r="F222" s="183">
        <v>21.917</v>
      </c>
      <c r="G222" s="183">
        <v>1.836</v>
      </c>
      <c r="H222" s="183">
        <v>0.2</v>
      </c>
      <c r="I222" s="183">
        <v>19.881</v>
      </c>
      <c r="J222" s="114">
        <v>900.48</v>
      </c>
      <c r="K222" s="183">
        <v>19.881</v>
      </c>
      <c r="L222" s="114">
        <v>900.48</v>
      </c>
      <c r="M222" s="113">
        <f t="shared" si="30"/>
        <v>0.022078224946695094</v>
      </c>
      <c r="N222" s="181">
        <v>302.3</v>
      </c>
      <c r="O222" s="115">
        <f t="shared" si="27"/>
        <v>6.674247401385927</v>
      </c>
      <c r="P222" s="169">
        <f t="shared" si="28"/>
        <v>1324.6934968017056</v>
      </c>
      <c r="Q222" s="116">
        <f t="shared" si="29"/>
        <v>400.45484408315565</v>
      </c>
      <c r="S222" s="63"/>
      <c r="T222" s="63"/>
    </row>
    <row r="223" spans="1:20" ht="13.5" thickBot="1">
      <c r="A223" s="1189"/>
      <c r="B223" s="489">
        <v>10</v>
      </c>
      <c r="C223" s="1173" t="s">
        <v>684</v>
      </c>
      <c r="D223" s="103">
        <v>63</v>
      </c>
      <c r="E223" s="103">
        <v>1973</v>
      </c>
      <c r="F223" s="251">
        <v>44.053</v>
      </c>
      <c r="G223" s="251">
        <v>5.049</v>
      </c>
      <c r="H223" s="251">
        <v>0.62</v>
      </c>
      <c r="I223" s="251">
        <v>38.384</v>
      </c>
      <c r="J223" s="182">
        <v>1706.1</v>
      </c>
      <c r="K223" s="251">
        <v>38.384</v>
      </c>
      <c r="L223" s="182">
        <v>1706.1</v>
      </c>
      <c r="M223" s="172">
        <f t="shared" si="30"/>
        <v>0.022498095070628922</v>
      </c>
      <c r="N223" s="182">
        <v>302.3</v>
      </c>
      <c r="O223" s="173">
        <f t="shared" si="27"/>
        <v>6.801174139851123</v>
      </c>
      <c r="P223" s="173">
        <f t="shared" si="28"/>
        <v>1349.8857042377354</v>
      </c>
      <c r="Q223" s="174">
        <f t="shared" si="29"/>
        <v>408.0704483910674</v>
      </c>
      <c r="S223" s="63"/>
      <c r="T223" s="63"/>
    </row>
    <row r="224" spans="1:20" ht="12.75">
      <c r="A224" s="1190" t="s">
        <v>49</v>
      </c>
      <c r="B224" s="27">
        <v>1</v>
      </c>
      <c r="C224" s="321" t="s">
        <v>685</v>
      </c>
      <c r="D224" s="852">
        <v>20</v>
      </c>
      <c r="E224" s="282">
        <v>1961</v>
      </c>
      <c r="F224" s="853">
        <v>25.265</v>
      </c>
      <c r="G224" s="297">
        <v>2.04</v>
      </c>
      <c r="H224" s="297">
        <v>0.2</v>
      </c>
      <c r="I224" s="854">
        <f aca="true" t="shared" si="31" ref="I224:I233">F224-G224-H224</f>
        <v>23.025000000000002</v>
      </c>
      <c r="J224" s="134">
        <v>886.96</v>
      </c>
      <c r="K224" s="853">
        <v>23.025</v>
      </c>
      <c r="L224" s="134">
        <v>886.96</v>
      </c>
      <c r="M224" s="117">
        <f>K224/L224</f>
        <v>0.025959457021737166</v>
      </c>
      <c r="N224" s="134">
        <v>302.3</v>
      </c>
      <c r="O224" s="119">
        <f>M224*N224</f>
        <v>7.847543857671146</v>
      </c>
      <c r="P224" s="137">
        <f>M224*60*1000</f>
        <v>1557.5674213042298</v>
      </c>
      <c r="Q224" s="120">
        <f>P224*N224/1000</f>
        <v>470.8526314602687</v>
      </c>
      <c r="S224" s="63"/>
      <c r="T224" s="63"/>
    </row>
    <row r="225" spans="1:20" ht="12.75">
      <c r="A225" s="1191"/>
      <c r="B225" s="29">
        <v>2</v>
      </c>
      <c r="C225" s="318" t="s">
        <v>256</v>
      </c>
      <c r="D225" s="339">
        <v>36</v>
      </c>
      <c r="E225" s="104">
        <v>1959</v>
      </c>
      <c r="F225" s="319">
        <v>40.65</v>
      </c>
      <c r="G225" s="179">
        <v>2.601</v>
      </c>
      <c r="H225" s="179">
        <v>2.29</v>
      </c>
      <c r="I225" s="320">
        <f t="shared" si="31"/>
        <v>35.759</v>
      </c>
      <c r="J225" s="118">
        <v>1558.74</v>
      </c>
      <c r="K225" s="319">
        <v>34.133</v>
      </c>
      <c r="L225" s="134">
        <v>1296.95</v>
      </c>
      <c r="M225" s="117">
        <f>K225/L225</f>
        <v>0.026317899687728904</v>
      </c>
      <c r="N225" s="134">
        <v>302.3</v>
      </c>
      <c r="O225" s="119">
        <f>M225*N225</f>
        <v>7.955901075600448</v>
      </c>
      <c r="P225" s="137">
        <f>M225*60*1000</f>
        <v>1579.0739812637341</v>
      </c>
      <c r="Q225" s="120">
        <f>P225*N225/1000</f>
        <v>477.35406453602684</v>
      </c>
      <c r="S225" s="63"/>
      <c r="T225" s="63"/>
    </row>
    <row r="226" spans="1:20" ht="12.75">
      <c r="A226" s="1191"/>
      <c r="B226" s="29">
        <v>3</v>
      </c>
      <c r="C226" s="318" t="s">
        <v>605</v>
      </c>
      <c r="D226" s="339">
        <v>6</v>
      </c>
      <c r="E226" s="104">
        <v>1935</v>
      </c>
      <c r="F226" s="319">
        <v>6.227</v>
      </c>
      <c r="G226" s="179">
        <v>0.306</v>
      </c>
      <c r="H226" s="179">
        <v>0.64</v>
      </c>
      <c r="I226" s="320">
        <f t="shared" si="31"/>
        <v>5.281000000000001</v>
      </c>
      <c r="J226" s="118">
        <v>200.18</v>
      </c>
      <c r="K226" s="319">
        <v>5.281</v>
      </c>
      <c r="L226" s="134">
        <v>200.18</v>
      </c>
      <c r="M226" s="117">
        <f>K226/L226</f>
        <v>0.02638125686881806</v>
      </c>
      <c r="N226" s="134">
        <v>302.3</v>
      </c>
      <c r="O226" s="119">
        <f>M226*N226</f>
        <v>7.975053951443701</v>
      </c>
      <c r="P226" s="137">
        <f>M226*60*1000</f>
        <v>1582.8754121290838</v>
      </c>
      <c r="Q226" s="120">
        <f>P226*N226/1000</f>
        <v>478.50323708662205</v>
      </c>
      <c r="S226" s="63"/>
      <c r="T226" s="63"/>
    </row>
    <row r="227" spans="1:20" ht="12.75">
      <c r="A227" s="1191"/>
      <c r="B227" s="29">
        <v>4</v>
      </c>
      <c r="C227" s="318" t="s">
        <v>686</v>
      </c>
      <c r="D227" s="339">
        <v>80</v>
      </c>
      <c r="E227" s="104">
        <v>1961</v>
      </c>
      <c r="F227" s="319">
        <v>41.623</v>
      </c>
      <c r="G227" s="179">
        <v>4.743</v>
      </c>
      <c r="H227" s="179">
        <v>0.8</v>
      </c>
      <c r="I227" s="320">
        <f t="shared" si="31"/>
        <v>36.08</v>
      </c>
      <c r="J227" s="118">
        <v>1344.76</v>
      </c>
      <c r="K227" s="319">
        <v>36.08</v>
      </c>
      <c r="L227" s="134">
        <v>1344.76</v>
      </c>
      <c r="M227" s="117">
        <f aca="true" t="shared" si="32" ref="M227:M233">K227/L227</f>
        <v>0.026830066331538713</v>
      </c>
      <c r="N227" s="134">
        <v>302.3</v>
      </c>
      <c r="O227" s="119">
        <f aca="true" t="shared" si="33" ref="O227:O233">M227*N227</f>
        <v>8.110729052024153</v>
      </c>
      <c r="P227" s="137">
        <f aca="true" t="shared" si="34" ref="P227:P233">M227*60*1000</f>
        <v>1609.8039798923228</v>
      </c>
      <c r="Q227" s="120">
        <f aca="true" t="shared" si="35" ref="Q227:Q233">P227*N227/1000</f>
        <v>486.6437431214492</v>
      </c>
      <c r="S227" s="63"/>
      <c r="T227" s="63"/>
    </row>
    <row r="228" spans="1:20" ht="12.75">
      <c r="A228" s="1191"/>
      <c r="B228" s="29">
        <v>5</v>
      </c>
      <c r="C228" s="318" t="s">
        <v>239</v>
      </c>
      <c r="D228" s="104">
        <v>6</v>
      </c>
      <c r="E228" s="104">
        <v>1953</v>
      </c>
      <c r="F228" s="179">
        <v>6.056</v>
      </c>
      <c r="G228" s="179">
        <v>0.272</v>
      </c>
      <c r="H228" s="179">
        <v>0.02</v>
      </c>
      <c r="I228" s="179">
        <f t="shared" si="31"/>
        <v>5.764</v>
      </c>
      <c r="J228" s="118">
        <v>272.16</v>
      </c>
      <c r="K228" s="179">
        <v>4.072</v>
      </c>
      <c r="L228" s="118">
        <v>142.96</v>
      </c>
      <c r="M228" s="117">
        <f t="shared" si="32"/>
        <v>0.02848349188584219</v>
      </c>
      <c r="N228" s="134">
        <v>302.3</v>
      </c>
      <c r="O228" s="119">
        <f t="shared" si="33"/>
        <v>8.610559597090095</v>
      </c>
      <c r="P228" s="137">
        <f t="shared" si="34"/>
        <v>1709.0095131505313</v>
      </c>
      <c r="Q228" s="120">
        <f t="shared" si="35"/>
        <v>516.6335758254056</v>
      </c>
      <c r="S228" s="63"/>
      <c r="T228" s="63"/>
    </row>
    <row r="229" spans="1:20" ht="12.75">
      <c r="A229" s="1191"/>
      <c r="B229" s="29">
        <v>6</v>
      </c>
      <c r="C229" s="318" t="s">
        <v>687</v>
      </c>
      <c r="D229" s="104">
        <v>9</v>
      </c>
      <c r="E229" s="104">
        <v>1925</v>
      </c>
      <c r="F229" s="179">
        <v>20.055</v>
      </c>
      <c r="G229" s="179"/>
      <c r="H229" s="179"/>
      <c r="I229" s="179">
        <f t="shared" si="31"/>
        <v>20.055</v>
      </c>
      <c r="J229" s="118">
        <v>684.97</v>
      </c>
      <c r="K229" s="179">
        <v>8.334</v>
      </c>
      <c r="L229" s="118">
        <v>284.64</v>
      </c>
      <c r="M229" s="117">
        <f t="shared" si="32"/>
        <v>0.029279089376053963</v>
      </c>
      <c r="N229" s="134">
        <v>302.3</v>
      </c>
      <c r="O229" s="119">
        <f t="shared" si="33"/>
        <v>8.851068718381114</v>
      </c>
      <c r="P229" s="137">
        <f t="shared" si="34"/>
        <v>1756.745362563238</v>
      </c>
      <c r="Q229" s="120">
        <f t="shared" si="35"/>
        <v>531.0641231028668</v>
      </c>
      <c r="S229" s="63"/>
      <c r="T229" s="63"/>
    </row>
    <row r="230" spans="1:20" ht="12.75">
      <c r="A230" s="1191"/>
      <c r="B230" s="29">
        <v>7</v>
      </c>
      <c r="C230" s="318" t="s">
        <v>148</v>
      </c>
      <c r="D230" s="104">
        <v>6</v>
      </c>
      <c r="E230" s="104">
        <v>1955</v>
      </c>
      <c r="F230" s="179">
        <v>8.191</v>
      </c>
      <c r="G230" s="179">
        <v>0.153</v>
      </c>
      <c r="H230" s="179">
        <v>0.06</v>
      </c>
      <c r="I230" s="179">
        <f t="shared" si="31"/>
        <v>7.978000000000001</v>
      </c>
      <c r="J230" s="118">
        <v>249.66</v>
      </c>
      <c r="K230" s="179">
        <v>6.598</v>
      </c>
      <c r="L230" s="118">
        <v>206.48</v>
      </c>
      <c r="M230" s="117">
        <f t="shared" si="32"/>
        <v>0.0319546687330492</v>
      </c>
      <c r="N230" s="134">
        <v>302.3</v>
      </c>
      <c r="O230" s="119">
        <f t="shared" si="33"/>
        <v>9.659896358000774</v>
      </c>
      <c r="P230" s="137">
        <f t="shared" si="34"/>
        <v>1917.2801239829523</v>
      </c>
      <c r="Q230" s="120">
        <f t="shared" si="35"/>
        <v>579.5937814800465</v>
      </c>
      <c r="S230" s="63"/>
      <c r="T230" s="63"/>
    </row>
    <row r="231" spans="1:20" ht="12.75">
      <c r="A231" s="1191"/>
      <c r="B231" s="28">
        <v>8</v>
      </c>
      <c r="C231" s="318" t="s">
        <v>257</v>
      </c>
      <c r="D231" s="104">
        <v>6</v>
      </c>
      <c r="E231" s="104">
        <v>1926</v>
      </c>
      <c r="F231" s="179">
        <v>9.988</v>
      </c>
      <c r="G231" s="179">
        <v>0.306</v>
      </c>
      <c r="H231" s="179">
        <v>0.8</v>
      </c>
      <c r="I231" s="179">
        <f t="shared" si="31"/>
        <v>8.882</v>
      </c>
      <c r="J231" s="118">
        <v>254.15</v>
      </c>
      <c r="K231" s="179">
        <v>6.79</v>
      </c>
      <c r="L231" s="118">
        <v>194.28</v>
      </c>
      <c r="M231" s="117">
        <f t="shared" si="32"/>
        <v>0.034949557339921763</v>
      </c>
      <c r="N231" s="134">
        <v>302.3</v>
      </c>
      <c r="O231" s="119">
        <f t="shared" si="33"/>
        <v>10.565251183858349</v>
      </c>
      <c r="P231" s="137">
        <f t="shared" si="34"/>
        <v>2096.9734403953057</v>
      </c>
      <c r="Q231" s="120">
        <f t="shared" si="35"/>
        <v>633.9150710315009</v>
      </c>
      <c r="S231" s="63"/>
      <c r="T231" s="63"/>
    </row>
    <row r="232" spans="1:20" ht="12.75">
      <c r="A232" s="1191"/>
      <c r="B232" s="29">
        <v>9</v>
      </c>
      <c r="C232" s="318" t="s">
        <v>149</v>
      </c>
      <c r="D232" s="104">
        <v>23</v>
      </c>
      <c r="E232" s="104">
        <v>1963</v>
      </c>
      <c r="F232" s="179">
        <v>17.74</v>
      </c>
      <c r="G232" s="179"/>
      <c r="H232" s="179"/>
      <c r="I232" s="179">
        <f t="shared" si="31"/>
        <v>17.74</v>
      </c>
      <c r="J232" s="118">
        <v>502.6</v>
      </c>
      <c r="K232" s="179">
        <v>17.74</v>
      </c>
      <c r="L232" s="118">
        <v>502.6</v>
      </c>
      <c r="M232" s="117">
        <f t="shared" si="32"/>
        <v>0.03529645841623557</v>
      </c>
      <c r="N232" s="134">
        <v>302.3</v>
      </c>
      <c r="O232" s="119">
        <f t="shared" si="33"/>
        <v>10.670119379228012</v>
      </c>
      <c r="P232" s="137">
        <f t="shared" si="34"/>
        <v>2117.787504974134</v>
      </c>
      <c r="Q232" s="120">
        <f t="shared" si="35"/>
        <v>640.2071627536808</v>
      </c>
      <c r="S232" s="63"/>
      <c r="T232" s="63"/>
    </row>
    <row r="233" spans="1:20" ht="13.5" thickBot="1">
      <c r="A233" s="1192"/>
      <c r="B233" s="33">
        <v>10</v>
      </c>
      <c r="C233" s="322" t="s">
        <v>240</v>
      </c>
      <c r="D233" s="105">
        <v>6</v>
      </c>
      <c r="E233" s="105">
        <v>1959</v>
      </c>
      <c r="F233" s="205">
        <v>7.57</v>
      </c>
      <c r="G233" s="205">
        <v>0.408</v>
      </c>
      <c r="H233" s="205">
        <v>0.06</v>
      </c>
      <c r="I233" s="205">
        <f t="shared" si="31"/>
        <v>7.102</v>
      </c>
      <c r="J233" s="122">
        <v>225.86</v>
      </c>
      <c r="K233" s="205">
        <v>5.481</v>
      </c>
      <c r="L233" s="122">
        <v>149.18</v>
      </c>
      <c r="M233" s="121">
        <f t="shared" si="32"/>
        <v>0.036740849979890064</v>
      </c>
      <c r="N233" s="122">
        <v>302.3</v>
      </c>
      <c r="O233" s="123">
        <f t="shared" si="33"/>
        <v>11.106758948920767</v>
      </c>
      <c r="P233" s="123">
        <f t="shared" si="34"/>
        <v>2204.450998793404</v>
      </c>
      <c r="Q233" s="124">
        <f t="shared" si="35"/>
        <v>666.405536935246</v>
      </c>
      <c r="S233" s="63"/>
      <c r="T233" s="63"/>
    </row>
    <row r="234" spans="19:20" ht="12.75">
      <c r="S234" s="63"/>
      <c r="T234" s="63"/>
    </row>
    <row r="235" spans="19:20" ht="12.75">
      <c r="S235" s="63"/>
      <c r="T235" s="63"/>
    </row>
    <row r="236" spans="1:20" ht="15">
      <c r="A236" s="1199" t="s">
        <v>55</v>
      </c>
      <c r="B236" s="1199"/>
      <c r="C236" s="1199"/>
      <c r="D236" s="1199"/>
      <c r="E236" s="1199"/>
      <c r="F236" s="1199"/>
      <c r="G236" s="1199"/>
      <c r="H236" s="1199"/>
      <c r="I236" s="1199"/>
      <c r="J236" s="1199"/>
      <c r="K236" s="1199"/>
      <c r="L236" s="1199"/>
      <c r="M236" s="1199"/>
      <c r="N236" s="1199"/>
      <c r="O236" s="1199"/>
      <c r="P236" s="1199"/>
      <c r="Q236" s="1199"/>
      <c r="S236" s="63"/>
      <c r="T236" s="63"/>
    </row>
    <row r="237" spans="1:20" ht="13.5" thickBot="1">
      <c r="A237" s="1200" t="s">
        <v>688</v>
      </c>
      <c r="B237" s="1255"/>
      <c r="C237" s="1255"/>
      <c r="D237" s="1255"/>
      <c r="E237" s="1255"/>
      <c r="F237" s="1255"/>
      <c r="G237" s="1255"/>
      <c r="H237" s="1255"/>
      <c r="I237" s="1255"/>
      <c r="J237" s="1255"/>
      <c r="K237" s="1255"/>
      <c r="L237" s="1255"/>
      <c r="M237" s="1255"/>
      <c r="N237" s="1255"/>
      <c r="O237" s="1255"/>
      <c r="P237" s="1255"/>
      <c r="Q237" s="1255"/>
      <c r="S237" s="63"/>
      <c r="T237" s="63"/>
    </row>
    <row r="238" spans="1:20" ht="12.75" customHeight="1">
      <c r="A238" s="1201" t="s">
        <v>1</v>
      </c>
      <c r="B238" s="1203" t="s">
        <v>0</v>
      </c>
      <c r="C238" s="1193" t="s">
        <v>2</v>
      </c>
      <c r="D238" s="1193" t="s">
        <v>3</v>
      </c>
      <c r="E238" s="1193" t="s">
        <v>13</v>
      </c>
      <c r="F238" s="1207" t="s">
        <v>14</v>
      </c>
      <c r="G238" s="1208"/>
      <c r="H238" s="1208"/>
      <c r="I238" s="1209"/>
      <c r="J238" s="1193" t="s">
        <v>4</v>
      </c>
      <c r="K238" s="1193" t="s">
        <v>15</v>
      </c>
      <c r="L238" s="1193" t="s">
        <v>5</v>
      </c>
      <c r="M238" s="1193" t="s">
        <v>6</v>
      </c>
      <c r="N238" s="1193" t="s">
        <v>16</v>
      </c>
      <c r="O238" s="1195" t="s">
        <v>17</v>
      </c>
      <c r="P238" s="1193" t="s">
        <v>25</v>
      </c>
      <c r="Q238" s="1197" t="s">
        <v>26</v>
      </c>
      <c r="S238" s="63"/>
      <c r="T238" s="63"/>
    </row>
    <row r="239" spans="1:20" s="2" customFormat="1" ht="33.75">
      <c r="A239" s="1202"/>
      <c r="B239" s="1204"/>
      <c r="C239" s="1205"/>
      <c r="D239" s="1194"/>
      <c r="E239" s="1194"/>
      <c r="F239" s="26" t="s">
        <v>18</v>
      </c>
      <c r="G239" s="26" t="s">
        <v>19</v>
      </c>
      <c r="H239" s="26" t="s">
        <v>20</v>
      </c>
      <c r="I239" s="26" t="s">
        <v>21</v>
      </c>
      <c r="J239" s="1194"/>
      <c r="K239" s="1194"/>
      <c r="L239" s="1194"/>
      <c r="M239" s="1194"/>
      <c r="N239" s="1194"/>
      <c r="O239" s="1196"/>
      <c r="P239" s="1194"/>
      <c r="Q239" s="1198"/>
      <c r="S239" s="63"/>
      <c r="T239" s="63"/>
    </row>
    <row r="240" spans="1:20" s="3" customFormat="1" ht="13.5" customHeight="1" thickBot="1">
      <c r="A240" s="1259"/>
      <c r="B240" s="1256"/>
      <c r="C240" s="1206"/>
      <c r="D240" s="42" t="s">
        <v>7</v>
      </c>
      <c r="E240" s="42" t="s">
        <v>8</v>
      </c>
      <c r="F240" s="42" t="s">
        <v>9</v>
      </c>
      <c r="G240" s="42" t="s">
        <v>9</v>
      </c>
      <c r="H240" s="42" t="s">
        <v>9</v>
      </c>
      <c r="I240" s="42" t="s">
        <v>9</v>
      </c>
      <c r="J240" s="42" t="s">
        <v>22</v>
      </c>
      <c r="K240" s="42" t="s">
        <v>9</v>
      </c>
      <c r="L240" s="42" t="s">
        <v>22</v>
      </c>
      <c r="M240" s="42" t="s">
        <v>145</v>
      </c>
      <c r="N240" s="42" t="s">
        <v>10</v>
      </c>
      <c r="O240" s="42" t="s">
        <v>146</v>
      </c>
      <c r="P240" s="43" t="s">
        <v>27</v>
      </c>
      <c r="Q240" s="44" t="s">
        <v>28</v>
      </c>
      <c r="S240" s="63"/>
      <c r="T240" s="63"/>
    </row>
    <row r="241" spans="1:20" ht="12.75" customHeight="1">
      <c r="A241" s="1248" t="s">
        <v>11</v>
      </c>
      <c r="B241" s="20">
        <v>1</v>
      </c>
      <c r="C241" s="655" t="s">
        <v>207</v>
      </c>
      <c r="D241" s="656">
        <v>30</v>
      </c>
      <c r="E241" s="511">
        <v>1971</v>
      </c>
      <c r="F241" s="673">
        <f>+G241+H241+I241</f>
        <v>14.666003</v>
      </c>
      <c r="G241" s="674">
        <v>3.8166480000000003</v>
      </c>
      <c r="H241" s="674">
        <v>4.8</v>
      </c>
      <c r="I241" s="674">
        <v>6.049355</v>
      </c>
      <c r="J241" s="679">
        <v>1569.65</v>
      </c>
      <c r="K241" s="674">
        <v>6.049355</v>
      </c>
      <c r="L241" s="679">
        <v>1569.65</v>
      </c>
      <c r="M241" s="665">
        <f>+K241/L241</f>
        <v>0.0038539515178542985</v>
      </c>
      <c r="N241" s="666">
        <v>338.118</v>
      </c>
      <c r="O241" s="667">
        <f>+M241*N241</f>
        <v>1.3030903793138597</v>
      </c>
      <c r="P241" s="667">
        <f>+M241*60*1000</f>
        <v>231.23709107125794</v>
      </c>
      <c r="Q241" s="596">
        <f>+O241*60</f>
        <v>78.18542275883158</v>
      </c>
      <c r="R241" s="6"/>
      <c r="S241" s="63"/>
      <c r="T241" s="63"/>
    </row>
    <row r="242" spans="1:20" ht="12.75">
      <c r="A242" s="1249"/>
      <c r="B242" s="21">
        <v>2</v>
      </c>
      <c r="C242" s="655" t="s">
        <v>153</v>
      </c>
      <c r="D242" s="656">
        <v>36</v>
      </c>
      <c r="E242" s="487">
        <v>1977</v>
      </c>
      <c r="F242" s="673">
        <f aca="true" t="shared" si="36" ref="F242:F249">+G242+H242+I242</f>
        <v>23.407919999999997</v>
      </c>
      <c r="G242" s="674">
        <v>4.99224</v>
      </c>
      <c r="H242" s="674">
        <v>8.64</v>
      </c>
      <c r="I242" s="674">
        <v>9.77568</v>
      </c>
      <c r="J242" s="679">
        <v>2249.59</v>
      </c>
      <c r="K242" s="674">
        <v>9.77568</v>
      </c>
      <c r="L242" s="679">
        <v>2249.59</v>
      </c>
      <c r="M242" s="665">
        <f aca="true" t="shared" si="37" ref="M242:M249">+K242/L242</f>
        <v>0.004345538520352597</v>
      </c>
      <c r="N242" s="666">
        <v>338.118</v>
      </c>
      <c r="O242" s="667">
        <f aca="true" t="shared" si="38" ref="O242:O249">+M242*N242</f>
        <v>1.4693047934245795</v>
      </c>
      <c r="P242" s="667">
        <f aca="true" t="shared" si="39" ref="P242:P249">+M242*60*1000</f>
        <v>260.7323112211558</v>
      </c>
      <c r="Q242" s="738">
        <f aca="true" t="shared" si="40" ref="Q242:Q249">+O242*60</f>
        <v>88.15828760547477</v>
      </c>
      <c r="S242" s="63"/>
      <c r="T242" s="63"/>
    </row>
    <row r="243" spans="1:20" ht="12.75">
      <c r="A243" s="1249"/>
      <c r="B243" s="21">
        <v>3</v>
      </c>
      <c r="C243" s="655" t="s">
        <v>154</v>
      </c>
      <c r="D243" s="656">
        <v>30</v>
      </c>
      <c r="E243" s="487">
        <v>1973</v>
      </c>
      <c r="F243" s="673">
        <f t="shared" si="36"/>
        <v>16.386995</v>
      </c>
      <c r="G243" s="674">
        <v>4.0851</v>
      </c>
      <c r="H243" s="674">
        <v>4.8</v>
      </c>
      <c r="I243" s="674">
        <v>7.501894999999999</v>
      </c>
      <c r="J243" s="679">
        <v>1569.45</v>
      </c>
      <c r="K243" s="674">
        <v>7.501894999999999</v>
      </c>
      <c r="L243" s="679">
        <v>1569.45</v>
      </c>
      <c r="M243" s="665">
        <f t="shared" si="37"/>
        <v>0.004779951575392653</v>
      </c>
      <c r="N243" s="666">
        <v>338.118</v>
      </c>
      <c r="O243" s="667">
        <f t="shared" si="38"/>
        <v>1.616187666768613</v>
      </c>
      <c r="P243" s="667">
        <f t="shared" si="39"/>
        <v>286.79709452355917</v>
      </c>
      <c r="Q243" s="738">
        <f t="shared" si="40"/>
        <v>96.97126000611678</v>
      </c>
      <c r="S243" s="63"/>
      <c r="T243" s="63"/>
    </row>
    <row r="244" spans="1:20" ht="12.75">
      <c r="A244" s="1249"/>
      <c r="B244" s="21">
        <v>4</v>
      </c>
      <c r="C244" s="655" t="s">
        <v>150</v>
      </c>
      <c r="D244" s="656">
        <v>10</v>
      </c>
      <c r="E244" s="487">
        <v>2008</v>
      </c>
      <c r="F244" s="673">
        <f t="shared" si="36"/>
        <v>4.248749999999999</v>
      </c>
      <c r="G244" s="674">
        <v>1.55672</v>
      </c>
      <c r="H244" s="674">
        <v>0.02803</v>
      </c>
      <c r="I244" s="674">
        <v>2.6639999999999997</v>
      </c>
      <c r="J244" s="679">
        <v>1122.7</v>
      </c>
      <c r="K244" s="674">
        <v>2.6639999999999997</v>
      </c>
      <c r="L244" s="679">
        <v>552.87</v>
      </c>
      <c r="M244" s="665">
        <f t="shared" si="37"/>
        <v>0.004818492593195506</v>
      </c>
      <c r="N244" s="666">
        <v>338.118</v>
      </c>
      <c r="O244" s="667">
        <f t="shared" si="38"/>
        <v>1.6292190786260783</v>
      </c>
      <c r="P244" s="667">
        <f t="shared" si="39"/>
        <v>289.1095555917304</v>
      </c>
      <c r="Q244" s="738">
        <f t="shared" si="40"/>
        <v>97.7531447175647</v>
      </c>
      <c r="S244" s="63"/>
      <c r="T244" s="63"/>
    </row>
    <row r="245" spans="1:20" ht="12.75">
      <c r="A245" s="1249"/>
      <c r="B245" s="21">
        <v>5</v>
      </c>
      <c r="C245" s="655" t="s">
        <v>205</v>
      </c>
      <c r="D245" s="656">
        <v>29</v>
      </c>
      <c r="E245" s="487">
        <v>2007</v>
      </c>
      <c r="F245" s="673">
        <f t="shared" si="36"/>
        <v>15.763828</v>
      </c>
      <c r="G245" s="674">
        <v>4.407128</v>
      </c>
      <c r="H245" s="674">
        <v>2.32</v>
      </c>
      <c r="I245" s="674">
        <v>9.0367</v>
      </c>
      <c r="J245" s="679">
        <v>3616.71</v>
      </c>
      <c r="K245" s="674">
        <v>9.0367</v>
      </c>
      <c r="L245" s="679">
        <v>1796.56</v>
      </c>
      <c r="M245" s="665">
        <f t="shared" si="37"/>
        <v>0.005030001781181814</v>
      </c>
      <c r="N245" s="666">
        <v>338.118</v>
      </c>
      <c r="O245" s="667">
        <f t="shared" si="38"/>
        <v>1.7007341422496325</v>
      </c>
      <c r="P245" s="667">
        <f t="shared" si="39"/>
        <v>301.8001068709088</v>
      </c>
      <c r="Q245" s="738">
        <f t="shared" si="40"/>
        <v>102.04404853497795</v>
      </c>
      <c r="S245" s="63"/>
      <c r="T245" s="63"/>
    </row>
    <row r="246" spans="1:20" ht="12.75">
      <c r="A246" s="1249"/>
      <c r="B246" s="21">
        <v>6</v>
      </c>
      <c r="C246" s="655" t="s">
        <v>204</v>
      </c>
      <c r="D246" s="656">
        <v>55</v>
      </c>
      <c r="E246" s="487">
        <v>1967</v>
      </c>
      <c r="F246" s="673">
        <f t="shared" si="36"/>
        <v>27.505003000000002</v>
      </c>
      <c r="G246" s="674">
        <v>5.6364</v>
      </c>
      <c r="H246" s="674">
        <v>8.8</v>
      </c>
      <c r="I246" s="674">
        <v>13.068603000000001</v>
      </c>
      <c r="J246" s="679">
        <v>2582.18</v>
      </c>
      <c r="K246" s="674">
        <v>13.068603000000001</v>
      </c>
      <c r="L246" s="679">
        <v>2582.18</v>
      </c>
      <c r="M246" s="665">
        <f t="shared" si="37"/>
        <v>0.005061073588982953</v>
      </c>
      <c r="N246" s="666">
        <v>338.118</v>
      </c>
      <c r="O246" s="667">
        <f t="shared" si="38"/>
        <v>1.711240079759738</v>
      </c>
      <c r="P246" s="667">
        <f t="shared" si="39"/>
        <v>303.66441533897716</v>
      </c>
      <c r="Q246" s="738">
        <f t="shared" si="40"/>
        <v>102.67440478558429</v>
      </c>
      <c r="S246" s="63"/>
      <c r="T246" s="63"/>
    </row>
    <row r="247" spans="1:20" ht="12.75">
      <c r="A247" s="1249"/>
      <c r="B247" s="21">
        <v>7</v>
      </c>
      <c r="C247" s="655" t="s">
        <v>203</v>
      </c>
      <c r="D247" s="656">
        <v>71</v>
      </c>
      <c r="E247" s="487">
        <v>1974</v>
      </c>
      <c r="F247" s="673">
        <f t="shared" si="36"/>
        <v>37.494917</v>
      </c>
      <c r="G247" s="674">
        <v>7.724552</v>
      </c>
      <c r="H247" s="674">
        <v>11.200000000000001</v>
      </c>
      <c r="I247" s="674">
        <v>18.570365</v>
      </c>
      <c r="J247" s="679">
        <v>3773.31</v>
      </c>
      <c r="K247" s="674">
        <v>18.570365</v>
      </c>
      <c r="L247" s="679">
        <v>3648.6800000000003</v>
      </c>
      <c r="M247" s="665">
        <f t="shared" si="37"/>
        <v>0.005089611859631428</v>
      </c>
      <c r="N247" s="666">
        <v>338.118</v>
      </c>
      <c r="O247" s="667">
        <f t="shared" si="38"/>
        <v>1.720889382754859</v>
      </c>
      <c r="P247" s="667">
        <f t="shared" si="39"/>
        <v>305.37671157788566</v>
      </c>
      <c r="Q247" s="738">
        <f t="shared" si="40"/>
        <v>103.25336296529154</v>
      </c>
      <c r="S247" s="63"/>
      <c r="T247" s="63"/>
    </row>
    <row r="248" spans="1:20" ht="12.75">
      <c r="A248" s="1249"/>
      <c r="B248" s="21">
        <v>8</v>
      </c>
      <c r="C248" s="655" t="s">
        <v>152</v>
      </c>
      <c r="D248" s="656">
        <v>20</v>
      </c>
      <c r="E248" s="487">
        <v>1976</v>
      </c>
      <c r="F248" s="673">
        <f t="shared" si="36"/>
        <v>16.416</v>
      </c>
      <c r="G248" s="674">
        <v>3.4782</v>
      </c>
      <c r="H248" s="674">
        <v>3.04</v>
      </c>
      <c r="I248" s="674">
        <v>9.8978</v>
      </c>
      <c r="J248" s="679">
        <v>1720.29</v>
      </c>
      <c r="K248" s="674">
        <v>9.8978</v>
      </c>
      <c r="L248" s="679">
        <v>1720.29</v>
      </c>
      <c r="M248" s="665">
        <f t="shared" si="37"/>
        <v>0.005753564805933883</v>
      </c>
      <c r="N248" s="666">
        <v>333.213</v>
      </c>
      <c r="O248" s="667">
        <f t="shared" si="38"/>
        <v>1.9171625896796471</v>
      </c>
      <c r="P248" s="667">
        <f t="shared" si="39"/>
        <v>345.213888356033</v>
      </c>
      <c r="Q248" s="738">
        <f t="shared" si="40"/>
        <v>115.02975538077882</v>
      </c>
      <c r="S248" s="63"/>
      <c r="T248" s="63"/>
    </row>
    <row r="249" spans="1:20" ht="12.75">
      <c r="A249" s="1249"/>
      <c r="B249" s="21">
        <v>9</v>
      </c>
      <c r="C249" s="655" t="s">
        <v>209</v>
      </c>
      <c r="D249" s="656">
        <v>40</v>
      </c>
      <c r="E249" s="487">
        <v>2009</v>
      </c>
      <c r="F249" s="673">
        <f t="shared" si="36"/>
        <v>27.137999999999998</v>
      </c>
      <c r="G249" s="674">
        <v>9.87712</v>
      </c>
      <c r="H249" s="674">
        <v>3.2</v>
      </c>
      <c r="I249" s="674">
        <v>14.06088</v>
      </c>
      <c r="J249" s="679">
        <v>2225.68</v>
      </c>
      <c r="K249" s="674">
        <v>14.06088</v>
      </c>
      <c r="L249" s="679">
        <v>2225.68</v>
      </c>
      <c r="M249" s="665">
        <f t="shared" si="37"/>
        <v>0.006317565867510155</v>
      </c>
      <c r="N249" s="666">
        <v>338.118</v>
      </c>
      <c r="O249" s="667">
        <f t="shared" si="38"/>
        <v>2.1360827359907986</v>
      </c>
      <c r="P249" s="667">
        <f t="shared" si="39"/>
        <v>379.05395205060927</v>
      </c>
      <c r="Q249" s="738">
        <f t="shared" si="40"/>
        <v>128.16496415944792</v>
      </c>
      <c r="S249" s="63"/>
      <c r="T249" s="63"/>
    </row>
    <row r="250" spans="1:20" ht="13.5" thickBot="1">
      <c r="A250" s="1250"/>
      <c r="B250" s="45">
        <v>10</v>
      </c>
      <c r="C250" s="512"/>
      <c r="D250" s="513"/>
      <c r="E250" s="513"/>
      <c r="F250" s="675"/>
      <c r="G250" s="675"/>
      <c r="H250" s="675"/>
      <c r="I250" s="675"/>
      <c r="J250" s="680"/>
      <c r="K250" s="675"/>
      <c r="L250" s="680"/>
      <c r="M250" s="668"/>
      <c r="N250" s="669"/>
      <c r="O250" s="670"/>
      <c r="P250" s="670"/>
      <c r="Q250" s="814"/>
      <c r="S250" s="63"/>
      <c r="T250" s="63"/>
    </row>
    <row r="251" spans="1:20" ht="11.25" customHeight="1">
      <c r="A251" s="1242" t="s">
        <v>29</v>
      </c>
      <c r="B251" s="404">
        <v>1</v>
      </c>
      <c r="C251" s="657" t="s">
        <v>206</v>
      </c>
      <c r="D251" s="658">
        <v>10</v>
      </c>
      <c r="E251" s="404">
        <v>1999</v>
      </c>
      <c r="F251" s="439">
        <f>+G251+H251+I251</f>
        <v>8.3696</v>
      </c>
      <c r="G251" s="676">
        <v>0</v>
      </c>
      <c r="H251" s="676">
        <v>0</v>
      </c>
      <c r="I251" s="676">
        <v>8.3696</v>
      </c>
      <c r="J251" s="681">
        <v>1261.9</v>
      </c>
      <c r="K251" s="676">
        <v>8.3696</v>
      </c>
      <c r="L251" s="681">
        <v>1261.9</v>
      </c>
      <c r="M251" s="809">
        <f>+K251/L251</f>
        <v>0.006632538235993343</v>
      </c>
      <c r="N251" s="742">
        <v>333.213</v>
      </c>
      <c r="O251" s="440">
        <f>+M251*N251</f>
        <v>2.21004796323005</v>
      </c>
      <c r="P251" s="444">
        <f>+M251*60*1000</f>
        <v>397.95229415960057</v>
      </c>
      <c r="Q251" s="421">
        <f>+O251*60</f>
        <v>132.60287779380297</v>
      </c>
      <c r="S251" s="63"/>
      <c r="T251" s="63"/>
    </row>
    <row r="252" spans="1:20" ht="12.75" customHeight="1">
      <c r="A252" s="1243"/>
      <c r="B252" s="377">
        <v>2</v>
      </c>
      <c r="C252" s="657" t="s">
        <v>689</v>
      </c>
      <c r="D252" s="658">
        <v>30</v>
      </c>
      <c r="E252" s="377">
        <v>1972</v>
      </c>
      <c r="F252" s="379">
        <f aca="true" t="shared" si="41" ref="F252:F258">+G252+H252+I252</f>
        <v>23.013998</v>
      </c>
      <c r="G252" s="676">
        <v>6.316503</v>
      </c>
      <c r="H252" s="676">
        <v>4.8</v>
      </c>
      <c r="I252" s="676">
        <v>11.897495</v>
      </c>
      <c r="J252" s="681">
        <v>1720.3</v>
      </c>
      <c r="K252" s="676">
        <v>11.897495</v>
      </c>
      <c r="L252" s="681">
        <v>1720.3</v>
      </c>
      <c r="M252" s="381">
        <f aca="true" t="shared" si="42" ref="M252:M259">+K252/L252</f>
        <v>0.0069159419868627565</v>
      </c>
      <c r="N252" s="382">
        <v>338.118</v>
      </c>
      <c r="O252" s="382">
        <f aca="true" t="shared" si="43" ref="O252:O259">+M252*N252</f>
        <v>2.3384044727140614</v>
      </c>
      <c r="P252" s="444">
        <f aca="true" t="shared" si="44" ref="P252:P259">+M252*60*1000</f>
        <v>414.9565192117654</v>
      </c>
      <c r="Q252" s="421">
        <f aca="true" t="shared" si="45" ref="Q252:Q259">+O252*60</f>
        <v>140.3042683628437</v>
      </c>
      <c r="S252" s="63"/>
      <c r="T252" s="63"/>
    </row>
    <row r="253" spans="1:20" ht="12.75" customHeight="1">
      <c r="A253" s="1243"/>
      <c r="B253" s="377">
        <v>3</v>
      </c>
      <c r="C253" s="657" t="s">
        <v>690</v>
      </c>
      <c r="D253" s="658">
        <v>61</v>
      </c>
      <c r="E253" s="377">
        <v>1970</v>
      </c>
      <c r="F253" s="379">
        <f t="shared" si="41"/>
        <v>41.720995</v>
      </c>
      <c r="G253" s="676">
        <v>9.811738</v>
      </c>
      <c r="H253" s="676">
        <v>9.6</v>
      </c>
      <c r="I253" s="676">
        <v>22.309257</v>
      </c>
      <c r="J253" s="681">
        <v>3138.23</v>
      </c>
      <c r="K253" s="676">
        <v>22.309257</v>
      </c>
      <c r="L253" s="681">
        <v>3138.23</v>
      </c>
      <c r="M253" s="381">
        <f t="shared" si="42"/>
        <v>0.007108866144291527</v>
      </c>
      <c r="N253" s="382">
        <v>338.118</v>
      </c>
      <c r="O253" s="382">
        <f t="shared" si="43"/>
        <v>2.4036356029755623</v>
      </c>
      <c r="P253" s="444">
        <f t="shared" si="44"/>
        <v>426.5319686574916</v>
      </c>
      <c r="Q253" s="421">
        <f t="shared" si="45"/>
        <v>144.21813617853374</v>
      </c>
      <c r="S253" s="63"/>
      <c r="T253" s="63"/>
    </row>
    <row r="254" spans="1:20" s="67" customFormat="1" ht="12.75" customHeight="1">
      <c r="A254" s="1243"/>
      <c r="B254" s="407">
        <v>4</v>
      </c>
      <c r="C254" s="657" t="s">
        <v>208</v>
      </c>
      <c r="D254" s="658">
        <v>34</v>
      </c>
      <c r="E254" s="377">
        <v>2001</v>
      </c>
      <c r="F254" s="379">
        <f t="shared" si="41"/>
        <v>21.486999000000004</v>
      </c>
      <c r="G254" s="676">
        <v>3.3818400000000004</v>
      </c>
      <c r="H254" s="676">
        <v>5.44</v>
      </c>
      <c r="I254" s="676">
        <v>12.665159000000001</v>
      </c>
      <c r="J254" s="681">
        <v>1747.92</v>
      </c>
      <c r="K254" s="676">
        <v>12.665159000000001</v>
      </c>
      <c r="L254" s="681">
        <v>1747.92</v>
      </c>
      <c r="M254" s="381">
        <f t="shared" si="42"/>
        <v>0.007245845919721727</v>
      </c>
      <c r="N254" s="382">
        <v>333.213</v>
      </c>
      <c r="O254" s="382">
        <f t="shared" si="43"/>
        <v>2.414410056448236</v>
      </c>
      <c r="P254" s="444">
        <f t="shared" si="44"/>
        <v>434.75075518330357</v>
      </c>
      <c r="Q254" s="421">
        <f t="shared" si="45"/>
        <v>144.86460338689417</v>
      </c>
      <c r="S254" s="63"/>
      <c r="T254" s="63"/>
    </row>
    <row r="255" spans="1:20" s="67" customFormat="1" ht="12.75" customHeight="1">
      <c r="A255" s="1243"/>
      <c r="B255" s="407">
        <v>5</v>
      </c>
      <c r="C255" s="657" t="s">
        <v>151</v>
      </c>
      <c r="D255" s="658">
        <v>93</v>
      </c>
      <c r="E255" s="377">
        <v>1973</v>
      </c>
      <c r="F255" s="379">
        <f t="shared" si="41"/>
        <v>55.815020000000004</v>
      </c>
      <c r="G255" s="676">
        <v>9.04508</v>
      </c>
      <c r="H255" s="676">
        <v>14.4</v>
      </c>
      <c r="I255" s="676">
        <v>32.36994</v>
      </c>
      <c r="J255" s="681">
        <v>4520.3</v>
      </c>
      <c r="K255" s="676">
        <v>32.36994</v>
      </c>
      <c r="L255" s="681">
        <v>4520.3</v>
      </c>
      <c r="M255" s="381">
        <f t="shared" si="42"/>
        <v>0.007161015861779085</v>
      </c>
      <c r="N255" s="382">
        <v>338.118</v>
      </c>
      <c r="O255" s="382">
        <f t="shared" si="43"/>
        <v>2.421268361153021</v>
      </c>
      <c r="P255" s="444">
        <f t="shared" si="44"/>
        <v>429.6609517067451</v>
      </c>
      <c r="Q255" s="421">
        <f t="shared" si="45"/>
        <v>145.27610166918126</v>
      </c>
      <c r="S255" s="63"/>
      <c r="T255" s="63"/>
    </row>
    <row r="256" spans="1:20" s="67" customFormat="1" ht="12.75" customHeight="1">
      <c r="A256" s="1243"/>
      <c r="B256" s="407">
        <v>6</v>
      </c>
      <c r="C256" s="657" t="s">
        <v>227</v>
      </c>
      <c r="D256" s="658">
        <v>10</v>
      </c>
      <c r="E256" s="377">
        <v>1994</v>
      </c>
      <c r="F256" s="379">
        <f t="shared" si="41"/>
        <v>10.038799000000001</v>
      </c>
      <c r="G256" s="676">
        <v>0.91256</v>
      </c>
      <c r="H256" s="676">
        <v>1.6</v>
      </c>
      <c r="I256" s="676">
        <v>7.526239</v>
      </c>
      <c r="J256" s="681">
        <v>1100.65</v>
      </c>
      <c r="K256" s="676">
        <v>7.526239</v>
      </c>
      <c r="L256" s="681">
        <v>982.46</v>
      </c>
      <c r="M256" s="381">
        <f t="shared" si="42"/>
        <v>0.007660606029762026</v>
      </c>
      <c r="N256" s="382">
        <v>338.118</v>
      </c>
      <c r="O256" s="382">
        <f t="shared" si="43"/>
        <v>2.5901887895710765</v>
      </c>
      <c r="P256" s="444">
        <f t="shared" si="44"/>
        <v>459.63636178572153</v>
      </c>
      <c r="Q256" s="421">
        <f t="shared" si="45"/>
        <v>155.4113273742646</v>
      </c>
      <c r="S256" s="63"/>
      <c r="T256" s="63"/>
    </row>
    <row r="257" spans="1:20" s="67" customFormat="1" ht="12.75" customHeight="1">
      <c r="A257" s="1243"/>
      <c r="B257" s="407">
        <v>7</v>
      </c>
      <c r="C257" s="657" t="s">
        <v>691</v>
      </c>
      <c r="D257" s="658">
        <v>124</v>
      </c>
      <c r="E257" s="377">
        <v>1966</v>
      </c>
      <c r="F257" s="379">
        <f t="shared" si="41"/>
        <v>32.64609300000001</v>
      </c>
      <c r="G257" s="676">
        <v>3.907477</v>
      </c>
      <c r="H257" s="676">
        <v>0</v>
      </c>
      <c r="I257" s="676">
        <v>28.738616000000004</v>
      </c>
      <c r="J257" s="681">
        <v>3778.5</v>
      </c>
      <c r="K257" s="676">
        <v>28.738616000000004</v>
      </c>
      <c r="L257" s="681">
        <v>3729.33</v>
      </c>
      <c r="M257" s="381">
        <f t="shared" si="42"/>
        <v>0.007706106995090272</v>
      </c>
      <c r="N257" s="382">
        <v>338.118</v>
      </c>
      <c r="O257" s="382">
        <f t="shared" si="43"/>
        <v>2.6055734849659324</v>
      </c>
      <c r="P257" s="444">
        <f t="shared" si="44"/>
        <v>462.3664197054163</v>
      </c>
      <c r="Q257" s="421">
        <f t="shared" si="45"/>
        <v>156.33440909795596</v>
      </c>
      <c r="S257" s="63"/>
      <c r="T257" s="63"/>
    </row>
    <row r="258" spans="1:20" s="67" customFormat="1" ht="12.75" customHeight="1">
      <c r="A258" s="1243"/>
      <c r="B258" s="407">
        <v>8</v>
      </c>
      <c r="C258" s="657" t="s">
        <v>692</v>
      </c>
      <c r="D258" s="658">
        <v>111</v>
      </c>
      <c r="E258" s="377">
        <v>1972</v>
      </c>
      <c r="F258" s="379">
        <f t="shared" si="41"/>
        <v>74.65975700000001</v>
      </c>
      <c r="G258" s="676">
        <v>11.9952</v>
      </c>
      <c r="H258" s="676">
        <v>17.76</v>
      </c>
      <c r="I258" s="676">
        <v>44.904557000000004</v>
      </c>
      <c r="J258" s="681">
        <v>5858.8</v>
      </c>
      <c r="K258" s="676">
        <v>44.904557000000004</v>
      </c>
      <c r="L258" s="681">
        <v>5795.400000000001</v>
      </c>
      <c r="M258" s="381">
        <f t="shared" si="42"/>
        <v>0.007748310211547089</v>
      </c>
      <c r="N258" s="382">
        <v>338.118</v>
      </c>
      <c r="O258" s="382">
        <f t="shared" si="43"/>
        <v>2.6198431521078787</v>
      </c>
      <c r="P258" s="444">
        <f t="shared" si="44"/>
        <v>464.89861269282534</v>
      </c>
      <c r="Q258" s="421">
        <f t="shared" si="45"/>
        <v>157.19058912647273</v>
      </c>
      <c r="S258" s="63"/>
      <c r="T258" s="63"/>
    </row>
    <row r="259" spans="1:20" s="67" customFormat="1" ht="12.75" customHeight="1">
      <c r="A259" s="1243"/>
      <c r="B259" s="407">
        <v>9</v>
      </c>
      <c r="C259" s="657" t="s">
        <v>693</v>
      </c>
      <c r="D259" s="658">
        <v>21</v>
      </c>
      <c r="E259" s="377">
        <v>2000</v>
      </c>
      <c r="F259" s="417">
        <f>+G259+H259+I259</f>
        <v>14.278</v>
      </c>
      <c r="G259" s="676">
        <v>2.582008</v>
      </c>
      <c r="H259" s="676">
        <v>2.64</v>
      </c>
      <c r="I259" s="676">
        <v>9.055992</v>
      </c>
      <c r="J259" s="681">
        <v>1105.27</v>
      </c>
      <c r="K259" s="676">
        <v>9.055992</v>
      </c>
      <c r="L259" s="681">
        <v>1105.27</v>
      </c>
      <c r="M259" s="381">
        <f t="shared" si="42"/>
        <v>0.00819346584997331</v>
      </c>
      <c r="N259" s="382">
        <v>333.213</v>
      </c>
      <c r="O259" s="382">
        <f t="shared" si="43"/>
        <v>2.7301693362671564</v>
      </c>
      <c r="P259" s="444">
        <f t="shared" si="44"/>
        <v>491.60795099839856</v>
      </c>
      <c r="Q259" s="421">
        <f t="shared" si="45"/>
        <v>163.8101601760294</v>
      </c>
      <c r="S259" s="63"/>
      <c r="T259" s="63"/>
    </row>
    <row r="260" spans="1:20" s="67" customFormat="1" ht="12.75" customHeight="1" thickBot="1">
      <c r="A260" s="1244"/>
      <c r="B260" s="453">
        <v>10</v>
      </c>
      <c r="C260" s="422"/>
      <c r="D260" s="388"/>
      <c r="E260" s="388"/>
      <c r="F260" s="389"/>
      <c r="G260" s="389"/>
      <c r="H260" s="389"/>
      <c r="I260" s="389"/>
      <c r="J260" s="390"/>
      <c r="K260" s="389"/>
      <c r="L260" s="390"/>
      <c r="M260" s="391"/>
      <c r="N260" s="392"/>
      <c r="O260" s="393"/>
      <c r="P260" s="393"/>
      <c r="Q260" s="394"/>
      <c r="S260" s="63"/>
      <c r="T260" s="63"/>
    </row>
    <row r="261" spans="1:20" s="67" customFormat="1" ht="12.75" customHeight="1">
      <c r="A261" s="1333" t="s">
        <v>30</v>
      </c>
      <c r="B261" s="76">
        <v>1</v>
      </c>
      <c r="C261" s="659" t="s">
        <v>694</v>
      </c>
      <c r="D261" s="660">
        <v>20</v>
      </c>
      <c r="E261" s="477">
        <v>1985</v>
      </c>
      <c r="F261" s="747">
        <f>+G261+H261+I261</f>
        <v>23.334003000000003</v>
      </c>
      <c r="G261" s="677">
        <v>1.953952</v>
      </c>
      <c r="H261" s="677">
        <v>3.2</v>
      </c>
      <c r="I261" s="677">
        <v>18.180051000000002</v>
      </c>
      <c r="J261" s="682">
        <v>1045.6200000000001</v>
      </c>
      <c r="K261" s="677">
        <v>18.180051000000002</v>
      </c>
      <c r="L261" s="682">
        <v>1045.6200000000001</v>
      </c>
      <c r="M261" s="810">
        <f>+K261/L261</f>
        <v>0.017386862340047052</v>
      </c>
      <c r="N261" s="743">
        <v>338.118</v>
      </c>
      <c r="O261" s="811">
        <f>+M261*N261</f>
        <v>5.8788111206920295</v>
      </c>
      <c r="P261" s="671">
        <f>+M261*60*1000</f>
        <v>1043.2117404028231</v>
      </c>
      <c r="Q261" s="553">
        <f>+O261*60</f>
        <v>352.72866724152175</v>
      </c>
      <c r="S261" s="63"/>
      <c r="T261" s="63"/>
    </row>
    <row r="262" spans="1:20" s="67" customFormat="1" ht="12.75">
      <c r="A262" s="1334"/>
      <c r="B262" s="69">
        <v>2</v>
      </c>
      <c r="C262" s="659" t="s">
        <v>695</v>
      </c>
      <c r="D262" s="660">
        <v>20</v>
      </c>
      <c r="E262" s="480">
        <v>1985</v>
      </c>
      <c r="F262" s="607">
        <f aca="true" t="shared" si="46" ref="F262:F269">+G262+H262+I262</f>
        <v>24.193002</v>
      </c>
      <c r="G262" s="677">
        <v>1.937848</v>
      </c>
      <c r="H262" s="677">
        <v>3.2</v>
      </c>
      <c r="I262" s="677">
        <v>19.055154</v>
      </c>
      <c r="J262" s="682">
        <v>1084.74</v>
      </c>
      <c r="K262" s="677">
        <v>19.055154</v>
      </c>
      <c r="L262" s="682">
        <v>1084.74</v>
      </c>
      <c r="M262" s="581">
        <f aca="true" t="shared" si="47" ref="M262:M269">+K262/L262</f>
        <v>0.01756656341611815</v>
      </c>
      <c r="N262" s="550">
        <v>338.118</v>
      </c>
      <c r="O262" s="550">
        <f aca="true" t="shared" si="48" ref="O262:O269">+M262*N262</f>
        <v>5.939571289131036</v>
      </c>
      <c r="P262" s="671">
        <f aca="true" t="shared" si="49" ref="P262:P269">+M262*60*1000</f>
        <v>1053.9938049670889</v>
      </c>
      <c r="Q262" s="553">
        <f aca="true" t="shared" si="50" ref="Q262:Q269">+O262*60</f>
        <v>356.3742773478622</v>
      </c>
      <c r="S262" s="63"/>
      <c r="T262" s="63"/>
    </row>
    <row r="263" spans="1:20" s="67" customFormat="1" ht="12.75">
      <c r="A263" s="1334"/>
      <c r="B263" s="69">
        <v>3</v>
      </c>
      <c r="C263" s="659" t="s">
        <v>696</v>
      </c>
      <c r="D263" s="660">
        <v>22</v>
      </c>
      <c r="E263" s="480">
        <v>1980</v>
      </c>
      <c r="F263" s="607">
        <f t="shared" si="46"/>
        <v>27.015001999999996</v>
      </c>
      <c r="G263" s="677">
        <v>1.8788</v>
      </c>
      <c r="H263" s="677">
        <v>3.52</v>
      </c>
      <c r="I263" s="677">
        <v>21.616201999999998</v>
      </c>
      <c r="J263" s="682">
        <v>1227.33</v>
      </c>
      <c r="K263" s="677">
        <v>21.616201999999998</v>
      </c>
      <c r="L263" s="682">
        <v>1227.33</v>
      </c>
      <c r="M263" s="581">
        <f t="shared" si="47"/>
        <v>0.017612379718576095</v>
      </c>
      <c r="N263" s="550">
        <v>338.118</v>
      </c>
      <c r="O263" s="550">
        <f t="shared" si="48"/>
        <v>5.955062605685512</v>
      </c>
      <c r="P263" s="671">
        <f t="shared" si="49"/>
        <v>1056.7427831145658</v>
      </c>
      <c r="Q263" s="553">
        <f t="shared" si="50"/>
        <v>357.30375634113074</v>
      </c>
      <c r="S263" s="63"/>
      <c r="T263" s="63"/>
    </row>
    <row r="264" spans="1:20" s="67" customFormat="1" ht="12.75">
      <c r="A264" s="1334"/>
      <c r="B264" s="69">
        <v>4</v>
      </c>
      <c r="C264" s="659" t="s">
        <v>241</v>
      </c>
      <c r="D264" s="660">
        <v>28</v>
      </c>
      <c r="E264" s="480">
        <v>1987</v>
      </c>
      <c r="F264" s="607">
        <f t="shared" si="46"/>
        <v>27.22011</v>
      </c>
      <c r="G264" s="677">
        <v>2.25456</v>
      </c>
      <c r="H264" s="677">
        <v>4.32</v>
      </c>
      <c r="I264" s="677">
        <v>20.64555</v>
      </c>
      <c r="J264" s="682">
        <v>1209.81</v>
      </c>
      <c r="K264" s="677">
        <v>20.64555</v>
      </c>
      <c r="L264" s="682">
        <v>1171.56</v>
      </c>
      <c r="M264" s="581">
        <f t="shared" si="47"/>
        <v>0.017622272866946637</v>
      </c>
      <c r="N264" s="550">
        <v>338.118</v>
      </c>
      <c r="O264" s="550">
        <f t="shared" si="48"/>
        <v>5.958407657226263</v>
      </c>
      <c r="P264" s="671">
        <f t="shared" si="49"/>
        <v>1057.3363720167984</v>
      </c>
      <c r="Q264" s="601">
        <f t="shared" si="50"/>
        <v>357.5044594335758</v>
      </c>
      <c r="S264" s="63"/>
      <c r="T264" s="63"/>
    </row>
    <row r="265" spans="1:20" s="67" customFormat="1" ht="12.75">
      <c r="A265" s="1334"/>
      <c r="B265" s="69">
        <v>5</v>
      </c>
      <c r="C265" s="659" t="s">
        <v>242</v>
      </c>
      <c r="D265" s="660">
        <v>12</v>
      </c>
      <c r="E265" s="480">
        <v>1987</v>
      </c>
      <c r="F265" s="607">
        <f t="shared" si="46"/>
        <v>13.755956000000001</v>
      </c>
      <c r="G265" s="677">
        <v>1.28832</v>
      </c>
      <c r="H265" s="677">
        <v>1.92</v>
      </c>
      <c r="I265" s="677">
        <v>10.547636</v>
      </c>
      <c r="J265" s="682">
        <v>598.54</v>
      </c>
      <c r="K265" s="677">
        <v>10.547636</v>
      </c>
      <c r="L265" s="682">
        <v>598.54</v>
      </c>
      <c r="M265" s="581">
        <f t="shared" si="47"/>
        <v>0.017622274200554684</v>
      </c>
      <c r="N265" s="550">
        <v>338.118</v>
      </c>
      <c r="O265" s="550">
        <f>+M265*N265</f>
        <v>5.958408108143149</v>
      </c>
      <c r="P265" s="671">
        <f t="shared" si="49"/>
        <v>1057.3364520332811</v>
      </c>
      <c r="Q265" s="553">
        <f t="shared" si="50"/>
        <v>357.50448648858895</v>
      </c>
      <c r="S265" s="63"/>
      <c r="T265" s="63"/>
    </row>
    <row r="266" spans="1:20" s="67" customFormat="1" ht="12.75">
      <c r="A266" s="1334"/>
      <c r="B266" s="69">
        <v>6</v>
      </c>
      <c r="C266" s="659" t="s">
        <v>697</v>
      </c>
      <c r="D266" s="660">
        <v>13</v>
      </c>
      <c r="E266" s="480">
        <v>1961</v>
      </c>
      <c r="F266" s="607">
        <f t="shared" si="46"/>
        <v>11.420241</v>
      </c>
      <c r="G266" s="677">
        <v>0.83204</v>
      </c>
      <c r="H266" s="677">
        <v>2</v>
      </c>
      <c r="I266" s="677">
        <v>8.588201</v>
      </c>
      <c r="J266" s="682">
        <v>846.44</v>
      </c>
      <c r="K266" s="677">
        <v>8.588201</v>
      </c>
      <c r="L266" s="682">
        <v>485.54</v>
      </c>
      <c r="M266" s="581">
        <f t="shared" si="47"/>
        <v>0.017687937142151007</v>
      </c>
      <c r="N266" s="550">
        <v>338.118</v>
      </c>
      <c r="O266" s="550">
        <f t="shared" si="48"/>
        <v>5.980609930629814</v>
      </c>
      <c r="P266" s="671">
        <f t="shared" si="49"/>
        <v>1061.2762285290605</v>
      </c>
      <c r="Q266" s="553">
        <f t="shared" si="50"/>
        <v>358.8365958377889</v>
      </c>
      <c r="S266" s="63"/>
      <c r="T266" s="63"/>
    </row>
    <row r="267" spans="1:20" s="67" customFormat="1" ht="12.75">
      <c r="A267" s="1334"/>
      <c r="B267" s="69">
        <v>7</v>
      </c>
      <c r="C267" s="659" t="s">
        <v>698</v>
      </c>
      <c r="D267" s="660">
        <v>26</v>
      </c>
      <c r="E267" s="480">
        <v>1960</v>
      </c>
      <c r="F267" s="607">
        <f t="shared" si="46"/>
        <v>25.21365</v>
      </c>
      <c r="G267" s="677">
        <v>2.243824</v>
      </c>
      <c r="H267" s="677">
        <v>4</v>
      </c>
      <c r="I267" s="677">
        <v>18.969826</v>
      </c>
      <c r="J267" s="682">
        <v>1403.08</v>
      </c>
      <c r="K267" s="677">
        <v>18.969826</v>
      </c>
      <c r="L267" s="682">
        <v>1070.98</v>
      </c>
      <c r="M267" s="581">
        <f t="shared" si="47"/>
        <v>0.017712586602924425</v>
      </c>
      <c r="N267" s="550">
        <v>338.118</v>
      </c>
      <c r="O267" s="550">
        <f t="shared" si="48"/>
        <v>5.9889443570076</v>
      </c>
      <c r="P267" s="671">
        <f t="shared" si="49"/>
        <v>1062.7551961754655</v>
      </c>
      <c r="Q267" s="553">
        <f t="shared" si="50"/>
        <v>359.33666142045604</v>
      </c>
      <c r="S267" s="63"/>
      <c r="T267" s="63"/>
    </row>
    <row r="268" spans="1:20" s="67" customFormat="1" ht="12.75">
      <c r="A268" s="1334"/>
      <c r="B268" s="69">
        <v>8</v>
      </c>
      <c r="C268" s="659" t="s">
        <v>699</v>
      </c>
      <c r="D268" s="660">
        <v>6</v>
      </c>
      <c r="E268" s="480">
        <v>1960</v>
      </c>
      <c r="F268" s="607">
        <f t="shared" si="46"/>
        <v>6.11209</v>
      </c>
      <c r="G268" s="677">
        <v>0.5368</v>
      </c>
      <c r="H268" s="677">
        <v>0.96</v>
      </c>
      <c r="I268" s="677">
        <v>4.61529</v>
      </c>
      <c r="J268" s="682">
        <v>531.26</v>
      </c>
      <c r="K268" s="677">
        <v>4.61529</v>
      </c>
      <c r="L268" s="682">
        <v>259.21</v>
      </c>
      <c r="M268" s="581">
        <f t="shared" si="47"/>
        <v>0.017805215848154008</v>
      </c>
      <c r="N268" s="550">
        <v>338.118</v>
      </c>
      <c r="O268" s="550">
        <f t="shared" si="48"/>
        <v>6.020263972146137</v>
      </c>
      <c r="P268" s="671">
        <f t="shared" si="49"/>
        <v>1068.3129508892405</v>
      </c>
      <c r="Q268" s="553">
        <f t="shared" si="50"/>
        <v>361.2158383287682</v>
      </c>
      <c r="S268" s="63"/>
      <c r="T268" s="63"/>
    </row>
    <row r="269" spans="1:20" s="67" customFormat="1" ht="12.75">
      <c r="A269" s="1334"/>
      <c r="B269" s="69">
        <v>9</v>
      </c>
      <c r="C269" s="661" t="s">
        <v>700</v>
      </c>
      <c r="D269" s="662">
        <v>6</v>
      </c>
      <c r="E269" s="480">
        <v>1900</v>
      </c>
      <c r="F269" s="607">
        <f t="shared" si="46"/>
        <v>4.7249</v>
      </c>
      <c r="G269" s="945">
        <v>0</v>
      </c>
      <c r="H269" s="945">
        <v>0</v>
      </c>
      <c r="I269" s="945">
        <v>4.7249</v>
      </c>
      <c r="J269" s="944">
        <v>259.28000000000003</v>
      </c>
      <c r="K269" s="945">
        <v>4.7249</v>
      </c>
      <c r="L269" s="944">
        <v>259.28000000000003</v>
      </c>
      <c r="M269" s="740">
        <f t="shared" si="47"/>
        <v>0.018223156433199626</v>
      </c>
      <c r="N269" s="552">
        <v>333.312</v>
      </c>
      <c r="O269" s="671">
        <f t="shared" si="48"/>
        <v>6.073996717062634</v>
      </c>
      <c r="P269" s="671">
        <f t="shared" si="49"/>
        <v>1093.3893859919776</v>
      </c>
      <c r="Q269" s="553">
        <f t="shared" si="50"/>
        <v>364.43980302375803</v>
      </c>
      <c r="S269" s="63"/>
      <c r="T269" s="63"/>
    </row>
    <row r="270" spans="1:20" s="67" customFormat="1" ht="13.5" thickBot="1">
      <c r="A270" s="1335"/>
      <c r="B270" s="87">
        <v>10</v>
      </c>
      <c r="C270" s="514"/>
      <c r="D270" s="489"/>
      <c r="E270" s="489"/>
      <c r="F270" s="532"/>
      <c r="G270" s="532"/>
      <c r="H270" s="532"/>
      <c r="I270" s="532"/>
      <c r="J270" s="533"/>
      <c r="K270" s="532"/>
      <c r="L270" s="533"/>
      <c r="M270" s="534"/>
      <c r="N270" s="535"/>
      <c r="O270" s="536"/>
      <c r="P270" s="536"/>
      <c r="Q270" s="537"/>
      <c r="S270" s="63"/>
      <c r="T270" s="63"/>
    </row>
    <row r="271" spans="1:20" s="67" customFormat="1" ht="12.75" customHeight="1">
      <c r="A271" s="1245" t="s">
        <v>12</v>
      </c>
      <c r="B271" s="77">
        <v>1</v>
      </c>
      <c r="C271" s="663" t="s">
        <v>701</v>
      </c>
      <c r="D271" s="664">
        <v>21</v>
      </c>
      <c r="E271" s="468">
        <v>1986</v>
      </c>
      <c r="F271" s="773">
        <f>+G271+H271+I271</f>
        <v>24.773</v>
      </c>
      <c r="G271" s="678">
        <v>1.7177600000000002</v>
      </c>
      <c r="H271" s="678">
        <v>3.2</v>
      </c>
      <c r="I271" s="678">
        <v>19.85524</v>
      </c>
      <c r="J271" s="683">
        <v>1090.65</v>
      </c>
      <c r="K271" s="678">
        <v>19.85524</v>
      </c>
      <c r="L271" s="683">
        <v>1090.65</v>
      </c>
      <c r="M271" s="812">
        <f>+K271/L271</f>
        <v>0.01820496034474854</v>
      </c>
      <c r="N271" s="769">
        <v>338.118</v>
      </c>
      <c r="O271" s="813">
        <f>+M271*N271</f>
        <v>6.155424781845687</v>
      </c>
      <c r="P271" s="618">
        <f>+M271*60*1000</f>
        <v>1092.2976206849123</v>
      </c>
      <c r="Q271" s="561">
        <f>+O271*60</f>
        <v>369.32548691074123</v>
      </c>
      <c r="S271" s="63"/>
      <c r="T271" s="63"/>
    </row>
    <row r="272" spans="1:20" s="67" customFormat="1" ht="12.75">
      <c r="A272" s="1246"/>
      <c r="B272" s="78">
        <v>2</v>
      </c>
      <c r="C272" s="663" t="s">
        <v>210</v>
      </c>
      <c r="D272" s="664">
        <v>9</v>
      </c>
      <c r="E272" s="470">
        <v>1977</v>
      </c>
      <c r="F272" s="609">
        <f aca="true" t="shared" si="51" ref="F272:F279">+G272+H272+I272</f>
        <v>9.464118000000001</v>
      </c>
      <c r="G272" s="678">
        <v>0.488488</v>
      </c>
      <c r="H272" s="678">
        <v>1.44</v>
      </c>
      <c r="I272" s="678">
        <v>7.53563</v>
      </c>
      <c r="J272" s="683">
        <v>670.11</v>
      </c>
      <c r="K272" s="678">
        <v>7.53563</v>
      </c>
      <c r="L272" s="683">
        <v>408.73</v>
      </c>
      <c r="M272" s="584">
        <f aca="true" t="shared" si="52" ref="M272:M279">+K272/L272</f>
        <v>0.018436694150172486</v>
      </c>
      <c r="N272" s="558">
        <v>338.118</v>
      </c>
      <c r="O272" s="558">
        <f aca="true" t="shared" si="53" ref="O272:O279">+M272*N272</f>
        <v>6.2337781526680205</v>
      </c>
      <c r="P272" s="618">
        <f aca="true" t="shared" si="54" ref="P272:P279">+M272*60*1000</f>
        <v>1106.2016490103492</v>
      </c>
      <c r="Q272" s="561">
        <f aca="true" t="shared" si="55" ref="Q272:Q279">+O272*60</f>
        <v>374.0266891600812</v>
      </c>
      <c r="S272" s="63"/>
      <c r="T272" s="63"/>
    </row>
    <row r="273" spans="1:20" s="67" customFormat="1" ht="12.75">
      <c r="A273" s="1246"/>
      <c r="B273" s="78">
        <v>3</v>
      </c>
      <c r="C273" s="663" t="s">
        <v>702</v>
      </c>
      <c r="D273" s="664">
        <v>16</v>
      </c>
      <c r="E273" s="470">
        <v>1988</v>
      </c>
      <c r="F273" s="609">
        <f t="shared" si="51"/>
        <v>22.944000000000003</v>
      </c>
      <c r="G273" s="678">
        <v>2.1471</v>
      </c>
      <c r="H273" s="678">
        <v>2.56</v>
      </c>
      <c r="I273" s="678">
        <v>18.236900000000002</v>
      </c>
      <c r="J273" s="683">
        <v>967.12</v>
      </c>
      <c r="K273" s="678">
        <v>18.236900000000002</v>
      </c>
      <c r="L273" s="683">
        <v>967.12</v>
      </c>
      <c r="M273" s="584">
        <f t="shared" si="52"/>
        <v>0.018856915377616017</v>
      </c>
      <c r="N273" s="558">
        <v>338.118</v>
      </c>
      <c r="O273" s="558">
        <f t="shared" si="53"/>
        <v>6.375862513648772</v>
      </c>
      <c r="P273" s="618">
        <f t="shared" si="54"/>
        <v>1131.414922656961</v>
      </c>
      <c r="Q273" s="561">
        <f t="shared" si="55"/>
        <v>382.55175081892634</v>
      </c>
      <c r="S273" s="63"/>
      <c r="T273" s="63"/>
    </row>
    <row r="274" spans="1:20" s="67" customFormat="1" ht="12.75">
      <c r="A274" s="1246"/>
      <c r="B274" s="78">
        <v>4</v>
      </c>
      <c r="C274" s="663" t="s">
        <v>703</v>
      </c>
      <c r="D274" s="664">
        <v>19</v>
      </c>
      <c r="E274" s="470">
        <v>1984</v>
      </c>
      <c r="F274" s="609">
        <f t="shared" si="51"/>
        <v>24.089226</v>
      </c>
      <c r="G274" s="678">
        <v>1.5759</v>
      </c>
      <c r="H274" s="678">
        <v>3.04</v>
      </c>
      <c r="I274" s="678">
        <v>19.473326</v>
      </c>
      <c r="J274" s="683">
        <v>1100.8</v>
      </c>
      <c r="K274" s="678">
        <v>19.473326</v>
      </c>
      <c r="L274" s="683">
        <v>1030.98</v>
      </c>
      <c r="M274" s="584">
        <f t="shared" si="52"/>
        <v>0.018888170478573784</v>
      </c>
      <c r="N274" s="558">
        <v>338.118</v>
      </c>
      <c r="O274" s="558">
        <f t="shared" si="53"/>
        <v>6.38643042587441</v>
      </c>
      <c r="P274" s="618">
        <f t="shared" si="54"/>
        <v>1133.290228714427</v>
      </c>
      <c r="Q274" s="561">
        <f t="shared" si="55"/>
        <v>383.1858255524646</v>
      </c>
      <c r="S274" s="63"/>
      <c r="T274" s="63"/>
    </row>
    <row r="275" spans="1:20" s="67" customFormat="1" ht="12.75">
      <c r="A275" s="1246"/>
      <c r="B275" s="78">
        <v>5</v>
      </c>
      <c r="C275" s="663" t="s">
        <v>211</v>
      </c>
      <c r="D275" s="664">
        <v>7</v>
      </c>
      <c r="E275" s="470">
        <v>1993</v>
      </c>
      <c r="F275" s="609">
        <f t="shared" si="51"/>
        <v>7.3285860000000005</v>
      </c>
      <c r="G275" s="678">
        <v>0.343552</v>
      </c>
      <c r="H275" s="678">
        <v>1.12</v>
      </c>
      <c r="I275" s="678">
        <v>5.8650340000000005</v>
      </c>
      <c r="J275" s="683">
        <v>360.39</v>
      </c>
      <c r="K275" s="678">
        <v>5.8650340000000005</v>
      </c>
      <c r="L275" s="683">
        <v>309.77</v>
      </c>
      <c r="M275" s="584">
        <f t="shared" si="52"/>
        <v>0.018933511960486815</v>
      </c>
      <c r="N275" s="558">
        <v>338.118</v>
      </c>
      <c r="O275" s="558">
        <f t="shared" si="53"/>
        <v>6.4017611970558805</v>
      </c>
      <c r="P275" s="618">
        <f t="shared" si="54"/>
        <v>1136.010717629209</v>
      </c>
      <c r="Q275" s="561">
        <f t="shared" si="55"/>
        <v>384.10567182335285</v>
      </c>
      <c r="S275" s="63"/>
      <c r="T275" s="63"/>
    </row>
    <row r="276" spans="1:20" s="67" customFormat="1" ht="12.75">
      <c r="A276" s="1246"/>
      <c r="B276" s="78">
        <v>6</v>
      </c>
      <c r="C276" s="663" t="s">
        <v>156</v>
      </c>
      <c r="D276" s="664">
        <v>20</v>
      </c>
      <c r="E276" s="470">
        <v>1981</v>
      </c>
      <c r="F276" s="609">
        <f t="shared" si="51"/>
        <v>24.962001</v>
      </c>
      <c r="G276" s="678">
        <v>2.040377</v>
      </c>
      <c r="H276" s="678">
        <v>3.2</v>
      </c>
      <c r="I276" s="678">
        <v>19.721624</v>
      </c>
      <c r="J276" s="683">
        <v>1031.73</v>
      </c>
      <c r="K276" s="678">
        <v>19.721624</v>
      </c>
      <c r="L276" s="683">
        <v>1031.73</v>
      </c>
      <c r="M276" s="584">
        <f t="shared" si="52"/>
        <v>0.01911510181927442</v>
      </c>
      <c r="N276" s="558">
        <v>338.118</v>
      </c>
      <c r="O276" s="558">
        <f t="shared" si="53"/>
        <v>6.463159996929429</v>
      </c>
      <c r="P276" s="618">
        <f t="shared" si="54"/>
        <v>1146.9061091564652</v>
      </c>
      <c r="Q276" s="561">
        <f t="shared" si="55"/>
        <v>387.7895998157657</v>
      </c>
      <c r="S276" s="63"/>
      <c r="T276" s="63"/>
    </row>
    <row r="277" spans="1:20" s="67" customFormat="1" ht="12.75">
      <c r="A277" s="1246"/>
      <c r="B277" s="78">
        <v>7</v>
      </c>
      <c r="C277" s="663" t="s">
        <v>228</v>
      </c>
      <c r="D277" s="664">
        <v>5</v>
      </c>
      <c r="E277" s="470">
        <v>1924</v>
      </c>
      <c r="F277" s="609">
        <f t="shared" si="51"/>
        <v>5.1421</v>
      </c>
      <c r="G277" s="678">
        <v>0.440176</v>
      </c>
      <c r="H277" s="678">
        <v>0</v>
      </c>
      <c r="I277" s="678">
        <v>4.701924</v>
      </c>
      <c r="J277" s="683">
        <v>245.91</v>
      </c>
      <c r="K277" s="678">
        <v>4.701924</v>
      </c>
      <c r="L277" s="683">
        <v>245.91</v>
      </c>
      <c r="M277" s="584">
        <f t="shared" si="52"/>
        <v>0.019120507502744907</v>
      </c>
      <c r="N277" s="558">
        <v>338.118</v>
      </c>
      <c r="O277" s="558">
        <f t="shared" si="53"/>
        <v>6.464987755813103</v>
      </c>
      <c r="P277" s="618">
        <f t="shared" si="54"/>
        <v>1147.2304501646943</v>
      </c>
      <c r="Q277" s="561">
        <f t="shared" si="55"/>
        <v>387.8992653487862</v>
      </c>
      <c r="S277" s="63"/>
      <c r="T277" s="63"/>
    </row>
    <row r="278" spans="1:20" s="67" customFormat="1" ht="12.75">
      <c r="A278" s="1246"/>
      <c r="B278" s="78">
        <v>8</v>
      </c>
      <c r="C278" s="663" t="s">
        <v>157</v>
      </c>
      <c r="D278" s="664">
        <v>46</v>
      </c>
      <c r="E278" s="470">
        <v>1963</v>
      </c>
      <c r="F278" s="609">
        <f t="shared" si="51"/>
        <v>20.987512</v>
      </c>
      <c r="G278" s="678">
        <v>0.42407200000000006</v>
      </c>
      <c r="H278" s="678">
        <v>0</v>
      </c>
      <c r="I278" s="678">
        <v>20.56344</v>
      </c>
      <c r="J278" s="683">
        <v>1094</v>
      </c>
      <c r="K278" s="678">
        <v>20.56344</v>
      </c>
      <c r="L278" s="683">
        <v>1064.64</v>
      </c>
      <c r="M278" s="584">
        <f t="shared" si="52"/>
        <v>0.019314923354373306</v>
      </c>
      <c r="N278" s="558">
        <v>338.118</v>
      </c>
      <c r="O278" s="558">
        <f t="shared" si="53"/>
        <v>6.530723254733993</v>
      </c>
      <c r="P278" s="618">
        <f t="shared" si="54"/>
        <v>1158.8954012623985</v>
      </c>
      <c r="Q278" s="561">
        <f t="shared" si="55"/>
        <v>391.84339528403956</v>
      </c>
      <c r="S278" s="63"/>
      <c r="T278" s="63"/>
    </row>
    <row r="279" spans="1:20" s="67" customFormat="1" ht="12.75">
      <c r="A279" s="1246"/>
      <c r="B279" s="78">
        <v>9</v>
      </c>
      <c r="C279" s="663" t="s">
        <v>155</v>
      </c>
      <c r="D279" s="664">
        <v>22</v>
      </c>
      <c r="E279" s="470">
        <v>1964</v>
      </c>
      <c r="F279" s="559">
        <f t="shared" si="51"/>
        <v>21.501914000000003</v>
      </c>
      <c r="G279" s="678">
        <v>1.26148</v>
      </c>
      <c r="H279" s="678">
        <v>0.38</v>
      </c>
      <c r="I279" s="678">
        <v>19.860434</v>
      </c>
      <c r="J279" s="683">
        <v>1065.94</v>
      </c>
      <c r="K279" s="678">
        <v>19.860434</v>
      </c>
      <c r="L279" s="683">
        <v>1024.21</v>
      </c>
      <c r="M279" s="614">
        <f t="shared" si="52"/>
        <v>0.01939097841263022</v>
      </c>
      <c r="N279" s="560">
        <v>338.118</v>
      </c>
      <c r="O279" s="618">
        <f t="shared" si="53"/>
        <v>6.556438838921705</v>
      </c>
      <c r="P279" s="618">
        <f t="shared" si="54"/>
        <v>1163.4587047578134</v>
      </c>
      <c r="Q279" s="561">
        <f t="shared" si="55"/>
        <v>393.3863303353023</v>
      </c>
      <c r="S279" s="63"/>
      <c r="T279" s="63"/>
    </row>
    <row r="280" spans="1:20" s="67" customFormat="1" ht="13.5" thickBot="1">
      <c r="A280" s="1247"/>
      <c r="B280" s="79">
        <v>10</v>
      </c>
      <c r="C280" s="57"/>
      <c r="D280" s="33"/>
      <c r="E280" s="33"/>
      <c r="F280" s="37"/>
      <c r="G280" s="37"/>
      <c r="H280" s="37"/>
      <c r="I280" s="37"/>
      <c r="J280" s="37"/>
      <c r="K280" s="37"/>
      <c r="L280" s="37"/>
      <c r="M280" s="37"/>
      <c r="N280" s="37"/>
      <c r="O280" s="340"/>
      <c r="P280" s="340"/>
      <c r="Q280" s="358"/>
      <c r="S280" s="63"/>
      <c r="T280" s="63"/>
    </row>
    <row r="281" spans="17:20" ht="12.75">
      <c r="Q281" s="231"/>
      <c r="R281" s="231"/>
      <c r="S281" s="63"/>
      <c r="T281" s="63"/>
    </row>
    <row r="282" spans="18:20" ht="12.75">
      <c r="R282" s="231"/>
      <c r="S282" s="63"/>
      <c r="T282" s="63"/>
    </row>
    <row r="283" spans="19:20" ht="12.75">
      <c r="S283" s="63"/>
      <c r="T283" s="63"/>
    </row>
    <row r="284" spans="19:20" ht="12.75">
      <c r="S284" s="63"/>
      <c r="T284" s="63"/>
    </row>
    <row r="285" spans="1:20" ht="15">
      <c r="A285" s="1199" t="s">
        <v>56</v>
      </c>
      <c r="B285" s="1199"/>
      <c r="C285" s="1199"/>
      <c r="D285" s="1199"/>
      <c r="E285" s="1199"/>
      <c r="F285" s="1199"/>
      <c r="G285" s="1199"/>
      <c r="H285" s="1199"/>
      <c r="I285" s="1199"/>
      <c r="J285" s="1199"/>
      <c r="K285" s="1199"/>
      <c r="L285" s="1199"/>
      <c r="M285" s="1199"/>
      <c r="N285" s="1199"/>
      <c r="O285" s="1199"/>
      <c r="P285" s="1199"/>
      <c r="Q285" s="1199"/>
      <c r="S285" s="63"/>
      <c r="T285" s="63"/>
    </row>
    <row r="286" spans="1:20" ht="13.5" thickBot="1">
      <c r="A286" s="1200" t="s">
        <v>704</v>
      </c>
      <c r="B286" s="1255"/>
      <c r="C286" s="1255"/>
      <c r="D286" s="1255"/>
      <c r="E286" s="1255"/>
      <c r="F286" s="1255"/>
      <c r="G286" s="1255"/>
      <c r="H286" s="1255"/>
      <c r="I286" s="1255"/>
      <c r="J286" s="1255"/>
      <c r="K286" s="1255"/>
      <c r="L286" s="1255"/>
      <c r="M286" s="1255"/>
      <c r="N286" s="1255"/>
      <c r="O286" s="1255"/>
      <c r="P286" s="1255"/>
      <c r="Q286" s="1255"/>
      <c r="S286" s="63"/>
      <c r="T286" s="63"/>
    </row>
    <row r="287" spans="1:20" ht="12.75" customHeight="1">
      <c r="A287" s="1201" t="s">
        <v>1</v>
      </c>
      <c r="B287" s="1336" t="s">
        <v>0</v>
      </c>
      <c r="C287" s="1193" t="s">
        <v>2</v>
      </c>
      <c r="D287" s="1193" t="s">
        <v>3</v>
      </c>
      <c r="E287" s="1193" t="s">
        <v>13</v>
      </c>
      <c r="F287" s="1207" t="s">
        <v>14</v>
      </c>
      <c r="G287" s="1208"/>
      <c r="H287" s="1208"/>
      <c r="I287" s="1209"/>
      <c r="J287" s="1193" t="s">
        <v>4</v>
      </c>
      <c r="K287" s="1193" t="s">
        <v>15</v>
      </c>
      <c r="L287" s="1193" t="s">
        <v>5</v>
      </c>
      <c r="M287" s="1193" t="s">
        <v>6</v>
      </c>
      <c r="N287" s="1193" t="s">
        <v>16</v>
      </c>
      <c r="O287" s="1195" t="s">
        <v>17</v>
      </c>
      <c r="P287" s="1193" t="s">
        <v>25</v>
      </c>
      <c r="Q287" s="1197" t="s">
        <v>26</v>
      </c>
      <c r="S287" s="63"/>
      <c r="T287" s="63"/>
    </row>
    <row r="288" spans="1:20" s="2" customFormat="1" ht="33.75">
      <c r="A288" s="1202"/>
      <c r="B288" s="1337"/>
      <c r="C288" s="1205"/>
      <c r="D288" s="1194"/>
      <c r="E288" s="1194"/>
      <c r="F288" s="26" t="s">
        <v>18</v>
      </c>
      <c r="G288" s="26" t="s">
        <v>19</v>
      </c>
      <c r="H288" s="26" t="s">
        <v>20</v>
      </c>
      <c r="I288" s="26" t="s">
        <v>21</v>
      </c>
      <c r="J288" s="1194"/>
      <c r="K288" s="1194"/>
      <c r="L288" s="1194"/>
      <c r="M288" s="1194"/>
      <c r="N288" s="1194"/>
      <c r="O288" s="1196"/>
      <c r="P288" s="1194"/>
      <c r="Q288" s="1198"/>
      <c r="S288" s="63"/>
      <c r="T288" s="63"/>
    </row>
    <row r="289" spans="1:20" s="3" customFormat="1" ht="13.5" customHeight="1" thickBot="1">
      <c r="A289" s="1259"/>
      <c r="B289" s="1338"/>
      <c r="C289" s="1206"/>
      <c r="D289" s="42" t="s">
        <v>7</v>
      </c>
      <c r="E289" s="42" t="s">
        <v>8</v>
      </c>
      <c r="F289" s="42" t="s">
        <v>9</v>
      </c>
      <c r="G289" s="42" t="s">
        <v>9</v>
      </c>
      <c r="H289" s="42" t="s">
        <v>9</v>
      </c>
      <c r="I289" s="42" t="s">
        <v>9</v>
      </c>
      <c r="J289" s="42" t="s">
        <v>22</v>
      </c>
      <c r="K289" s="42" t="s">
        <v>9</v>
      </c>
      <c r="L289" s="42" t="s">
        <v>22</v>
      </c>
      <c r="M289" s="42" t="s">
        <v>23</v>
      </c>
      <c r="N289" s="42" t="s">
        <v>10</v>
      </c>
      <c r="O289" s="42" t="s">
        <v>24</v>
      </c>
      <c r="P289" s="43" t="s">
        <v>27</v>
      </c>
      <c r="Q289" s="44" t="s">
        <v>28</v>
      </c>
      <c r="S289" s="63"/>
      <c r="T289" s="63"/>
    </row>
    <row r="290" spans="1:20" s="3" customFormat="1" ht="13.5" customHeight="1">
      <c r="A290" s="1287" t="s">
        <v>196</v>
      </c>
      <c r="B290" s="193">
        <v>1</v>
      </c>
      <c r="C290" s="163" t="s">
        <v>212</v>
      </c>
      <c r="D290" s="126">
        <v>20</v>
      </c>
      <c r="E290" s="126">
        <v>2010</v>
      </c>
      <c r="F290" s="327">
        <v>10.998</v>
      </c>
      <c r="G290" s="327">
        <v>1.632</v>
      </c>
      <c r="H290" s="327">
        <v>0.8</v>
      </c>
      <c r="I290" s="327">
        <v>8.566</v>
      </c>
      <c r="J290" s="219">
        <v>935.41</v>
      </c>
      <c r="K290" s="207">
        <v>8.566</v>
      </c>
      <c r="L290" s="219">
        <v>935.41</v>
      </c>
      <c r="M290" s="139">
        <f>K290/L290</f>
        <v>0.009157481745972355</v>
      </c>
      <c r="N290" s="127">
        <v>337.137</v>
      </c>
      <c r="O290" s="460">
        <f>M290*N290</f>
        <v>3.087325923391882</v>
      </c>
      <c r="P290" s="460">
        <f>M290*60*1000</f>
        <v>549.4489047583413</v>
      </c>
      <c r="Q290" s="461">
        <f>P290*N290/1000</f>
        <v>185.2395554035129</v>
      </c>
      <c r="S290" s="63"/>
      <c r="T290" s="63"/>
    </row>
    <row r="291" spans="1:20" s="3" customFormat="1" ht="13.5" customHeight="1">
      <c r="A291" s="1287"/>
      <c r="B291" s="88">
        <v>2</v>
      </c>
      <c r="C291" s="89"/>
      <c r="D291" s="211"/>
      <c r="E291" s="211"/>
      <c r="F291" s="211"/>
      <c r="G291" s="211"/>
      <c r="H291" s="211"/>
      <c r="I291" s="211"/>
      <c r="J291" s="310"/>
      <c r="K291" s="308"/>
      <c r="L291" s="310"/>
      <c r="M291" s="211"/>
      <c r="N291" s="211"/>
      <c r="O291" s="211"/>
      <c r="P291" s="211"/>
      <c r="Q291" s="213"/>
      <c r="S291" s="63"/>
      <c r="T291" s="63"/>
    </row>
    <row r="292" spans="1:20" s="3" customFormat="1" ht="13.5" customHeight="1">
      <c r="A292" s="1287"/>
      <c r="B292" s="88">
        <v>3</v>
      </c>
      <c r="C292" s="89"/>
      <c r="D292" s="211"/>
      <c r="E292" s="211"/>
      <c r="F292" s="211"/>
      <c r="G292" s="211"/>
      <c r="H292" s="211"/>
      <c r="I292" s="211"/>
      <c r="J292" s="310"/>
      <c r="K292" s="308"/>
      <c r="L292" s="310"/>
      <c r="M292" s="211"/>
      <c r="N292" s="211"/>
      <c r="O292" s="211"/>
      <c r="P292" s="211"/>
      <c r="Q292" s="213"/>
      <c r="S292" s="63"/>
      <c r="T292" s="63"/>
    </row>
    <row r="293" spans="1:20" s="3" customFormat="1" ht="13.5" customHeight="1">
      <c r="A293" s="1287"/>
      <c r="B293" s="88">
        <v>4</v>
      </c>
      <c r="C293" s="89"/>
      <c r="D293" s="211"/>
      <c r="E293" s="211"/>
      <c r="F293" s="211"/>
      <c r="G293" s="211"/>
      <c r="H293" s="211"/>
      <c r="I293" s="211"/>
      <c r="J293" s="310"/>
      <c r="K293" s="308"/>
      <c r="L293" s="310"/>
      <c r="M293" s="211"/>
      <c r="N293" s="211"/>
      <c r="O293" s="211"/>
      <c r="P293" s="211"/>
      <c r="Q293" s="213"/>
      <c r="S293" s="63"/>
      <c r="T293" s="63"/>
    </row>
    <row r="294" spans="1:20" s="3" customFormat="1" ht="13.5" customHeight="1">
      <c r="A294" s="1287"/>
      <c r="B294" s="88">
        <v>5</v>
      </c>
      <c r="C294" s="89"/>
      <c r="D294" s="211"/>
      <c r="E294" s="211"/>
      <c r="F294" s="211"/>
      <c r="G294" s="211"/>
      <c r="H294" s="211"/>
      <c r="I294" s="211"/>
      <c r="J294" s="310"/>
      <c r="K294" s="308"/>
      <c r="L294" s="310"/>
      <c r="M294" s="211"/>
      <c r="N294" s="211"/>
      <c r="O294" s="211"/>
      <c r="P294" s="211"/>
      <c r="Q294" s="213"/>
      <c r="S294" s="63"/>
      <c r="T294" s="63"/>
    </row>
    <row r="295" spans="1:20" s="3" customFormat="1" ht="13.5" customHeight="1">
      <c r="A295" s="1287"/>
      <c r="B295" s="88">
        <v>6</v>
      </c>
      <c r="C295" s="89"/>
      <c r="D295" s="211"/>
      <c r="E295" s="211"/>
      <c r="F295" s="211"/>
      <c r="G295" s="211"/>
      <c r="H295" s="211"/>
      <c r="I295" s="211"/>
      <c r="J295" s="310"/>
      <c r="K295" s="308"/>
      <c r="L295" s="310"/>
      <c r="M295" s="211"/>
      <c r="N295" s="211"/>
      <c r="O295" s="211"/>
      <c r="P295" s="211"/>
      <c r="Q295" s="213"/>
      <c r="S295" s="63"/>
      <c r="T295" s="63"/>
    </row>
    <row r="296" spans="1:20" s="3" customFormat="1" ht="13.5" customHeight="1">
      <c r="A296" s="1287"/>
      <c r="B296" s="88">
        <v>7</v>
      </c>
      <c r="C296" s="89"/>
      <c r="D296" s="211"/>
      <c r="E296" s="211"/>
      <c r="F296" s="211"/>
      <c r="G296" s="211"/>
      <c r="H296" s="211"/>
      <c r="I296" s="211"/>
      <c r="J296" s="310"/>
      <c r="K296" s="308"/>
      <c r="L296" s="310"/>
      <c r="M296" s="211"/>
      <c r="N296" s="211"/>
      <c r="O296" s="211"/>
      <c r="P296" s="211"/>
      <c r="Q296" s="213"/>
      <c r="S296" s="63"/>
      <c r="T296" s="63"/>
    </row>
    <row r="297" spans="1:20" s="3" customFormat="1" ht="13.5" customHeight="1" thickBot="1">
      <c r="A297" s="1288"/>
      <c r="B297" s="146">
        <v>8</v>
      </c>
      <c r="C297" s="206"/>
      <c r="D297" s="212"/>
      <c r="E297" s="212"/>
      <c r="F297" s="212"/>
      <c r="G297" s="212"/>
      <c r="H297" s="212"/>
      <c r="I297" s="212"/>
      <c r="J297" s="311"/>
      <c r="K297" s="309"/>
      <c r="L297" s="311"/>
      <c r="M297" s="212"/>
      <c r="N297" s="212"/>
      <c r="O297" s="212"/>
      <c r="P297" s="212"/>
      <c r="Q297" s="214"/>
      <c r="S297" s="63"/>
      <c r="T297" s="63"/>
    </row>
    <row r="298" spans="1:20" ht="12.75" customHeight="1">
      <c r="A298" s="1242" t="s">
        <v>29</v>
      </c>
      <c r="B298" s="395">
        <v>1</v>
      </c>
      <c r="C298" s="362" t="s">
        <v>161</v>
      </c>
      <c r="D298" s="363">
        <v>38</v>
      </c>
      <c r="E298" s="363">
        <v>1982</v>
      </c>
      <c r="F298" s="365">
        <v>33.645</v>
      </c>
      <c r="G298" s="365">
        <v>3.362</v>
      </c>
      <c r="H298" s="365">
        <v>6.4</v>
      </c>
      <c r="I298" s="364">
        <v>23.8831</v>
      </c>
      <c r="J298" s="366">
        <v>2278.82</v>
      </c>
      <c r="K298" s="365">
        <v>22.44</v>
      </c>
      <c r="L298" s="366">
        <v>2160.52</v>
      </c>
      <c r="M298" s="367">
        <f aca="true" t="shared" si="56" ref="M298:M327">K298/L298</f>
        <v>0.010386388462036917</v>
      </c>
      <c r="N298" s="373">
        <v>338.118</v>
      </c>
      <c r="O298" s="369">
        <f aca="true" t="shared" si="57" ref="O298:O327">M298*N298</f>
        <v>3.5118248940069985</v>
      </c>
      <c r="P298" s="369">
        <f aca="true" t="shared" si="58" ref="P298:P327">M298*60*1000</f>
        <v>623.1833077222151</v>
      </c>
      <c r="Q298" s="370">
        <f aca="true" t="shared" si="59" ref="Q298:Q327">P298*N298/1000</f>
        <v>210.7094936404199</v>
      </c>
      <c r="S298" s="63"/>
      <c r="T298" s="63"/>
    </row>
    <row r="299" spans="1:20" ht="11.25" customHeight="1">
      <c r="A299" s="1243"/>
      <c r="B299" s="395">
        <v>2</v>
      </c>
      <c r="C299" s="362" t="s">
        <v>159</v>
      </c>
      <c r="D299" s="363">
        <v>50</v>
      </c>
      <c r="E299" s="363">
        <v>1974</v>
      </c>
      <c r="F299" s="364">
        <v>38.432</v>
      </c>
      <c r="G299" s="364">
        <v>3.213</v>
      </c>
      <c r="H299" s="364">
        <v>8</v>
      </c>
      <c r="I299" s="364">
        <v>27.219</v>
      </c>
      <c r="J299" s="372">
        <v>2591.85</v>
      </c>
      <c r="K299" s="364">
        <v>27.219</v>
      </c>
      <c r="L299" s="372">
        <v>2591.85</v>
      </c>
      <c r="M299" s="367">
        <f t="shared" si="56"/>
        <v>0.010501765148446092</v>
      </c>
      <c r="N299" s="373">
        <v>338.118</v>
      </c>
      <c r="O299" s="369">
        <f t="shared" si="57"/>
        <v>3.550835828462296</v>
      </c>
      <c r="P299" s="369">
        <f t="shared" si="58"/>
        <v>630.1059089067655</v>
      </c>
      <c r="Q299" s="370">
        <f t="shared" si="59"/>
        <v>213.05014970773775</v>
      </c>
      <c r="S299" s="63"/>
      <c r="T299" s="63"/>
    </row>
    <row r="300" spans="1:20" ht="12.75" customHeight="1">
      <c r="A300" s="1243"/>
      <c r="B300" s="377">
        <v>3</v>
      </c>
      <c r="C300" s="362" t="s">
        <v>243</v>
      </c>
      <c r="D300" s="363">
        <v>50</v>
      </c>
      <c r="E300" s="363">
        <v>1980</v>
      </c>
      <c r="F300" s="364">
        <v>44.651</v>
      </c>
      <c r="G300" s="364">
        <v>3.468</v>
      </c>
      <c r="H300" s="364">
        <v>8</v>
      </c>
      <c r="I300" s="364">
        <v>33.183</v>
      </c>
      <c r="J300" s="372">
        <v>3015.29</v>
      </c>
      <c r="K300" s="364">
        <v>33.183</v>
      </c>
      <c r="L300" s="372">
        <v>3015.29</v>
      </c>
      <c r="M300" s="374">
        <f t="shared" si="56"/>
        <v>0.011004911633706874</v>
      </c>
      <c r="N300" s="373">
        <v>338.118</v>
      </c>
      <c r="O300" s="369">
        <f t="shared" si="57"/>
        <v>3.720958711765701</v>
      </c>
      <c r="P300" s="369">
        <f t="shared" si="58"/>
        <v>660.2946980224125</v>
      </c>
      <c r="Q300" s="375">
        <f t="shared" si="59"/>
        <v>223.25752270594208</v>
      </c>
      <c r="S300" s="63"/>
      <c r="T300" s="63"/>
    </row>
    <row r="301" spans="1:20" ht="12.75" customHeight="1">
      <c r="A301" s="1243"/>
      <c r="B301" s="377">
        <v>4</v>
      </c>
      <c r="C301" s="362" t="s">
        <v>164</v>
      </c>
      <c r="D301" s="363">
        <v>40</v>
      </c>
      <c r="E301" s="363">
        <v>1987</v>
      </c>
      <c r="F301" s="364">
        <v>36.666</v>
      </c>
      <c r="G301" s="364">
        <v>3.672</v>
      </c>
      <c r="H301" s="364">
        <v>6.4</v>
      </c>
      <c r="I301" s="364">
        <v>26.594</v>
      </c>
      <c r="J301" s="372">
        <v>2280.42</v>
      </c>
      <c r="K301" s="364">
        <v>26.594</v>
      </c>
      <c r="L301" s="372">
        <v>2280.4</v>
      </c>
      <c r="M301" s="374">
        <f t="shared" si="56"/>
        <v>0.011661989124714962</v>
      </c>
      <c r="N301" s="373">
        <v>338.118</v>
      </c>
      <c r="O301" s="376">
        <f t="shared" si="57"/>
        <v>3.9431284388703736</v>
      </c>
      <c r="P301" s="369">
        <f t="shared" si="58"/>
        <v>699.7193474828977</v>
      </c>
      <c r="Q301" s="375">
        <f t="shared" si="59"/>
        <v>236.58770633222238</v>
      </c>
      <c r="S301" s="63"/>
      <c r="T301" s="63"/>
    </row>
    <row r="302" spans="1:20" ht="12.75" customHeight="1">
      <c r="A302" s="1243"/>
      <c r="B302" s="377">
        <v>5</v>
      </c>
      <c r="C302" s="362" t="s">
        <v>163</v>
      </c>
      <c r="D302" s="363">
        <v>20</v>
      </c>
      <c r="E302" s="363">
        <v>1969</v>
      </c>
      <c r="F302" s="364">
        <v>19.538</v>
      </c>
      <c r="G302" s="364">
        <v>1.122</v>
      </c>
      <c r="H302" s="364">
        <v>3.2</v>
      </c>
      <c r="I302" s="364">
        <v>15.216</v>
      </c>
      <c r="J302" s="372">
        <v>1259.31</v>
      </c>
      <c r="K302" s="364">
        <v>15.216</v>
      </c>
      <c r="L302" s="372">
        <v>1259.31</v>
      </c>
      <c r="M302" s="374">
        <f t="shared" si="56"/>
        <v>0.012082807251590156</v>
      </c>
      <c r="N302" s="373">
        <v>338.118</v>
      </c>
      <c r="O302" s="376">
        <f t="shared" si="57"/>
        <v>4.08541462229316</v>
      </c>
      <c r="P302" s="369">
        <f t="shared" si="58"/>
        <v>724.9684350954093</v>
      </c>
      <c r="Q302" s="375">
        <f t="shared" si="59"/>
        <v>245.1248773375896</v>
      </c>
      <c r="S302" s="63"/>
      <c r="T302" s="63"/>
    </row>
    <row r="303" spans="1:20" ht="12.75" customHeight="1">
      <c r="A303" s="1243"/>
      <c r="B303" s="377">
        <v>6</v>
      </c>
      <c r="C303" s="362" t="s">
        <v>165</v>
      </c>
      <c r="D303" s="363">
        <v>40</v>
      </c>
      <c r="E303" s="363">
        <v>1983</v>
      </c>
      <c r="F303" s="364">
        <v>36.302</v>
      </c>
      <c r="G303" s="364">
        <v>2.601</v>
      </c>
      <c r="H303" s="364">
        <v>6.4</v>
      </c>
      <c r="I303" s="364">
        <v>27.301</v>
      </c>
      <c r="J303" s="372">
        <v>2254.6</v>
      </c>
      <c r="K303" s="364">
        <v>27.301</v>
      </c>
      <c r="L303" s="372">
        <v>2254.6</v>
      </c>
      <c r="M303" s="374">
        <f t="shared" si="56"/>
        <v>0.012109021555930098</v>
      </c>
      <c r="N303" s="373">
        <v>338.118</v>
      </c>
      <c r="O303" s="376">
        <f t="shared" si="57"/>
        <v>4.094278150447973</v>
      </c>
      <c r="P303" s="369">
        <f t="shared" si="58"/>
        <v>726.5412933558058</v>
      </c>
      <c r="Q303" s="375">
        <f t="shared" si="59"/>
        <v>245.65668902687833</v>
      </c>
      <c r="S303" s="63"/>
      <c r="T303" s="63"/>
    </row>
    <row r="304" spans="1:20" ht="12.75" customHeight="1">
      <c r="A304" s="1243"/>
      <c r="B304" s="377">
        <v>7</v>
      </c>
      <c r="C304" s="362" t="s">
        <v>160</v>
      </c>
      <c r="D304" s="363">
        <v>40</v>
      </c>
      <c r="E304" s="363">
        <v>1984</v>
      </c>
      <c r="F304" s="364">
        <v>37.247</v>
      </c>
      <c r="G304" s="364">
        <v>3.213</v>
      </c>
      <c r="H304" s="364">
        <v>6.4</v>
      </c>
      <c r="I304" s="364">
        <v>27.634</v>
      </c>
      <c r="J304" s="372">
        <v>2269.42</v>
      </c>
      <c r="K304" s="364">
        <v>27.634</v>
      </c>
      <c r="L304" s="372">
        <v>2269.42</v>
      </c>
      <c r="M304" s="374">
        <f t="shared" si="56"/>
        <v>0.012176679504014241</v>
      </c>
      <c r="N304" s="373">
        <v>338.118</v>
      </c>
      <c r="O304" s="376">
        <f t="shared" si="57"/>
        <v>4.117154520538287</v>
      </c>
      <c r="P304" s="369">
        <f t="shared" si="58"/>
        <v>730.6007702408544</v>
      </c>
      <c r="Q304" s="375">
        <f t="shared" si="59"/>
        <v>247.02927123229722</v>
      </c>
      <c r="S304" s="63"/>
      <c r="T304" s="63"/>
    </row>
    <row r="305" spans="1:20" ht="12.75" customHeight="1">
      <c r="A305" s="1243"/>
      <c r="B305" s="377">
        <v>8</v>
      </c>
      <c r="C305" s="362" t="s">
        <v>213</v>
      </c>
      <c r="D305" s="363">
        <v>40</v>
      </c>
      <c r="E305" s="363">
        <v>1979</v>
      </c>
      <c r="F305" s="364">
        <v>36.705</v>
      </c>
      <c r="G305" s="364">
        <v>3.519</v>
      </c>
      <c r="H305" s="364">
        <v>6.24</v>
      </c>
      <c r="I305" s="364">
        <v>26.946</v>
      </c>
      <c r="J305" s="372">
        <v>2257.74</v>
      </c>
      <c r="K305" s="364">
        <v>26.8</v>
      </c>
      <c r="L305" s="372">
        <v>2180.68</v>
      </c>
      <c r="M305" s="374">
        <f t="shared" si="56"/>
        <v>0.01228974448337216</v>
      </c>
      <c r="N305" s="373">
        <v>338.118</v>
      </c>
      <c r="O305" s="376">
        <f t="shared" si="57"/>
        <v>4.155383825228828</v>
      </c>
      <c r="P305" s="369">
        <f t="shared" si="58"/>
        <v>737.3846690023296</v>
      </c>
      <c r="Q305" s="375">
        <f t="shared" si="59"/>
        <v>249.32302951372967</v>
      </c>
      <c r="S305" s="63"/>
      <c r="T305" s="63"/>
    </row>
    <row r="306" spans="1:20" ht="13.5" customHeight="1">
      <c r="A306" s="1243"/>
      <c r="B306" s="377">
        <v>9</v>
      </c>
      <c r="C306" s="362" t="s">
        <v>158</v>
      </c>
      <c r="D306" s="363">
        <v>40</v>
      </c>
      <c r="E306" s="363">
        <v>1981</v>
      </c>
      <c r="F306" s="364">
        <v>37.106</v>
      </c>
      <c r="G306" s="364">
        <v>2.958</v>
      </c>
      <c r="H306" s="364">
        <v>6.4</v>
      </c>
      <c r="I306" s="364">
        <v>27.748</v>
      </c>
      <c r="J306" s="372">
        <v>2251.3</v>
      </c>
      <c r="K306" s="364">
        <v>27.748</v>
      </c>
      <c r="L306" s="372">
        <v>2251.3</v>
      </c>
      <c r="M306" s="374">
        <f t="shared" si="56"/>
        <v>0.012325323146626392</v>
      </c>
      <c r="N306" s="373">
        <v>338.118</v>
      </c>
      <c r="O306" s="376">
        <f t="shared" si="57"/>
        <v>4.167413611691022</v>
      </c>
      <c r="P306" s="369">
        <f t="shared" si="58"/>
        <v>739.5193887975835</v>
      </c>
      <c r="Q306" s="375">
        <f t="shared" si="59"/>
        <v>250.04481670146131</v>
      </c>
      <c r="S306" s="63"/>
      <c r="T306" s="63"/>
    </row>
    <row r="307" spans="1:20" ht="13.5" customHeight="1" thickBot="1">
      <c r="A307" s="1244"/>
      <c r="B307" s="386">
        <v>10</v>
      </c>
      <c r="C307" s="397" t="s">
        <v>162</v>
      </c>
      <c r="D307" s="398">
        <v>19</v>
      </c>
      <c r="E307" s="398">
        <v>1984</v>
      </c>
      <c r="F307" s="399">
        <v>17.541</v>
      </c>
      <c r="G307" s="399">
        <v>1.887</v>
      </c>
      <c r="H307" s="399">
        <v>3.04</v>
      </c>
      <c r="I307" s="399">
        <v>12.614</v>
      </c>
      <c r="J307" s="400">
        <v>1053.81</v>
      </c>
      <c r="K307" s="399">
        <v>12.49</v>
      </c>
      <c r="L307" s="400">
        <v>994.89</v>
      </c>
      <c r="M307" s="401">
        <f t="shared" si="56"/>
        <v>0.012554151715265005</v>
      </c>
      <c r="N307" s="409">
        <v>338.118</v>
      </c>
      <c r="O307" s="402">
        <f t="shared" si="57"/>
        <v>4.244784669661973</v>
      </c>
      <c r="P307" s="402">
        <f t="shared" si="58"/>
        <v>753.2491029159003</v>
      </c>
      <c r="Q307" s="403">
        <f t="shared" si="59"/>
        <v>254.68708017971835</v>
      </c>
      <c r="S307" s="63"/>
      <c r="T307" s="63"/>
    </row>
    <row r="308" spans="1:20" ht="12.75">
      <c r="A308" s="1187" t="s">
        <v>30</v>
      </c>
      <c r="B308" s="22">
        <v>1</v>
      </c>
      <c r="C308" s="521" t="s">
        <v>246</v>
      </c>
      <c r="D308" s="492">
        <v>24</v>
      </c>
      <c r="E308" s="492">
        <v>1960</v>
      </c>
      <c r="F308" s="703">
        <v>26.26</v>
      </c>
      <c r="G308" s="703">
        <v>2.601</v>
      </c>
      <c r="H308" s="703">
        <v>3.84</v>
      </c>
      <c r="I308" s="703">
        <v>19.819</v>
      </c>
      <c r="J308" s="709">
        <v>1110.04</v>
      </c>
      <c r="K308" s="703">
        <v>18.98</v>
      </c>
      <c r="L308" s="715">
        <v>1063.22</v>
      </c>
      <c r="M308" s="684">
        <f t="shared" si="56"/>
        <v>0.017851432441075225</v>
      </c>
      <c r="N308" s="717">
        <v>338.118</v>
      </c>
      <c r="O308" s="685">
        <f t="shared" si="57"/>
        <v>6.035890634111473</v>
      </c>
      <c r="P308" s="685">
        <f t="shared" si="58"/>
        <v>1071.0859464645134</v>
      </c>
      <c r="Q308" s="686">
        <f t="shared" si="59"/>
        <v>362.15343804668834</v>
      </c>
      <c r="S308" s="63"/>
      <c r="T308" s="63"/>
    </row>
    <row r="309" spans="1:20" ht="12.75">
      <c r="A309" s="1188"/>
      <c r="B309" s="24">
        <v>2</v>
      </c>
      <c r="C309" s="522" t="s">
        <v>168</v>
      </c>
      <c r="D309" s="493">
        <v>21</v>
      </c>
      <c r="E309" s="493">
        <v>1986</v>
      </c>
      <c r="F309" s="704">
        <v>27.658</v>
      </c>
      <c r="G309" s="704">
        <v>1.275</v>
      </c>
      <c r="H309" s="704">
        <v>3.52</v>
      </c>
      <c r="I309" s="704">
        <v>22.863</v>
      </c>
      <c r="J309" s="710">
        <v>1160.21</v>
      </c>
      <c r="K309" s="704">
        <v>21.62</v>
      </c>
      <c r="L309" s="710">
        <v>1097.3</v>
      </c>
      <c r="M309" s="650">
        <f t="shared" si="56"/>
        <v>0.019702907135696713</v>
      </c>
      <c r="N309" s="651">
        <v>338.118</v>
      </c>
      <c r="O309" s="508">
        <f t="shared" si="57"/>
        <v>6.6619075549075015</v>
      </c>
      <c r="P309" s="685">
        <f t="shared" si="58"/>
        <v>1182.1744281418028</v>
      </c>
      <c r="Q309" s="509">
        <f t="shared" si="59"/>
        <v>399.7144532944501</v>
      </c>
      <c r="S309" s="63"/>
      <c r="T309" s="63"/>
    </row>
    <row r="310" spans="1:20" ht="12.75">
      <c r="A310" s="1188"/>
      <c r="B310" s="24">
        <v>3</v>
      </c>
      <c r="C310" s="522" t="s">
        <v>245</v>
      </c>
      <c r="D310" s="493">
        <v>12</v>
      </c>
      <c r="E310" s="493">
        <v>1980</v>
      </c>
      <c r="F310" s="704">
        <v>14.446</v>
      </c>
      <c r="G310" s="704">
        <v>0.765</v>
      </c>
      <c r="H310" s="704">
        <v>1.92</v>
      </c>
      <c r="I310" s="704">
        <v>11.761</v>
      </c>
      <c r="J310" s="710">
        <v>584.73</v>
      </c>
      <c r="K310" s="704">
        <v>11.761</v>
      </c>
      <c r="L310" s="710">
        <v>584.73</v>
      </c>
      <c r="M310" s="650">
        <f t="shared" si="56"/>
        <v>0.020113556684281633</v>
      </c>
      <c r="N310" s="651">
        <v>338.118</v>
      </c>
      <c r="O310" s="508">
        <f t="shared" si="57"/>
        <v>6.800755558975937</v>
      </c>
      <c r="P310" s="685">
        <f t="shared" si="58"/>
        <v>1206.813401056898</v>
      </c>
      <c r="Q310" s="509">
        <f t="shared" si="59"/>
        <v>408.04533353855624</v>
      </c>
      <c r="S310" s="63"/>
      <c r="T310" s="63"/>
    </row>
    <row r="311" spans="1:20" ht="12.75">
      <c r="A311" s="1188"/>
      <c r="B311" s="24">
        <v>4</v>
      </c>
      <c r="C311" s="522" t="s">
        <v>169</v>
      </c>
      <c r="D311" s="493">
        <v>3</v>
      </c>
      <c r="E311" s="493">
        <v>1900</v>
      </c>
      <c r="F311" s="704">
        <v>12.972</v>
      </c>
      <c r="G311" s="704">
        <v>0.867</v>
      </c>
      <c r="H311" s="704">
        <v>1.92</v>
      </c>
      <c r="I311" s="704">
        <v>10.185</v>
      </c>
      <c r="J311" s="710">
        <v>558.26</v>
      </c>
      <c r="K311" s="704">
        <v>9.95</v>
      </c>
      <c r="L311" s="710">
        <v>485.29</v>
      </c>
      <c r="M311" s="650">
        <f t="shared" si="56"/>
        <v>0.020503204269611983</v>
      </c>
      <c r="N311" s="651">
        <v>338.118</v>
      </c>
      <c r="O311" s="508">
        <f t="shared" si="57"/>
        <v>6.932502421232664</v>
      </c>
      <c r="P311" s="685">
        <f t="shared" si="58"/>
        <v>1230.192256176719</v>
      </c>
      <c r="Q311" s="509">
        <f t="shared" si="59"/>
        <v>415.95014527395983</v>
      </c>
      <c r="S311" s="63"/>
      <c r="T311" s="63"/>
    </row>
    <row r="312" spans="1:20" ht="12.75">
      <c r="A312" s="1188"/>
      <c r="B312" s="24">
        <v>5</v>
      </c>
      <c r="C312" s="522" t="s">
        <v>167</v>
      </c>
      <c r="D312" s="493">
        <v>12</v>
      </c>
      <c r="E312" s="493">
        <v>1980</v>
      </c>
      <c r="F312" s="704">
        <v>12.054</v>
      </c>
      <c r="G312" s="704">
        <v>0.459</v>
      </c>
      <c r="H312" s="704">
        <v>1.6</v>
      </c>
      <c r="I312" s="704">
        <v>9.995</v>
      </c>
      <c r="J312" s="710">
        <v>587.63</v>
      </c>
      <c r="K312" s="704">
        <v>9.69</v>
      </c>
      <c r="L312" s="710">
        <v>468.68</v>
      </c>
      <c r="M312" s="650">
        <f t="shared" si="56"/>
        <v>0.020675087479730306</v>
      </c>
      <c r="N312" s="651">
        <v>338.118</v>
      </c>
      <c r="O312" s="508">
        <f t="shared" si="57"/>
        <v>6.990619228471451</v>
      </c>
      <c r="P312" s="685">
        <f t="shared" si="58"/>
        <v>1240.5052487838184</v>
      </c>
      <c r="Q312" s="509">
        <f t="shared" si="59"/>
        <v>419.4371537082871</v>
      </c>
      <c r="S312" s="63"/>
      <c r="T312" s="63"/>
    </row>
    <row r="313" spans="1:20" ht="12.75">
      <c r="A313" s="1188"/>
      <c r="B313" s="24">
        <v>6</v>
      </c>
      <c r="C313" s="522" t="s">
        <v>244</v>
      </c>
      <c r="D313" s="493">
        <v>3</v>
      </c>
      <c r="E313" s="493">
        <v>1939</v>
      </c>
      <c r="F313" s="704">
        <v>5.034</v>
      </c>
      <c r="G313" s="704">
        <v>0</v>
      </c>
      <c r="H313" s="704">
        <v>0.04</v>
      </c>
      <c r="I313" s="704">
        <v>4.994</v>
      </c>
      <c r="J313" s="710">
        <v>226.57</v>
      </c>
      <c r="K313" s="704">
        <v>2.52</v>
      </c>
      <c r="L313" s="710">
        <v>114.54</v>
      </c>
      <c r="M313" s="650">
        <f t="shared" si="56"/>
        <v>0.022001047668936614</v>
      </c>
      <c r="N313" s="651">
        <v>338.118</v>
      </c>
      <c r="O313" s="508">
        <f t="shared" si="57"/>
        <v>7.4389502357255095</v>
      </c>
      <c r="P313" s="685">
        <f t="shared" si="58"/>
        <v>1320.0628601361968</v>
      </c>
      <c r="Q313" s="509">
        <f t="shared" si="59"/>
        <v>446.33701414353055</v>
      </c>
      <c r="S313" s="63"/>
      <c r="T313" s="63"/>
    </row>
    <row r="314" spans="1:20" ht="12.75">
      <c r="A314" s="1188"/>
      <c r="B314" s="24">
        <v>7</v>
      </c>
      <c r="C314" s="522" t="s">
        <v>173</v>
      </c>
      <c r="D314" s="493">
        <v>4</v>
      </c>
      <c r="E314" s="493">
        <v>1930</v>
      </c>
      <c r="F314" s="704">
        <v>7.902</v>
      </c>
      <c r="G314" s="704">
        <v>0.357</v>
      </c>
      <c r="H314" s="704">
        <v>0.07</v>
      </c>
      <c r="I314" s="704">
        <v>7.475</v>
      </c>
      <c r="J314" s="710">
        <v>319.18</v>
      </c>
      <c r="K314" s="704">
        <v>3.74</v>
      </c>
      <c r="L314" s="710">
        <v>159.84</v>
      </c>
      <c r="M314" s="650">
        <f t="shared" si="56"/>
        <v>0.0233983983983984</v>
      </c>
      <c r="N314" s="651">
        <v>338.118</v>
      </c>
      <c r="O314" s="508">
        <f t="shared" si="57"/>
        <v>7.9114196696696695</v>
      </c>
      <c r="P314" s="685">
        <f t="shared" si="58"/>
        <v>1403.903903903904</v>
      </c>
      <c r="Q314" s="509">
        <f t="shared" si="59"/>
        <v>474.68518018018017</v>
      </c>
      <c r="S314" s="63"/>
      <c r="T314" s="63"/>
    </row>
    <row r="315" spans="1:20" ht="12.75">
      <c r="A315" s="1188"/>
      <c r="B315" s="24">
        <v>8</v>
      </c>
      <c r="C315" s="522" t="s">
        <v>177</v>
      </c>
      <c r="D315" s="493">
        <v>19</v>
      </c>
      <c r="E315" s="493">
        <v>1961</v>
      </c>
      <c r="F315" s="704">
        <v>22.41</v>
      </c>
      <c r="G315" s="704">
        <v>1.224</v>
      </c>
      <c r="H315" s="704">
        <v>0.21</v>
      </c>
      <c r="I315" s="704">
        <v>20.976</v>
      </c>
      <c r="J315" s="710">
        <v>886.26</v>
      </c>
      <c r="K315" s="704">
        <v>15.84</v>
      </c>
      <c r="L315" s="710">
        <v>669.1</v>
      </c>
      <c r="M315" s="650">
        <f t="shared" si="56"/>
        <v>0.023673591391421313</v>
      </c>
      <c r="N315" s="651">
        <v>338.118</v>
      </c>
      <c r="O315" s="508">
        <f t="shared" si="57"/>
        <v>8.00446737408459</v>
      </c>
      <c r="P315" s="685">
        <f t="shared" si="58"/>
        <v>1420.4154834852786</v>
      </c>
      <c r="Q315" s="509">
        <f t="shared" si="59"/>
        <v>480.2680424450754</v>
      </c>
      <c r="S315" s="63"/>
      <c r="T315" s="63"/>
    </row>
    <row r="316" spans="1:20" ht="12.75">
      <c r="A316" s="1254"/>
      <c r="B316" s="216">
        <v>9</v>
      </c>
      <c r="C316" s="522" t="s">
        <v>176</v>
      </c>
      <c r="D316" s="493">
        <v>11</v>
      </c>
      <c r="E316" s="493">
        <v>1961</v>
      </c>
      <c r="F316" s="704">
        <v>13.802</v>
      </c>
      <c r="G316" s="704">
        <v>0.459</v>
      </c>
      <c r="H316" s="704">
        <v>0.11</v>
      </c>
      <c r="I316" s="704">
        <v>13.233</v>
      </c>
      <c r="J316" s="710">
        <v>524.32</v>
      </c>
      <c r="K316" s="704">
        <v>11.99</v>
      </c>
      <c r="L316" s="710">
        <v>474.9</v>
      </c>
      <c r="M316" s="650">
        <f t="shared" si="56"/>
        <v>0.025247420509580967</v>
      </c>
      <c r="N316" s="651">
        <v>338.118</v>
      </c>
      <c r="O316" s="508">
        <f t="shared" si="57"/>
        <v>8.536607327858498</v>
      </c>
      <c r="P316" s="685">
        <f t="shared" si="58"/>
        <v>1514.845230574858</v>
      </c>
      <c r="Q316" s="509">
        <f t="shared" si="59"/>
        <v>512.1964396715099</v>
      </c>
      <c r="S316" s="63"/>
      <c r="T316" s="63"/>
    </row>
    <row r="317" spans="1:20" ht="13.5" thickBot="1">
      <c r="A317" s="1189"/>
      <c r="B317" s="25">
        <v>10</v>
      </c>
      <c r="C317" s="523" t="s">
        <v>171</v>
      </c>
      <c r="D317" s="494">
        <v>6</v>
      </c>
      <c r="E317" s="494">
        <v>1930</v>
      </c>
      <c r="F317" s="705">
        <v>7.927</v>
      </c>
      <c r="G317" s="705">
        <v>0.204</v>
      </c>
      <c r="H317" s="705">
        <v>0.8</v>
      </c>
      <c r="I317" s="705">
        <v>6.923</v>
      </c>
      <c r="J317" s="711">
        <v>323.39</v>
      </c>
      <c r="K317" s="705">
        <v>6.74</v>
      </c>
      <c r="L317" s="711">
        <v>266.7</v>
      </c>
      <c r="M317" s="687">
        <f t="shared" si="56"/>
        <v>0.025271841019872517</v>
      </c>
      <c r="N317" s="688">
        <v>338.118</v>
      </c>
      <c r="O317" s="689">
        <f t="shared" si="57"/>
        <v>8.544864341957256</v>
      </c>
      <c r="P317" s="689">
        <f t="shared" si="58"/>
        <v>1516.310461192351</v>
      </c>
      <c r="Q317" s="690">
        <f t="shared" si="59"/>
        <v>512.6918605174353</v>
      </c>
      <c r="S317" s="63"/>
      <c r="T317" s="63"/>
    </row>
    <row r="318" spans="1:20" ht="12.75">
      <c r="A318" s="1253" t="s">
        <v>12</v>
      </c>
      <c r="B318" s="27">
        <v>1</v>
      </c>
      <c r="C318" s="515" t="s">
        <v>174</v>
      </c>
      <c r="D318" s="516">
        <v>9</v>
      </c>
      <c r="E318" s="516">
        <v>1925</v>
      </c>
      <c r="F318" s="706">
        <v>10.787</v>
      </c>
      <c r="G318" s="706">
        <v>0.357</v>
      </c>
      <c r="H318" s="706">
        <v>1.6</v>
      </c>
      <c r="I318" s="706">
        <v>8.83</v>
      </c>
      <c r="J318" s="712">
        <v>392.63</v>
      </c>
      <c r="K318" s="706">
        <v>8.51</v>
      </c>
      <c r="L318" s="716">
        <v>326.76</v>
      </c>
      <c r="M318" s="691">
        <f t="shared" si="56"/>
        <v>0.0260435793854817</v>
      </c>
      <c r="N318" s="692">
        <v>338.118</v>
      </c>
      <c r="O318" s="693">
        <f t="shared" si="57"/>
        <v>8.8058029746603</v>
      </c>
      <c r="P318" s="693">
        <f t="shared" si="58"/>
        <v>1562.614763128902</v>
      </c>
      <c r="Q318" s="694">
        <f t="shared" si="59"/>
        <v>528.348178479618</v>
      </c>
      <c r="S318" s="63"/>
      <c r="T318" s="63"/>
    </row>
    <row r="319" spans="1:20" ht="12.75">
      <c r="A319" s="1191"/>
      <c r="B319" s="29">
        <v>2</v>
      </c>
      <c r="C319" s="517" t="s">
        <v>214</v>
      </c>
      <c r="D319" s="518">
        <v>12</v>
      </c>
      <c r="E319" s="518">
        <v>1968</v>
      </c>
      <c r="F319" s="707">
        <v>12.118</v>
      </c>
      <c r="G319" s="707">
        <v>0.204</v>
      </c>
      <c r="H319" s="707">
        <v>0.08</v>
      </c>
      <c r="I319" s="707">
        <v>11.834</v>
      </c>
      <c r="J319" s="713">
        <v>490.3</v>
      </c>
      <c r="K319" s="707">
        <v>10.69</v>
      </c>
      <c r="L319" s="713">
        <v>410.4</v>
      </c>
      <c r="M319" s="695">
        <f t="shared" si="56"/>
        <v>0.02604775828460039</v>
      </c>
      <c r="N319" s="692">
        <v>338.118</v>
      </c>
      <c r="O319" s="696">
        <f t="shared" si="57"/>
        <v>8.807215935672515</v>
      </c>
      <c r="P319" s="693">
        <f t="shared" si="58"/>
        <v>1562.8654970760233</v>
      </c>
      <c r="Q319" s="697">
        <f t="shared" si="59"/>
        <v>528.4329561403508</v>
      </c>
      <c r="S319" s="63"/>
      <c r="T319" s="63"/>
    </row>
    <row r="320" spans="1:20" ht="12.75">
      <c r="A320" s="1191"/>
      <c r="B320" s="29">
        <v>3</v>
      </c>
      <c r="C320" s="517" t="s">
        <v>166</v>
      </c>
      <c r="D320" s="518">
        <v>4</v>
      </c>
      <c r="E320" s="518">
        <v>1914</v>
      </c>
      <c r="F320" s="707">
        <v>6.515</v>
      </c>
      <c r="G320" s="707">
        <v>0.561</v>
      </c>
      <c r="H320" s="707">
        <v>0.64</v>
      </c>
      <c r="I320" s="707">
        <v>5.314</v>
      </c>
      <c r="J320" s="713">
        <v>203.32</v>
      </c>
      <c r="K320" s="707">
        <v>3.95</v>
      </c>
      <c r="L320" s="713">
        <v>151.17</v>
      </c>
      <c r="M320" s="695">
        <f t="shared" si="56"/>
        <v>0.026129523053515912</v>
      </c>
      <c r="N320" s="692">
        <v>338.118</v>
      </c>
      <c r="O320" s="696">
        <f t="shared" si="57"/>
        <v>8.834862075808694</v>
      </c>
      <c r="P320" s="693">
        <f t="shared" si="58"/>
        <v>1567.7713832109548</v>
      </c>
      <c r="Q320" s="697">
        <f t="shared" si="59"/>
        <v>530.0917245485216</v>
      </c>
      <c r="S320" s="63"/>
      <c r="T320" s="63"/>
    </row>
    <row r="321" spans="1:20" ht="12.75">
      <c r="A321" s="1191"/>
      <c r="B321" s="29">
        <v>4</v>
      </c>
      <c r="C321" s="517" t="s">
        <v>172</v>
      </c>
      <c r="D321" s="518">
        <v>4</v>
      </c>
      <c r="E321" s="518">
        <v>1947</v>
      </c>
      <c r="F321" s="707">
        <v>8.014</v>
      </c>
      <c r="G321" s="707">
        <v>0.51</v>
      </c>
      <c r="H321" s="707">
        <v>0.72</v>
      </c>
      <c r="I321" s="707">
        <v>6.784</v>
      </c>
      <c r="J321" s="713">
        <v>256.84</v>
      </c>
      <c r="K321" s="707">
        <v>5.92</v>
      </c>
      <c r="L321" s="713">
        <v>224.01</v>
      </c>
      <c r="M321" s="695">
        <f t="shared" si="56"/>
        <v>0.02642739163430204</v>
      </c>
      <c r="N321" s="692">
        <v>338.118</v>
      </c>
      <c r="O321" s="696">
        <f t="shared" si="57"/>
        <v>8.935576804606937</v>
      </c>
      <c r="P321" s="693">
        <f t="shared" si="58"/>
        <v>1585.6434980581225</v>
      </c>
      <c r="Q321" s="697">
        <f t="shared" si="59"/>
        <v>536.1346082764163</v>
      </c>
      <c r="S321" s="63"/>
      <c r="T321" s="63"/>
    </row>
    <row r="322" spans="1:20" ht="12.75">
      <c r="A322" s="1191"/>
      <c r="B322" s="29">
        <v>5</v>
      </c>
      <c r="C322" s="527" t="s">
        <v>175</v>
      </c>
      <c r="D322" s="518">
        <v>2</v>
      </c>
      <c r="E322" s="518">
        <v>1935</v>
      </c>
      <c r="F322" s="707">
        <v>4.496</v>
      </c>
      <c r="G322" s="707">
        <v>0</v>
      </c>
      <c r="H322" s="707">
        <v>0</v>
      </c>
      <c r="I322" s="707">
        <v>4.496</v>
      </c>
      <c r="J322" s="713">
        <v>168.86</v>
      </c>
      <c r="K322" s="707">
        <v>2.19</v>
      </c>
      <c r="L322" s="713">
        <v>82.33</v>
      </c>
      <c r="M322" s="695">
        <f t="shared" si="56"/>
        <v>0.026600267217296247</v>
      </c>
      <c r="N322" s="692">
        <v>338.118</v>
      </c>
      <c r="O322" s="696">
        <f t="shared" si="57"/>
        <v>8.994029150977772</v>
      </c>
      <c r="P322" s="693">
        <f t="shared" si="58"/>
        <v>1596.0160330377748</v>
      </c>
      <c r="Q322" s="697">
        <f t="shared" si="59"/>
        <v>539.6417490586663</v>
      </c>
      <c r="S322" s="63"/>
      <c r="T322" s="63"/>
    </row>
    <row r="323" spans="1:20" ht="12.75">
      <c r="A323" s="1191"/>
      <c r="B323" s="29">
        <v>6</v>
      </c>
      <c r="C323" s="517" t="s">
        <v>170</v>
      </c>
      <c r="D323" s="518">
        <v>6</v>
      </c>
      <c r="E323" s="518">
        <v>1910</v>
      </c>
      <c r="F323" s="707">
        <v>9.288</v>
      </c>
      <c r="G323" s="707">
        <v>0.204</v>
      </c>
      <c r="H323" s="707">
        <v>0.96</v>
      </c>
      <c r="I323" s="707">
        <v>8.124</v>
      </c>
      <c r="J323" s="713">
        <v>303.9</v>
      </c>
      <c r="K323" s="707">
        <v>8.124</v>
      </c>
      <c r="L323" s="713">
        <v>303.9</v>
      </c>
      <c r="M323" s="695">
        <f t="shared" si="56"/>
        <v>0.026732477788746302</v>
      </c>
      <c r="N323" s="692">
        <v>338.118</v>
      </c>
      <c r="O323" s="696">
        <f t="shared" si="57"/>
        <v>9.038731924975322</v>
      </c>
      <c r="P323" s="693">
        <f t="shared" si="58"/>
        <v>1603.948667324778</v>
      </c>
      <c r="Q323" s="697">
        <f t="shared" si="59"/>
        <v>542.3239154985193</v>
      </c>
      <c r="S323" s="63"/>
      <c r="T323" s="63"/>
    </row>
    <row r="324" spans="1:20" ht="12.75">
      <c r="A324" s="1191"/>
      <c r="B324" s="29">
        <v>7</v>
      </c>
      <c r="C324" s="517" t="s">
        <v>178</v>
      </c>
      <c r="D324" s="518">
        <v>12</v>
      </c>
      <c r="E324" s="518">
        <v>1962</v>
      </c>
      <c r="F324" s="707">
        <v>18.535</v>
      </c>
      <c r="G324" s="707">
        <v>0.408</v>
      </c>
      <c r="H324" s="707">
        <v>0.14</v>
      </c>
      <c r="I324" s="707">
        <v>17.987</v>
      </c>
      <c r="J324" s="713">
        <v>864.16</v>
      </c>
      <c r="K324" s="707">
        <v>14.91</v>
      </c>
      <c r="L324" s="713">
        <v>544.13</v>
      </c>
      <c r="M324" s="695">
        <f t="shared" si="56"/>
        <v>0.027401540073144284</v>
      </c>
      <c r="N324" s="692">
        <v>338.118</v>
      </c>
      <c r="O324" s="696">
        <f t="shared" si="57"/>
        <v>9.2649539264514</v>
      </c>
      <c r="P324" s="137">
        <f t="shared" si="58"/>
        <v>1644.092404388657</v>
      </c>
      <c r="Q324" s="697">
        <f t="shared" si="59"/>
        <v>555.897235587084</v>
      </c>
      <c r="S324" s="63"/>
      <c r="T324" s="63"/>
    </row>
    <row r="325" spans="1:20" ht="12.75">
      <c r="A325" s="1191"/>
      <c r="B325" s="29">
        <v>8</v>
      </c>
      <c r="C325" s="517" t="s">
        <v>181</v>
      </c>
      <c r="D325" s="518">
        <v>7</v>
      </c>
      <c r="E325" s="518">
        <v>1959</v>
      </c>
      <c r="F325" s="707">
        <v>6.554</v>
      </c>
      <c r="G325" s="707">
        <v>0.255</v>
      </c>
      <c r="H325" s="707">
        <v>0.05</v>
      </c>
      <c r="I325" s="707">
        <v>6.249</v>
      </c>
      <c r="J325" s="713">
        <v>598.8</v>
      </c>
      <c r="K325" s="707">
        <v>5.88</v>
      </c>
      <c r="L325" s="713">
        <v>206.9</v>
      </c>
      <c r="M325" s="695">
        <f t="shared" si="56"/>
        <v>0.028419526341227644</v>
      </c>
      <c r="N325" s="692">
        <v>338.118</v>
      </c>
      <c r="O325" s="696">
        <f t="shared" si="57"/>
        <v>9.609153407443209</v>
      </c>
      <c r="P325" s="137">
        <f t="shared" si="58"/>
        <v>1705.1715804736587</v>
      </c>
      <c r="Q325" s="697">
        <f t="shared" si="59"/>
        <v>576.5492044465925</v>
      </c>
      <c r="S325" s="63"/>
      <c r="T325" s="63"/>
    </row>
    <row r="326" spans="1:20" ht="12.75">
      <c r="A326" s="1191"/>
      <c r="B326" s="29">
        <v>9</v>
      </c>
      <c r="C326" s="209" t="s">
        <v>180</v>
      </c>
      <c r="D326" s="518">
        <v>18</v>
      </c>
      <c r="E326" s="518">
        <v>1961</v>
      </c>
      <c r="F326" s="707">
        <v>27.442</v>
      </c>
      <c r="G326" s="707">
        <v>1.071</v>
      </c>
      <c r="H326" s="707">
        <v>0.21</v>
      </c>
      <c r="I326" s="707">
        <v>26.161</v>
      </c>
      <c r="J326" s="713">
        <v>887.64</v>
      </c>
      <c r="K326" s="707">
        <v>20.43</v>
      </c>
      <c r="L326" s="713">
        <v>693.34</v>
      </c>
      <c r="M326" s="695">
        <f t="shared" si="56"/>
        <v>0.029466062826318976</v>
      </c>
      <c r="N326" s="692">
        <v>338.118</v>
      </c>
      <c r="O326" s="696">
        <f t="shared" si="57"/>
        <v>9.96300623070932</v>
      </c>
      <c r="P326" s="693">
        <f t="shared" si="58"/>
        <v>1767.9637695791387</v>
      </c>
      <c r="Q326" s="697">
        <f t="shared" si="59"/>
        <v>597.7803738425591</v>
      </c>
      <c r="S326" s="63"/>
      <c r="T326" s="63"/>
    </row>
    <row r="327" spans="1:20" ht="13.5" thickBot="1">
      <c r="A327" s="1192"/>
      <c r="B327" s="33">
        <v>10</v>
      </c>
      <c r="C327" s="519" t="s">
        <v>179</v>
      </c>
      <c r="D327" s="520">
        <v>15</v>
      </c>
      <c r="E327" s="520">
        <v>1969</v>
      </c>
      <c r="F327" s="708">
        <v>21.075</v>
      </c>
      <c r="G327" s="708">
        <v>0.867</v>
      </c>
      <c r="H327" s="708">
        <v>0.15</v>
      </c>
      <c r="I327" s="708">
        <v>20.058</v>
      </c>
      <c r="J327" s="714">
        <v>617.45</v>
      </c>
      <c r="K327" s="708">
        <v>18.27</v>
      </c>
      <c r="L327" s="714">
        <v>562.44</v>
      </c>
      <c r="M327" s="698">
        <f t="shared" si="56"/>
        <v>0.032483464902922976</v>
      </c>
      <c r="N327" s="702">
        <v>338.118</v>
      </c>
      <c r="O327" s="699">
        <f t="shared" si="57"/>
        <v>10.98324418604651</v>
      </c>
      <c r="P327" s="123">
        <f t="shared" si="58"/>
        <v>1949.0078941753786</v>
      </c>
      <c r="Q327" s="700">
        <f t="shared" si="59"/>
        <v>658.9946511627907</v>
      </c>
      <c r="S327" s="63"/>
      <c r="T327" s="63"/>
    </row>
    <row r="328" spans="16:20" ht="12.75">
      <c r="P328" s="198"/>
      <c r="Q328" s="198"/>
      <c r="S328" s="63"/>
      <c r="T328" s="63"/>
    </row>
    <row r="329" spans="19:20" ht="12.75">
      <c r="S329" s="63"/>
      <c r="T329" s="63"/>
    </row>
    <row r="330" spans="19:20" ht="12.75">
      <c r="S330" s="63"/>
      <c r="T330" s="63"/>
    </row>
    <row r="331" spans="19:20" ht="12.75">
      <c r="S331" s="63"/>
      <c r="T331" s="63"/>
    </row>
    <row r="332" spans="19:20" ht="12.75">
      <c r="S332" s="63"/>
      <c r="T332" s="63"/>
    </row>
    <row r="333" spans="1:20" ht="15">
      <c r="A333" s="1199" t="s">
        <v>247</v>
      </c>
      <c r="B333" s="1199"/>
      <c r="C333" s="1199"/>
      <c r="D333" s="1199"/>
      <c r="E333" s="1199"/>
      <c r="F333" s="1199"/>
      <c r="G333" s="1199"/>
      <c r="H333" s="1199"/>
      <c r="I333" s="1199"/>
      <c r="J333" s="1199"/>
      <c r="K333" s="1199"/>
      <c r="L333" s="1199"/>
      <c r="M333" s="1199"/>
      <c r="N333" s="1199"/>
      <c r="O333" s="1199"/>
      <c r="P333" s="1199"/>
      <c r="Q333" s="1199"/>
      <c r="S333" s="63"/>
      <c r="T333" s="63"/>
    </row>
    <row r="334" spans="1:20" ht="13.5" thickBot="1">
      <c r="A334" s="1200" t="s">
        <v>705</v>
      </c>
      <c r="B334" s="1255"/>
      <c r="C334" s="1255"/>
      <c r="D334" s="1255"/>
      <c r="E334" s="1255"/>
      <c r="F334" s="1255"/>
      <c r="G334" s="1255"/>
      <c r="H334" s="1255"/>
      <c r="I334" s="1255"/>
      <c r="J334" s="1255"/>
      <c r="K334" s="1255"/>
      <c r="L334" s="1255"/>
      <c r="M334" s="1255"/>
      <c r="N334" s="1255"/>
      <c r="O334" s="1255"/>
      <c r="P334" s="1255"/>
      <c r="Q334" s="1255"/>
      <c r="S334" s="63"/>
      <c r="T334" s="63"/>
    </row>
    <row r="335" spans="1:20" ht="12.75" customHeight="1">
      <c r="A335" s="1201" t="s">
        <v>1</v>
      </c>
      <c r="B335" s="1336" t="s">
        <v>0</v>
      </c>
      <c r="C335" s="1193" t="s">
        <v>2</v>
      </c>
      <c r="D335" s="1193" t="s">
        <v>3</v>
      </c>
      <c r="E335" s="1193" t="s">
        <v>13</v>
      </c>
      <c r="F335" s="1207" t="s">
        <v>14</v>
      </c>
      <c r="G335" s="1208"/>
      <c r="H335" s="1208"/>
      <c r="I335" s="1209"/>
      <c r="J335" s="1193" t="s">
        <v>4</v>
      </c>
      <c r="K335" s="1193" t="s">
        <v>15</v>
      </c>
      <c r="L335" s="1193" t="s">
        <v>5</v>
      </c>
      <c r="M335" s="1193" t="s">
        <v>6</v>
      </c>
      <c r="N335" s="1193" t="s">
        <v>16</v>
      </c>
      <c r="O335" s="1195" t="s">
        <v>17</v>
      </c>
      <c r="P335" s="1193" t="s">
        <v>25</v>
      </c>
      <c r="Q335" s="1197" t="s">
        <v>26</v>
      </c>
      <c r="S335" s="63"/>
      <c r="T335" s="63"/>
    </row>
    <row r="336" spans="1:20" s="2" customFormat="1" ht="33.75">
      <c r="A336" s="1202"/>
      <c r="B336" s="1337"/>
      <c r="C336" s="1205"/>
      <c r="D336" s="1194"/>
      <c r="E336" s="1194"/>
      <c r="F336" s="26" t="s">
        <v>18</v>
      </c>
      <c r="G336" s="26" t="s">
        <v>19</v>
      </c>
      <c r="H336" s="26" t="s">
        <v>20</v>
      </c>
      <c r="I336" s="26" t="s">
        <v>21</v>
      </c>
      <c r="J336" s="1194"/>
      <c r="K336" s="1194"/>
      <c r="L336" s="1194"/>
      <c r="M336" s="1194"/>
      <c r="N336" s="1194"/>
      <c r="O336" s="1196"/>
      <c r="P336" s="1194"/>
      <c r="Q336" s="1198"/>
      <c r="S336" s="63"/>
      <c r="T336" s="63"/>
    </row>
    <row r="337" spans="1:20" s="3" customFormat="1" ht="13.5" customHeight="1" thickBot="1">
      <c r="A337" s="1202"/>
      <c r="B337" s="1337"/>
      <c r="C337" s="1206"/>
      <c r="D337" s="42" t="s">
        <v>7</v>
      </c>
      <c r="E337" s="42" t="s">
        <v>8</v>
      </c>
      <c r="F337" s="42" t="s">
        <v>9</v>
      </c>
      <c r="G337" s="42" t="s">
        <v>9</v>
      </c>
      <c r="H337" s="42" t="s">
        <v>9</v>
      </c>
      <c r="I337" s="42" t="s">
        <v>9</v>
      </c>
      <c r="J337" s="42" t="s">
        <v>22</v>
      </c>
      <c r="K337" s="42" t="s">
        <v>9</v>
      </c>
      <c r="L337" s="42" t="s">
        <v>22</v>
      </c>
      <c r="M337" s="42" t="s">
        <v>23</v>
      </c>
      <c r="N337" s="42" t="s">
        <v>10</v>
      </c>
      <c r="O337" s="42" t="s">
        <v>24</v>
      </c>
      <c r="P337" s="43" t="s">
        <v>27</v>
      </c>
      <c r="Q337" s="44" t="s">
        <v>28</v>
      </c>
      <c r="S337" s="63"/>
      <c r="T337" s="63"/>
    </row>
    <row r="338" spans="1:20" ht="12.75">
      <c r="A338" s="1260" t="s">
        <v>11</v>
      </c>
      <c r="B338" s="20">
        <v>1</v>
      </c>
      <c r="C338" s="864" t="s">
        <v>184</v>
      </c>
      <c r="D338" s="865">
        <v>54</v>
      </c>
      <c r="E338" s="865">
        <v>2008</v>
      </c>
      <c r="F338" s="728">
        <v>28.87</v>
      </c>
      <c r="G338" s="728">
        <v>4.49</v>
      </c>
      <c r="H338" s="728">
        <v>3.03</v>
      </c>
      <c r="I338" s="728">
        <v>21.35</v>
      </c>
      <c r="J338" s="948">
        <v>3786.21</v>
      </c>
      <c r="K338" s="728">
        <v>9.372</v>
      </c>
      <c r="L338" s="948">
        <v>2030.27</v>
      </c>
      <c r="M338" s="947">
        <v>0.0056388</v>
      </c>
      <c r="N338" s="946">
        <v>277.1</v>
      </c>
      <c r="O338" s="914">
        <f aca="true" t="shared" si="60" ref="O338:O377">M338*N338*1.09</f>
        <v>1.7031375132000004</v>
      </c>
      <c r="P338" s="914">
        <f aca="true" t="shared" si="61" ref="P338:P377">M338*60*1000</f>
        <v>338.32800000000003</v>
      </c>
      <c r="Q338" s="461">
        <f aca="true" t="shared" si="62" ref="Q338:Q347">P338*N338/1000</f>
        <v>93.75068880000002</v>
      </c>
      <c r="R338" s="6"/>
      <c r="S338" s="63"/>
      <c r="T338" s="63"/>
    </row>
    <row r="339" spans="1:20" ht="12.75">
      <c r="A339" s="1211"/>
      <c r="B339" s="21">
        <v>2</v>
      </c>
      <c r="C339" s="866" t="s">
        <v>215</v>
      </c>
      <c r="D339" s="525">
        <v>46</v>
      </c>
      <c r="E339" s="525">
        <v>1993</v>
      </c>
      <c r="F339" s="723">
        <v>34.08198</v>
      </c>
      <c r="G339" s="723">
        <v>5.595567</v>
      </c>
      <c r="H339" s="723">
        <v>9.84</v>
      </c>
      <c r="I339" s="723">
        <v>18.646413</v>
      </c>
      <c r="J339" s="726">
        <v>2941.14</v>
      </c>
      <c r="K339" s="723">
        <v>17.160236</v>
      </c>
      <c r="L339" s="726">
        <v>2706.72</v>
      </c>
      <c r="M339" s="734">
        <v>0.006339</v>
      </c>
      <c r="N339" s="720">
        <v>277.1</v>
      </c>
      <c r="O339" s="462">
        <f t="shared" si="60"/>
        <v>1.9146252210000003</v>
      </c>
      <c r="P339" s="462">
        <f t="shared" si="61"/>
        <v>380.34000000000003</v>
      </c>
      <c r="Q339" s="463">
        <f t="shared" si="62"/>
        <v>105.39221400000002</v>
      </c>
      <c r="S339" s="63"/>
      <c r="T339" s="63"/>
    </row>
    <row r="340" spans="1:20" ht="12.75">
      <c r="A340" s="1211"/>
      <c r="B340" s="21">
        <v>3</v>
      </c>
      <c r="C340" s="866" t="s">
        <v>216</v>
      </c>
      <c r="D340" s="525">
        <v>55</v>
      </c>
      <c r="E340" s="525">
        <v>1990</v>
      </c>
      <c r="F340" s="723">
        <v>42.968004</v>
      </c>
      <c r="G340" s="723">
        <v>6.63</v>
      </c>
      <c r="H340" s="723">
        <v>12.56</v>
      </c>
      <c r="I340" s="723">
        <v>23.778004</v>
      </c>
      <c r="J340" s="726">
        <v>3527.73</v>
      </c>
      <c r="K340" s="723">
        <v>23.778004</v>
      </c>
      <c r="L340" s="726">
        <v>3527.73</v>
      </c>
      <c r="M340" s="734">
        <v>0.00674</v>
      </c>
      <c r="N340" s="720">
        <v>277.1</v>
      </c>
      <c r="O340" s="462">
        <f t="shared" si="60"/>
        <v>2.0357428600000005</v>
      </c>
      <c r="P340" s="462">
        <f t="shared" si="61"/>
        <v>404.40000000000003</v>
      </c>
      <c r="Q340" s="463">
        <f t="shared" si="62"/>
        <v>112.05924000000002</v>
      </c>
      <c r="S340" s="63"/>
      <c r="T340" s="63"/>
    </row>
    <row r="341" spans="1:20" ht="12.75">
      <c r="A341" s="1211"/>
      <c r="B341" s="21">
        <v>4</v>
      </c>
      <c r="C341" s="866" t="s">
        <v>182</v>
      </c>
      <c r="D341" s="525">
        <v>25</v>
      </c>
      <c r="E341" s="525">
        <v>1978</v>
      </c>
      <c r="F341" s="723">
        <v>11.917</v>
      </c>
      <c r="G341" s="723">
        <v>1.938</v>
      </c>
      <c r="H341" s="723">
        <v>1</v>
      </c>
      <c r="I341" s="723">
        <v>8.979</v>
      </c>
      <c r="J341" s="726">
        <v>1284.25</v>
      </c>
      <c r="K341" s="723">
        <v>8.979</v>
      </c>
      <c r="L341" s="726">
        <v>1284.25</v>
      </c>
      <c r="M341" s="734">
        <v>0.006991</v>
      </c>
      <c r="N341" s="720">
        <v>277.1</v>
      </c>
      <c r="O341" s="462">
        <f t="shared" si="60"/>
        <v>2.1115546490000003</v>
      </c>
      <c r="P341" s="462">
        <f t="shared" si="61"/>
        <v>419.46</v>
      </c>
      <c r="Q341" s="463">
        <f t="shared" si="62"/>
        <v>116.23236600000001</v>
      </c>
      <c r="S341" s="63"/>
      <c r="T341" s="63"/>
    </row>
    <row r="342" spans="1:20" ht="12.75">
      <c r="A342" s="1211"/>
      <c r="B342" s="21">
        <v>5</v>
      </c>
      <c r="C342" s="866" t="s">
        <v>229</v>
      </c>
      <c r="D342" s="525">
        <v>9</v>
      </c>
      <c r="E342" s="525">
        <v>2006</v>
      </c>
      <c r="F342" s="723">
        <v>8.895</v>
      </c>
      <c r="G342" s="723">
        <v>0.665</v>
      </c>
      <c r="H342" s="723">
        <v>1.44</v>
      </c>
      <c r="I342" s="723">
        <v>6.79</v>
      </c>
      <c r="J342" s="726">
        <v>887.8</v>
      </c>
      <c r="K342" s="723">
        <v>4.448851</v>
      </c>
      <c r="L342" s="726">
        <v>560.62</v>
      </c>
      <c r="M342" s="734">
        <v>0.0076481</v>
      </c>
      <c r="N342" s="720">
        <v>277.1</v>
      </c>
      <c r="O342" s="462">
        <f t="shared" si="60"/>
        <v>2.3100244759</v>
      </c>
      <c r="P342" s="462">
        <f t="shared" si="61"/>
        <v>458.88599999999997</v>
      </c>
      <c r="Q342" s="463">
        <f t="shared" si="62"/>
        <v>127.1573106</v>
      </c>
      <c r="S342" s="63"/>
      <c r="T342" s="63"/>
    </row>
    <row r="343" spans="1:20" ht="12.75">
      <c r="A343" s="1211"/>
      <c r="B343" s="21">
        <v>6</v>
      </c>
      <c r="C343" s="866" t="s">
        <v>706</v>
      </c>
      <c r="D343" s="525">
        <v>22</v>
      </c>
      <c r="E343" s="525">
        <v>2006</v>
      </c>
      <c r="F343" s="723">
        <v>17.44</v>
      </c>
      <c r="G343" s="723">
        <v>7.24</v>
      </c>
      <c r="H343" s="723">
        <v>0.03</v>
      </c>
      <c r="I343" s="723">
        <v>10.17</v>
      </c>
      <c r="J343" s="726">
        <v>1279.24</v>
      </c>
      <c r="K343" s="723">
        <v>8.761</v>
      </c>
      <c r="L343" s="726">
        <v>1150.54</v>
      </c>
      <c r="M343" s="734">
        <v>0.00795</v>
      </c>
      <c r="N343" s="720">
        <v>277.1</v>
      </c>
      <c r="O343" s="462">
        <f t="shared" si="60"/>
        <v>2.4012100500000004</v>
      </c>
      <c r="P343" s="462">
        <f t="shared" si="61"/>
        <v>477.00000000000006</v>
      </c>
      <c r="Q343" s="463">
        <f t="shared" si="62"/>
        <v>132.17670000000004</v>
      </c>
      <c r="S343" s="63"/>
      <c r="T343" s="63"/>
    </row>
    <row r="344" spans="1:20" ht="12.75">
      <c r="A344" s="1211"/>
      <c r="B344" s="21">
        <v>7</v>
      </c>
      <c r="C344" s="866" t="s">
        <v>217</v>
      </c>
      <c r="D344" s="525">
        <v>55</v>
      </c>
      <c r="E344" s="525">
        <v>1993</v>
      </c>
      <c r="F344" s="723">
        <v>44.559001</v>
      </c>
      <c r="G344" s="723">
        <v>7.701</v>
      </c>
      <c r="H344" s="723">
        <v>8.64</v>
      </c>
      <c r="I344" s="723">
        <v>28.218001</v>
      </c>
      <c r="J344" s="726">
        <v>3524.86</v>
      </c>
      <c r="K344" s="723">
        <v>28.218001</v>
      </c>
      <c r="L344" s="726">
        <v>3524.86</v>
      </c>
      <c r="M344" s="734">
        <v>0.008005</v>
      </c>
      <c r="N344" s="720">
        <v>277.1</v>
      </c>
      <c r="O344" s="462">
        <f t="shared" si="60"/>
        <v>2.4178221950000003</v>
      </c>
      <c r="P344" s="462">
        <f t="shared" si="61"/>
        <v>480.3</v>
      </c>
      <c r="Q344" s="463">
        <f t="shared" si="62"/>
        <v>133.09113</v>
      </c>
      <c r="S344" s="63"/>
      <c r="T344" s="63"/>
    </row>
    <row r="345" spans="1:20" ht="12.75">
      <c r="A345" s="1211"/>
      <c r="B345" s="21">
        <v>8</v>
      </c>
      <c r="C345" s="866" t="s">
        <v>183</v>
      </c>
      <c r="D345" s="525">
        <v>54</v>
      </c>
      <c r="E345" s="525">
        <v>1992</v>
      </c>
      <c r="F345" s="723">
        <v>38.995977</v>
      </c>
      <c r="G345" s="723">
        <v>6.355977</v>
      </c>
      <c r="H345" s="723">
        <v>8.64</v>
      </c>
      <c r="I345" s="723">
        <v>24</v>
      </c>
      <c r="J345" s="726">
        <v>2632.94</v>
      </c>
      <c r="K345" s="723">
        <v>24.000025</v>
      </c>
      <c r="L345" s="726">
        <v>2632.94</v>
      </c>
      <c r="M345" s="734">
        <v>0.009115</v>
      </c>
      <c r="N345" s="720">
        <v>277.1</v>
      </c>
      <c r="O345" s="462">
        <f t="shared" si="60"/>
        <v>2.753085485</v>
      </c>
      <c r="P345" s="462">
        <f t="shared" si="61"/>
        <v>546.9</v>
      </c>
      <c r="Q345" s="463">
        <f t="shared" si="62"/>
        <v>151.54599000000002</v>
      </c>
      <c r="S345" s="63"/>
      <c r="T345" s="63"/>
    </row>
    <row r="346" spans="1:20" ht="12.75">
      <c r="A346" s="1211"/>
      <c r="B346" s="21">
        <v>9</v>
      </c>
      <c r="C346" s="866" t="s">
        <v>707</v>
      </c>
      <c r="D346" s="525">
        <v>22</v>
      </c>
      <c r="E346" s="525">
        <v>2004</v>
      </c>
      <c r="F346" s="723">
        <v>17.881</v>
      </c>
      <c r="G346" s="723">
        <v>2.958</v>
      </c>
      <c r="H346" s="723">
        <v>3.52</v>
      </c>
      <c r="I346" s="723">
        <v>11.403</v>
      </c>
      <c r="J346" s="726">
        <v>1200</v>
      </c>
      <c r="K346" s="723">
        <v>11.403</v>
      </c>
      <c r="L346" s="726">
        <v>1200</v>
      </c>
      <c r="M346" s="734">
        <v>0.009502</v>
      </c>
      <c r="N346" s="720">
        <v>277.1</v>
      </c>
      <c r="O346" s="462">
        <f t="shared" si="60"/>
        <v>2.8699745780000003</v>
      </c>
      <c r="P346" s="462">
        <f t="shared" si="61"/>
        <v>570.12</v>
      </c>
      <c r="Q346" s="463">
        <f t="shared" si="62"/>
        <v>157.980252</v>
      </c>
      <c r="S346" s="63"/>
      <c r="T346" s="63"/>
    </row>
    <row r="347" spans="1:20" s="67" customFormat="1" ht="13.5" thickBot="1">
      <c r="A347" s="1212"/>
      <c r="B347" s="72">
        <v>10</v>
      </c>
      <c r="C347" s="913" t="s">
        <v>249</v>
      </c>
      <c r="D347" s="526">
        <v>72</v>
      </c>
      <c r="E347" s="526">
        <v>1980</v>
      </c>
      <c r="F347" s="724">
        <v>59.569</v>
      </c>
      <c r="G347" s="724">
        <v>7.752</v>
      </c>
      <c r="H347" s="724">
        <v>11.52</v>
      </c>
      <c r="I347" s="724">
        <v>40.297</v>
      </c>
      <c r="J347" s="727">
        <v>4220</v>
      </c>
      <c r="K347" s="724">
        <v>40.297</v>
      </c>
      <c r="L347" s="727">
        <v>4220</v>
      </c>
      <c r="M347" s="735">
        <v>0.009549</v>
      </c>
      <c r="N347" s="721">
        <v>277.1</v>
      </c>
      <c r="O347" s="541">
        <f t="shared" si="60"/>
        <v>2.884170411000001</v>
      </c>
      <c r="P347" s="541">
        <f t="shared" si="61"/>
        <v>572.94</v>
      </c>
      <c r="Q347" s="542">
        <f t="shared" si="62"/>
        <v>158.76167400000003</v>
      </c>
      <c r="S347" s="70"/>
      <c r="T347" s="70"/>
    </row>
    <row r="348" spans="1:20" ht="11.25" customHeight="1">
      <c r="A348" s="1242" t="s">
        <v>29</v>
      </c>
      <c r="B348" s="404">
        <v>1</v>
      </c>
      <c r="C348" s="839" t="s">
        <v>708</v>
      </c>
      <c r="D348" s="423">
        <v>56</v>
      </c>
      <c r="E348" s="423">
        <v>1991</v>
      </c>
      <c r="F348" s="396">
        <v>56.881973</v>
      </c>
      <c r="G348" s="396">
        <v>9.87615</v>
      </c>
      <c r="H348" s="396">
        <v>13.36</v>
      </c>
      <c r="I348" s="396">
        <v>33.645823</v>
      </c>
      <c r="J348" s="424">
        <v>3478.2</v>
      </c>
      <c r="K348" s="396">
        <v>32.241023</v>
      </c>
      <c r="L348" s="424">
        <v>3303.97</v>
      </c>
      <c r="M348" s="367">
        <v>0.0096733</v>
      </c>
      <c r="N348" s="368">
        <v>277.1</v>
      </c>
      <c r="O348" s="369">
        <f t="shared" si="60"/>
        <v>2.9217138587</v>
      </c>
      <c r="P348" s="369">
        <f t="shared" si="61"/>
        <v>580.398</v>
      </c>
      <c r="Q348" s="370">
        <f aca="true" t="shared" si="63" ref="Q348:Q377">N348*P348/1000</f>
        <v>160.8282858</v>
      </c>
      <c r="S348" s="63"/>
      <c r="T348" s="63"/>
    </row>
    <row r="349" spans="1:20" ht="12.75" customHeight="1">
      <c r="A349" s="1243"/>
      <c r="B349" s="377">
        <v>2</v>
      </c>
      <c r="C349" s="362" t="s">
        <v>258</v>
      </c>
      <c r="D349" s="363">
        <v>75</v>
      </c>
      <c r="E349" s="363">
        <v>1987</v>
      </c>
      <c r="F349" s="364">
        <v>60.385</v>
      </c>
      <c r="G349" s="364">
        <v>8.180808</v>
      </c>
      <c r="H349" s="364">
        <v>12</v>
      </c>
      <c r="I349" s="364">
        <v>40.204192</v>
      </c>
      <c r="J349" s="372">
        <v>4017.2</v>
      </c>
      <c r="K349" s="364">
        <v>40.204192</v>
      </c>
      <c r="L349" s="372">
        <v>4017.2</v>
      </c>
      <c r="M349" s="374">
        <v>0.010008</v>
      </c>
      <c r="N349" s="373">
        <v>277.1</v>
      </c>
      <c r="O349" s="376">
        <f t="shared" si="60"/>
        <v>3.022806312</v>
      </c>
      <c r="P349" s="376">
        <f t="shared" si="61"/>
        <v>600.48</v>
      </c>
      <c r="Q349" s="375">
        <f t="shared" si="63"/>
        <v>166.39300800000004</v>
      </c>
      <c r="S349" s="63"/>
      <c r="T349" s="63"/>
    </row>
    <row r="350" spans="1:20" ht="12.75" customHeight="1">
      <c r="A350" s="1243"/>
      <c r="B350" s="377">
        <v>3</v>
      </c>
      <c r="C350" s="362" t="s">
        <v>218</v>
      </c>
      <c r="D350" s="363">
        <v>103</v>
      </c>
      <c r="E350" s="363">
        <v>1965</v>
      </c>
      <c r="F350" s="364">
        <v>72.367001</v>
      </c>
      <c r="G350" s="364">
        <v>11.22</v>
      </c>
      <c r="H350" s="364">
        <v>15.905591</v>
      </c>
      <c r="I350" s="364">
        <v>45.24141</v>
      </c>
      <c r="J350" s="372">
        <v>4447.51</v>
      </c>
      <c r="K350" s="364">
        <v>45.24141</v>
      </c>
      <c r="L350" s="372">
        <v>4447.51</v>
      </c>
      <c r="M350" s="374">
        <v>0.010172</v>
      </c>
      <c r="N350" s="373">
        <v>277.1</v>
      </c>
      <c r="O350" s="376">
        <f t="shared" si="60"/>
        <v>3.0723407080000005</v>
      </c>
      <c r="P350" s="376">
        <f t="shared" si="61"/>
        <v>610.3199999999999</v>
      </c>
      <c r="Q350" s="375">
        <f t="shared" si="63"/>
        <v>169.11967199999998</v>
      </c>
      <c r="S350" s="63"/>
      <c r="T350" s="63"/>
    </row>
    <row r="351" spans="1:20" ht="12.75" customHeight="1">
      <c r="A351" s="1243"/>
      <c r="B351" s="377">
        <v>4</v>
      </c>
      <c r="C351" s="362" t="s">
        <v>230</v>
      </c>
      <c r="D351" s="363">
        <v>55</v>
      </c>
      <c r="E351" s="363">
        <v>1995</v>
      </c>
      <c r="F351" s="364">
        <v>49.669001</v>
      </c>
      <c r="G351" s="364">
        <v>6.987</v>
      </c>
      <c r="H351" s="364">
        <v>8.72</v>
      </c>
      <c r="I351" s="364">
        <v>33.962001</v>
      </c>
      <c r="J351" s="372">
        <v>3308.16</v>
      </c>
      <c r="K351" s="364">
        <v>33.962001</v>
      </c>
      <c r="L351" s="372">
        <v>3308.16</v>
      </c>
      <c r="M351" s="374">
        <v>0.010266</v>
      </c>
      <c r="N351" s="373">
        <v>277.1</v>
      </c>
      <c r="O351" s="376">
        <f t="shared" si="60"/>
        <v>3.100732374000001</v>
      </c>
      <c r="P351" s="376">
        <f t="shared" si="61"/>
        <v>615.96</v>
      </c>
      <c r="Q351" s="375">
        <f t="shared" si="63"/>
        <v>170.68251600000002</v>
      </c>
      <c r="S351" s="63"/>
      <c r="T351" s="63"/>
    </row>
    <row r="352" spans="1:20" ht="12.75" customHeight="1">
      <c r="A352" s="1243"/>
      <c r="B352" s="377">
        <v>5</v>
      </c>
      <c r="C352" s="362" t="s">
        <v>709</v>
      </c>
      <c r="D352" s="363">
        <v>40</v>
      </c>
      <c r="E352" s="363">
        <v>1988</v>
      </c>
      <c r="F352" s="364">
        <v>34.549076</v>
      </c>
      <c r="G352" s="364">
        <v>4.174452</v>
      </c>
      <c r="H352" s="364">
        <v>6.4</v>
      </c>
      <c r="I352" s="364">
        <v>23.974624</v>
      </c>
      <c r="J352" s="372">
        <v>2312.44</v>
      </c>
      <c r="K352" s="364">
        <v>23.210423</v>
      </c>
      <c r="L352" s="372">
        <v>2238.73</v>
      </c>
      <c r="M352" s="374">
        <v>0.010367</v>
      </c>
      <c r="N352" s="373">
        <v>277.1</v>
      </c>
      <c r="O352" s="376">
        <f t="shared" si="60"/>
        <v>3.1312383130000003</v>
      </c>
      <c r="P352" s="376">
        <f t="shared" si="61"/>
        <v>622.02</v>
      </c>
      <c r="Q352" s="375">
        <f t="shared" si="63"/>
        <v>172.361742</v>
      </c>
      <c r="S352" s="63"/>
      <c r="T352" s="63"/>
    </row>
    <row r="353" spans="1:20" ht="12.75" customHeight="1">
      <c r="A353" s="1243"/>
      <c r="B353" s="377">
        <v>6</v>
      </c>
      <c r="C353" s="362" t="s">
        <v>231</v>
      </c>
      <c r="D353" s="363">
        <v>100</v>
      </c>
      <c r="E353" s="363">
        <v>1966</v>
      </c>
      <c r="F353" s="364">
        <v>72.338999</v>
      </c>
      <c r="G353" s="364">
        <v>9.9195</v>
      </c>
      <c r="H353" s="364">
        <v>15.84</v>
      </c>
      <c r="I353" s="364">
        <v>46.579499</v>
      </c>
      <c r="J353" s="372">
        <v>4481.51</v>
      </c>
      <c r="K353" s="364">
        <v>46.579499</v>
      </c>
      <c r="L353" s="372">
        <v>4481.51</v>
      </c>
      <c r="M353" s="374">
        <v>0.010393</v>
      </c>
      <c r="N353" s="373">
        <v>277.1</v>
      </c>
      <c r="O353" s="376">
        <f t="shared" si="60"/>
        <v>3.1390913270000005</v>
      </c>
      <c r="P353" s="376">
        <f t="shared" si="61"/>
        <v>623.58</v>
      </c>
      <c r="Q353" s="375">
        <f t="shared" si="63"/>
        <v>172.79401800000005</v>
      </c>
      <c r="S353" s="63"/>
      <c r="T353" s="63"/>
    </row>
    <row r="354" spans="1:20" ht="12.75" customHeight="1">
      <c r="A354" s="1243"/>
      <c r="B354" s="377">
        <v>7</v>
      </c>
      <c r="C354" s="362" t="s">
        <v>248</v>
      </c>
      <c r="D354" s="363">
        <v>80</v>
      </c>
      <c r="E354" s="363">
        <v>1964</v>
      </c>
      <c r="F354" s="364">
        <v>60.916</v>
      </c>
      <c r="G354" s="364">
        <v>8.2875</v>
      </c>
      <c r="H354" s="364">
        <v>12.72</v>
      </c>
      <c r="I354" s="364">
        <v>39.9085</v>
      </c>
      <c r="J354" s="372">
        <v>3830.86</v>
      </c>
      <c r="K354" s="364">
        <v>39.9085</v>
      </c>
      <c r="L354" s="372">
        <v>3830.86</v>
      </c>
      <c r="M354" s="374">
        <v>0.010417</v>
      </c>
      <c r="N354" s="373">
        <v>277.1</v>
      </c>
      <c r="O354" s="376">
        <f t="shared" si="60"/>
        <v>3.146340263</v>
      </c>
      <c r="P354" s="376">
        <f t="shared" si="61"/>
        <v>625.0199999999999</v>
      </c>
      <c r="Q354" s="375">
        <f t="shared" si="63"/>
        <v>173.193042</v>
      </c>
      <c r="S354" s="63"/>
      <c r="T354" s="63"/>
    </row>
    <row r="355" spans="1:20" ht="12.75" customHeight="1">
      <c r="A355" s="1243"/>
      <c r="B355" s="377">
        <v>8</v>
      </c>
      <c r="C355" s="362" t="s">
        <v>710</v>
      </c>
      <c r="D355" s="363">
        <v>60</v>
      </c>
      <c r="E355" s="363">
        <v>1988</v>
      </c>
      <c r="F355" s="364">
        <v>41.158496</v>
      </c>
      <c r="G355" s="364">
        <v>6.732</v>
      </c>
      <c r="H355" s="364">
        <v>9.6</v>
      </c>
      <c r="I355" s="364">
        <v>24.826496</v>
      </c>
      <c r="J355" s="372">
        <v>2363.76</v>
      </c>
      <c r="K355" s="364">
        <v>24.826496</v>
      </c>
      <c r="L355" s="372">
        <v>2363.76</v>
      </c>
      <c r="M355" s="374">
        <v>0.010502</v>
      </c>
      <c r="N355" s="373">
        <v>277.1</v>
      </c>
      <c r="O355" s="376">
        <f t="shared" si="60"/>
        <v>3.1720135780000005</v>
      </c>
      <c r="P355" s="376">
        <f t="shared" si="61"/>
        <v>630.1199999999999</v>
      </c>
      <c r="Q355" s="375">
        <f t="shared" si="63"/>
        <v>174.60625199999998</v>
      </c>
      <c r="S355" s="63"/>
      <c r="T355" s="63"/>
    </row>
    <row r="356" spans="1:20" ht="13.5" customHeight="1">
      <c r="A356" s="1243"/>
      <c r="B356" s="377">
        <v>9</v>
      </c>
      <c r="C356" s="362" t="s">
        <v>219</v>
      </c>
      <c r="D356" s="363">
        <v>51</v>
      </c>
      <c r="E356" s="363">
        <v>1976</v>
      </c>
      <c r="F356" s="364">
        <v>47.698003</v>
      </c>
      <c r="G356" s="364">
        <v>6.8085</v>
      </c>
      <c r="H356" s="364">
        <v>8.16</v>
      </c>
      <c r="I356" s="364">
        <v>32.729503</v>
      </c>
      <c r="J356" s="372">
        <v>3060.87</v>
      </c>
      <c r="K356" s="364">
        <v>32.729503</v>
      </c>
      <c r="L356" s="372">
        <v>3060.87</v>
      </c>
      <c r="M356" s="374">
        <v>0.010692</v>
      </c>
      <c r="N356" s="373">
        <v>277.1</v>
      </c>
      <c r="O356" s="376">
        <f t="shared" si="60"/>
        <v>3.2294009880000005</v>
      </c>
      <c r="P356" s="376">
        <f t="shared" si="61"/>
        <v>641.52</v>
      </c>
      <c r="Q356" s="375">
        <f t="shared" si="63"/>
        <v>177.765192</v>
      </c>
      <c r="S356" s="63"/>
      <c r="T356" s="63"/>
    </row>
    <row r="357" spans="1:20" ht="13.5" customHeight="1" thickBot="1">
      <c r="A357" s="1244"/>
      <c r="B357" s="386">
        <v>10</v>
      </c>
      <c r="C357" s="397" t="s">
        <v>711</v>
      </c>
      <c r="D357" s="398">
        <v>25</v>
      </c>
      <c r="E357" s="398">
        <v>1973</v>
      </c>
      <c r="F357" s="399">
        <v>20.503</v>
      </c>
      <c r="G357" s="399">
        <v>2.397</v>
      </c>
      <c r="H357" s="399">
        <v>4</v>
      </c>
      <c r="I357" s="399">
        <v>14.106</v>
      </c>
      <c r="J357" s="400">
        <v>1305.97</v>
      </c>
      <c r="K357" s="399">
        <v>14.106</v>
      </c>
      <c r="L357" s="400">
        <v>1305.97</v>
      </c>
      <c r="M357" s="401">
        <v>0.010801</v>
      </c>
      <c r="N357" s="409">
        <v>277.1</v>
      </c>
      <c r="O357" s="402">
        <f t="shared" si="60"/>
        <v>3.2623232390000005</v>
      </c>
      <c r="P357" s="402">
        <f t="shared" si="61"/>
        <v>648.06</v>
      </c>
      <c r="Q357" s="403">
        <f t="shared" si="63"/>
        <v>179.577426</v>
      </c>
      <c r="S357" s="63"/>
      <c r="T357" s="63"/>
    </row>
    <row r="358" spans="1:20" ht="12.75">
      <c r="A358" s="1187" t="s">
        <v>30</v>
      </c>
      <c r="B358" s="22">
        <v>1</v>
      </c>
      <c r="C358" s="923" t="s">
        <v>712</v>
      </c>
      <c r="D358" s="540">
        <v>8</v>
      </c>
      <c r="E358" s="540">
        <v>1962</v>
      </c>
      <c r="F358" s="729">
        <v>9.213</v>
      </c>
      <c r="G358" s="729">
        <v>0.306</v>
      </c>
      <c r="H358" s="729">
        <v>0.97</v>
      </c>
      <c r="I358" s="729">
        <v>7.937</v>
      </c>
      <c r="J358" s="715">
        <v>366.73</v>
      </c>
      <c r="K358" s="729">
        <v>7.937</v>
      </c>
      <c r="L358" s="715">
        <v>366.73</v>
      </c>
      <c r="M358" s="684">
        <v>0.021642</v>
      </c>
      <c r="N358" s="717">
        <v>277.1</v>
      </c>
      <c r="O358" s="685">
        <f t="shared" si="60"/>
        <v>6.5367280380000015</v>
      </c>
      <c r="P358" s="685">
        <f t="shared" si="61"/>
        <v>1298.5200000000002</v>
      </c>
      <c r="Q358" s="686">
        <f t="shared" si="63"/>
        <v>359.8198920000001</v>
      </c>
      <c r="S358" s="63"/>
      <c r="T358" s="63"/>
    </row>
    <row r="359" spans="1:20" ht="12.75">
      <c r="A359" s="1188"/>
      <c r="B359" s="24">
        <v>2</v>
      </c>
      <c r="C359" s="522" t="s">
        <v>713</v>
      </c>
      <c r="D359" s="493">
        <v>12</v>
      </c>
      <c r="E359" s="493">
        <v>1972</v>
      </c>
      <c r="F359" s="704">
        <v>11.581</v>
      </c>
      <c r="G359" s="704">
        <v>0</v>
      </c>
      <c r="H359" s="704">
        <v>0</v>
      </c>
      <c r="I359" s="704">
        <v>11.581</v>
      </c>
      <c r="J359" s="710">
        <v>532.47</v>
      </c>
      <c r="K359" s="704">
        <v>11.581</v>
      </c>
      <c r="L359" s="710">
        <v>532.47</v>
      </c>
      <c r="M359" s="650">
        <v>0.021749</v>
      </c>
      <c r="N359" s="651">
        <v>277.1</v>
      </c>
      <c r="O359" s="508">
        <f t="shared" si="60"/>
        <v>6.569046211000001</v>
      </c>
      <c r="P359" s="508">
        <f t="shared" si="61"/>
        <v>1304.94</v>
      </c>
      <c r="Q359" s="509">
        <f t="shared" si="63"/>
        <v>361.5988740000001</v>
      </c>
      <c r="S359" s="63"/>
      <c r="T359" s="63"/>
    </row>
    <row r="360" spans="1:20" ht="12.75">
      <c r="A360" s="1188"/>
      <c r="B360" s="24">
        <v>3</v>
      </c>
      <c r="C360" s="522" t="s">
        <v>714</v>
      </c>
      <c r="D360" s="493">
        <v>8</v>
      </c>
      <c r="E360" s="493">
        <v>1962</v>
      </c>
      <c r="F360" s="704">
        <v>9.432</v>
      </c>
      <c r="G360" s="704">
        <v>0.255</v>
      </c>
      <c r="H360" s="704">
        <v>1.2</v>
      </c>
      <c r="I360" s="704">
        <v>7.977</v>
      </c>
      <c r="J360" s="710">
        <v>363.26</v>
      </c>
      <c r="K360" s="704">
        <v>5.481964</v>
      </c>
      <c r="L360" s="710">
        <v>249.64</v>
      </c>
      <c r="M360" s="650">
        <v>0.021959</v>
      </c>
      <c r="N360" s="651">
        <v>277.1</v>
      </c>
      <c r="O360" s="508">
        <f t="shared" si="60"/>
        <v>6.6324744010000005</v>
      </c>
      <c r="P360" s="508">
        <f t="shared" si="61"/>
        <v>1317.54</v>
      </c>
      <c r="Q360" s="509">
        <f t="shared" si="63"/>
        <v>365.09033400000004</v>
      </c>
      <c r="S360" s="63"/>
      <c r="T360" s="63"/>
    </row>
    <row r="361" spans="1:20" ht="12.75">
      <c r="A361" s="1188"/>
      <c r="B361" s="24">
        <v>4</v>
      </c>
      <c r="C361" s="522" t="s">
        <v>715</v>
      </c>
      <c r="D361" s="493">
        <v>10</v>
      </c>
      <c r="E361" s="493">
        <v>1958</v>
      </c>
      <c r="F361" s="704">
        <v>12.7434</v>
      </c>
      <c r="G361" s="704">
        <v>1.122</v>
      </c>
      <c r="H361" s="704">
        <v>1.52</v>
      </c>
      <c r="I361" s="704">
        <v>10.1014</v>
      </c>
      <c r="J361" s="710">
        <v>454.98</v>
      </c>
      <c r="K361" s="704">
        <v>10.1014</v>
      </c>
      <c r="L361" s="710">
        <v>454.98</v>
      </c>
      <c r="M361" s="650">
        <v>0.022201</v>
      </c>
      <c r="N361" s="651">
        <v>277.1</v>
      </c>
      <c r="O361" s="508">
        <f t="shared" si="60"/>
        <v>6.705567839</v>
      </c>
      <c r="P361" s="508">
        <f t="shared" si="61"/>
        <v>1332.0599999999997</v>
      </c>
      <c r="Q361" s="509">
        <f t="shared" si="63"/>
        <v>369.11382599999996</v>
      </c>
      <c r="S361" s="63"/>
      <c r="T361" s="63"/>
    </row>
    <row r="362" spans="1:20" ht="12.75">
      <c r="A362" s="1188"/>
      <c r="B362" s="24">
        <v>5</v>
      </c>
      <c r="C362" s="522" t="s">
        <v>716</v>
      </c>
      <c r="D362" s="493">
        <v>12</v>
      </c>
      <c r="E362" s="493">
        <v>1971</v>
      </c>
      <c r="F362" s="704">
        <v>11.972999</v>
      </c>
      <c r="G362" s="704">
        <v>0</v>
      </c>
      <c r="H362" s="704">
        <v>0</v>
      </c>
      <c r="I362" s="704">
        <v>11.972999</v>
      </c>
      <c r="J362" s="710">
        <v>538.8</v>
      </c>
      <c r="K362" s="704">
        <v>11.972999</v>
      </c>
      <c r="L362" s="710">
        <v>538.8</v>
      </c>
      <c r="M362" s="650">
        <v>0.022221</v>
      </c>
      <c r="N362" s="651">
        <v>277.1</v>
      </c>
      <c r="O362" s="508">
        <f t="shared" si="60"/>
        <v>6.711608619000001</v>
      </c>
      <c r="P362" s="508">
        <f t="shared" si="61"/>
        <v>1333.2600000000002</v>
      </c>
      <c r="Q362" s="509">
        <f t="shared" si="63"/>
        <v>369.44634600000006</v>
      </c>
      <c r="S362" s="63"/>
      <c r="T362" s="63"/>
    </row>
    <row r="363" spans="1:20" ht="12.75">
      <c r="A363" s="1188"/>
      <c r="B363" s="24">
        <v>6</v>
      </c>
      <c r="C363" s="522" t="s">
        <v>717</v>
      </c>
      <c r="D363" s="493">
        <v>24</v>
      </c>
      <c r="E363" s="493">
        <v>1961</v>
      </c>
      <c r="F363" s="704">
        <v>26.592999</v>
      </c>
      <c r="G363" s="704">
        <v>2.848452</v>
      </c>
      <c r="H363" s="704">
        <v>3.6</v>
      </c>
      <c r="I363" s="704">
        <v>20.144547</v>
      </c>
      <c r="J363" s="710">
        <v>887.52</v>
      </c>
      <c r="K363" s="704">
        <v>16.293451</v>
      </c>
      <c r="L363" s="710">
        <v>717.85</v>
      </c>
      <c r="M363" s="650">
        <v>0.022697</v>
      </c>
      <c r="N363" s="651">
        <v>277.1</v>
      </c>
      <c r="O363" s="508">
        <f t="shared" si="60"/>
        <v>6.855379183</v>
      </c>
      <c r="P363" s="508">
        <f t="shared" si="61"/>
        <v>1361.8199999999997</v>
      </c>
      <c r="Q363" s="509">
        <f t="shared" si="63"/>
        <v>377.36032199999994</v>
      </c>
      <c r="S363" s="63"/>
      <c r="T363" s="63"/>
    </row>
    <row r="364" spans="1:20" ht="12.75">
      <c r="A364" s="1188"/>
      <c r="B364" s="24">
        <v>7</v>
      </c>
      <c r="C364" s="522" t="s">
        <v>261</v>
      </c>
      <c r="D364" s="493">
        <v>5</v>
      </c>
      <c r="E364" s="493">
        <v>1890</v>
      </c>
      <c r="F364" s="704">
        <v>8.671</v>
      </c>
      <c r="G364" s="704">
        <v>0.153</v>
      </c>
      <c r="H364" s="704">
        <v>0.72</v>
      </c>
      <c r="I364" s="704">
        <v>7.798</v>
      </c>
      <c r="J364" s="710">
        <v>336.82</v>
      </c>
      <c r="K364" s="704">
        <v>4.185157</v>
      </c>
      <c r="L364" s="710">
        <v>180.77</v>
      </c>
      <c r="M364" s="650">
        <v>0.023151</v>
      </c>
      <c r="N364" s="651">
        <v>277.1</v>
      </c>
      <c r="O364" s="508">
        <f t="shared" si="60"/>
        <v>6.992504889000001</v>
      </c>
      <c r="P364" s="508">
        <f t="shared" si="61"/>
        <v>1389.0600000000002</v>
      </c>
      <c r="Q364" s="509">
        <f t="shared" si="63"/>
        <v>384.90852600000005</v>
      </c>
      <c r="S364" s="63"/>
      <c r="T364" s="63"/>
    </row>
    <row r="365" spans="1:20" ht="12.75">
      <c r="A365" s="1188"/>
      <c r="B365" s="24">
        <v>8</v>
      </c>
      <c r="C365" s="522" t="s">
        <v>220</v>
      </c>
      <c r="D365" s="493">
        <v>7</v>
      </c>
      <c r="E365" s="493">
        <v>1900</v>
      </c>
      <c r="F365" s="704">
        <v>7.5184</v>
      </c>
      <c r="G365" s="704">
        <v>0.451452</v>
      </c>
      <c r="H365" s="704">
        <v>0.96</v>
      </c>
      <c r="I365" s="704">
        <v>6.106948</v>
      </c>
      <c r="J365" s="710">
        <v>263.54</v>
      </c>
      <c r="K365" s="704">
        <v>3.626304</v>
      </c>
      <c r="L365" s="710">
        <v>156.49</v>
      </c>
      <c r="M365" s="650">
        <v>0.023172</v>
      </c>
      <c r="N365" s="651">
        <v>277.1</v>
      </c>
      <c r="O365" s="508">
        <f t="shared" si="60"/>
        <v>6.998847708000001</v>
      </c>
      <c r="P365" s="508">
        <f t="shared" si="61"/>
        <v>1390.32</v>
      </c>
      <c r="Q365" s="509">
        <f t="shared" si="63"/>
        <v>385.257672</v>
      </c>
      <c r="S365" s="63"/>
      <c r="T365" s="63"/>
    </row>
    <row r="366" spans="1:20" ht="12.75">
      <c r="A366" s="1254"/>
      <c r="B366" s="58">
        <v>9</v>
      </c>
      <c r="C366" s="522" t="s">
        <v>221</v>
      </c>
      <c r="D366" s="493">
        <v>83</v>
      </c>
      <c r="E366" s="493">
        <v>1963</v>
      </c>
      <c r="F366" s="704">
        <v>34.959</v>
      </c>
      <c r="G366" s="704">
        <v>0</v>
      </c>
      <c r="H366" s="704">
        <v>0</v>
      </c>
      <c r="I366" s="704">
        <v>34.959</v>
      </c>
      <c r="J366" s="710">
        <v>1484.32</v>
      </c>
      <c r="K366" s="704">
        <v>33.247933</v>
      </c>
      <c r="L366" s="710">
        <v>1411.67</v>
      </c>
      <c r="M366" s="650">
        <v>0.023552</v>
      </c>
      <c r="N366" s="651">
        <v>277.1</v>
      </c>
      <c r="O366" s="508">
        <f t="shared" si="60"/>
        <v>7.1136225280000005</v>
      </c>
      <c r="P366" s="508">
        <f t="shared" si="61"/>
        <v>1413.12</v>
      </c>
      <c r="Q366" s="509">
        <f t="shared" si="63"/>
        <v>391.575552</v>
      </c>
      <c r="S366" s="63"/>
      <c r="T366" s="63"/>
    </row>
    <row r="367" spans="1:20" ht="13.5" thickBot="1">
      <c r="A367" s="1189"/>
      <c r="B367" s="25">
        <v>10</v>
      </c>
      <c r="C367" s="523" t="s">
        <v>187</v>
      </c>
      <c r="D367" s="494">
        <v>12</v>
      </c>
      <c r="E367" s="494">
        <v>1961</v>
      </c>
      <c r="F367" s="705">
        <v>14.749501</v>
      </c>
      <c r="G367" s="705">
        <v>0.663</v>
      </c>
      <c r="H367" s="705">
        <v>1.92</v>
      </c>
      <c r="I367" s="705">
        <v>12.166501</v>
      </c>
      <c r="J367" s="711">
        <v>513.65</v>
      </c>
      <c r="K367" s="705">
        <v>12.166501</v>
      </c>
      <c r="L367" s="711">
        <v>513.65</v>
      </c>
      <c r="M367" s="687">
        <v>0.023686</v>
      </c>
      <c r="N367" s="688">
        <v>277.1</v>
      </c>
      <c r="O367" s="689">
        <f t="shared" si="60"/>
        <v>7.154095754</v>
      </c>
      <c r="P367" s="689">
        <f t="shared" si="61"/>
        <v>1421.16</v>
      </c>
      <c r="Q367" s="690">
        <f t="shared" si="63"/>
        <v>393.80343600000003</v>
      </c>
      <c r="S367" s="63"/>
      <c r="T367" s="63"/>
    </row>
    <row r="368" spans="1:20" ht="12.75">
      <c r="A368" s="1253" t="s">
        <v>12</v>
      </c>
      <c r="B368" s="27">
        <v>1</v>
      </c>
      <c r="C368" s="1059" t="s">
        <v>185</v>
      </c>
      <c r="D368" s="1027">
        <v>8</v>
      </c>
      <c r="E368" s="1027">
        <v>1970</v>
      </c>
      <c r="F368" s="730">
        <v>8.888999</v>
      </c>
      <c r="G368" s="730">
        <v>0.204</v>
      </c>
      <c r="H368" s="730">
        <v>0.96</v>
      </c>
      <c r="I368" s="730">
        <v>7.724999</v>
      </c>
      <c r="J368" s="716">
        <v>321.83</v>
      </c>
      <c r="K368" s="730">
        <v>5.419477</v>
      </c>
      <c r="L368" s="716">
        <v>225.78</v>
      </c>
      <c r="M368" s="691">
        <v>0.024003</v>
      </c>
      <c r="N368" s="719">
        <v>277.1</v>
      </c>
      <c r="O368" s="693">
        <f t="shared" si="60"/>
        <v>7.249842117000002</v>
      </c>
      <c r="P368" s="693">
        <f t="shared" si="61"/>
        <v>1440.18</v>
      </c>
      <c r="Q368" s="694">
        <f t="shared" si="63"/>
        <v>399.07387800000004</v>
      </c>
      <c r="S368" s="63"/>
      <c r="T368" s="63"/>
    </row>
    <row r="369" spans="1:20" ht="12.75">
      <c r="A369" s="1191"/>
      <c r="B369" s="29">
        <v>2</v>
      </c>
      <c r="C369" s="517" t="s">
        <v>260</v>
      </c>
      <c r="D369" s="518">
        <v>4</v>
      </c>
      <c r="E369" s="518">
        <v>1850</v>
      </c>
      <c r="F369" s="707">
        <v>5.528</v>
      </c>
      <c r="G369" s="707">
        <v>0.255</v>
      </c>
      <c r="H369" s="707">
        <v>0.64</v>
      </c>
      <c r="I369" s="707">
        <v>4.633</v>
      </c>
      <c r="J369" s="713">
        <v>190.97</v>
      </c>
      <c r="K369" s="707">
        <v>3.758657</v>
      </c>
      <c r="L369" s="713">
        <v>154.93</v>
      </c>
      <c r="M369" s="695">
        <v>0.02426</v>
      </c>
      <c r="N369" s="692">
        <v>277.1</v>
      </c>
      <c r="O369" s="696">
        <f t="shared" si="60"/>
        <v>7.327466140000001</v>
      </c>
      <c r="P369" s="696">
        <f t="shared" si="61"/>
        <v>1455.6</v>
      </c>
      <c r="Q369" s="697">
        <f t="shared" si="63"/>
        <v>403.34676</v>
      </c>
      <c r="S369" s="63"/>
      <c r="T369" s="63"/>
    </row>
    <row r="370" spans="1:20" ht="12.75">
      <c r="A370" s="1191"/>
      <c r="B370" s="29">
        <v>3</v>
      </c>
      <c r="C370" s="517" t="s">
        <v>232</v>
      </c>
      <c r="D370" s="518">
        <v>9</v>
      </c>
      <c r="E370" s="518">
        <v>1965</v>
      </c>
      <c r="F370" s="707">
        <v>10.576001</v>
      </c>
      <c r="G370" s="707">
        <v>0.663</v>
      </c>
      <c r="H370" s="707">
        <v>0.07</v>
      </c>
      <c r="I370" s="707">
        <v>9.843001</v>
      </c>
      <c r="J370" s="713">
        <v>399.34</v>
      </c>
      <c r="K370" s="707">
        <v>9.843001</v>
      </c>
      <c r="L370" s="713">
        <v>399.34</v>
      </c>
      <c r="M370" s="695">
        <v>0.024648</v>
      </c>
      <c r="N370" s="692">
        <v>277.1</v>
      </c>
      <c r="O370" s="696">
        <f t="shared" si="60"/>
        <v>7.444657272000001</v>
      </c>
      <c r="P370" s="696">
        <f t="shared" si="61"/>
        <v>1478.8799999999999</v>
      </c>
      <c r="Q370" s="697">
        <f t="shared" si="63"/>
        <v>409.797648</v>
      </c>
      <c r="S370" s="63"/>
      <c r="T370" s="63"/>
    </row>
    <row r="371" spans="1:20" ht="12.75">
      <c r="A371" s="1191"/>
      <c r="B371" s="29">
        <v>4</v>
      </c>
      <c r="C371" s="517" t="s">
        <v>718</v>
      </c>
      <c r="D371" s="518">
        <v>12</v>
      </c>
      <c r="E371" s="518">
        <v>1973</v>
      </c>
      <c r="F371" s="707">
        <v>12.674999</v>
      </c>
      <c r="G371" s="707">
        <v>0</v>
      </c>
      <c r="H371" s="707">
        <v>0</v>
      </c>
      <c r="I371" s="707">
        <v>12.674999</v>
      </c>
      <c r="J371" s="713">
        <v>510.06</v>
      </c>
      <c r="K371" s="707">
        <v>12.674999</v>
      </c>
      <c r="L371" s="713">
        <v>510.06</v>
      </c>
      <c r="M371" s="695">
        <v>0.02485</v>
      </c>
      <c r="N371" s="692">
        <v>277.1</v>
      </c>
      <c r="O371" s="696">
        <f t="shared" si="60"/>
        <v>7.505669150000001</v>
      </c>
      <c r="P371" s="696">
        <f t="shared" si="61"/>
        <v>1491</v>
      </c>
      <c r="Q371" s="697">
        <f t="shared" si="63"/>
        <v>413.15610000000004</v>
      </c>
      <c r="S371" s="63"/>
      <c r="T371" s="63"/>
    </row>
    <row r="372" spans="1:20" ht="12.75">
      <c r="A372" s="1191"/>
      <c r="B372" s="29">
        <v>5</v>
      </c>
      <c r="C372" s="517" t="s">
        <v>259</v>
      </c>
      <c r="D372" s="518">
        <v>22</v>
      </c>
      <c r="E372" s="518">
        <v>1960</v>
      </c>
      <c r="F372" s="707">
        <v>26.268002</v>
      </c>
      <c r="G372" s="707">
        <v>0.561</v>
      </c>
      <c r="H372" s="707">
        <v>3.04</v>
      </c>
      <c r="I372" s="707">
        <v>22.667002</v>
      </c>
      <c r="J372" s="713">
        <v>942.17</v>
      </c>
      <c r="K372" s="707">
        <v>15.72004</v>
      </c>
      <c r="L372" s="713">
        <v>630.57</v>
      </c>
      <c r="M372" s="695">
        <v>0.024929</v>
      </c>
      <c r="N372" s="692">
        <v>277.1</v>
      </c>
      <c r="O372" s="696">
        <f t="shared" si="60"/>
        <v>7.529530231000002</v>
      </c>
      <c r="P372" s="696">
        <f t="shared" si="61"/>
        <v>1495.74</v>
      </c>
      <c r="Q372" s="697">
        <f t="shared" si="63"/>
        <v>414.4695540000001</v>
      </c>
      <c r="S372" s="63"/>
      <c r="T372" s="63"/>
    </row>
    <row r="373" spans="1:20" ht="12.75">
      <c r="A373" s="1191"/>
      <c r="B373" s="29">
        <v>6</v>
      </c>
      <c r="C373" s="517" t="s">
        <v>233</v>
      </c>
      <c r="D373" s="518">
        <v>8</v>
      </c>
      <c r="E373" s="518">
        <v>1968</v>
      </c>
      <c r="F373" s="707">
        <v>10.337</v>
      </c>
      <c r="G373" s="707">
        <v>0.408</v>
      </c>
      <c r="H373" s="707">
        <v>0.07</v>
      </c>
      <c r="I373" s="707">
        <v>9.859</v>
      </c>
      <c r="J373" s="713">
        <v>394.35</v>
      </c>
      <c r="K373" s="707">
        <v>9.859</v>
      </c>
      <c r="L373" s="713">
        <v>394.35</v>
      </c>
      <c r="M373" s="695">
        <v>0.025</v>
      </c>
      <c r="N373" s="692">
        <v>277.1</v>
      </c>
      <c r="O373" s="696">
        <f t="shared" si="60"/>
        <v>7.550975000000002</v>
      </c>
      <c r="P373" s="696">
        <f t="shared" si="61"/>
        <v>1500</v>
      </c>
      <c r="Q373" s="697">
        <f t="shared" si="63"/>
        <v>415.65000000000003</v>
      </c>
      <c r="S373" s="63"/>
      <c r="T373" s="63"/>
    </row>
    <row r="374" spans="1:20" ht="12.75">
      <c r="A374" s="1191"/>
      <c r="B374" s="29">
        <v>7</v>
      </c>
      <c r="C374" s="517" t="s">
        <v>188</v>
      </c>
      <c r="D374" s="518">
        <v>4</v>
      </c>
      <c r="E374" s="518">
        <v>1870</v>
      </c>
      <c r="F374" s="707">
        <v>5.1743</v>
      </c>
      <c r="G374" s="707">
        <v>0.4845</v>
      </c>
      <c r="H374" s="707">
        <v>0.64</v>
      </c>
      <c r="I374" s="707">
        <v>4.0498</v>
      </c>
      <c r="J374" s="713">
        <v>160.97</v>
      </c>
      <c r="K374" s="707">
        <v>4.0498</v>
      </c>
      <c r="L374" s="713">
        <v>160.97</v>
      </c>
      <c r="M374" s="695">
        <v>0.025158</v>
      </c>
      <c r="N374" s="692">
        <v>277.1</v>
      </c>
      <c r="O374" s="696">
        <f t="shared" si="60"/>
        <v>7.5986971620000014</v>
      </c>
      <c r="P374" s="696">
        <f t="shared" si="61"/>
        <v>1509.48</v>
      </c>
      <c r="Q374" s="697">
        <f t="shared" si="63"/>
        <v>418.27690800000005</v>
      </c>
      <c r="S374" s="63"/>
      <c r="T374" s="63"/>
    </row>
    <row r="375" spans="1:20" ht="12.75">
      <c r="A375" s="1191"/>
      <c r="B375" s="29">
        <v>8</v>
      </c>
      <c r="C375" s="517" t="s">
        <v>719</v>
      </c>
      <c r="D375" s="518">
        <v>5</v>
      </c>
      <c r="E375" s="518">
        <v>1938</v>
      </c>
      <c r="F375" s="707">
        <v>4.288002</v>
      </c>
      <c r="G375" s="707">
        <v>0</v>
      </c>
      <c r="H375" s="707">
        <v>0</v>
      </c>
      <c r="I375" s="707">
        <v>4.288002</v>
      </c>
      <c r="J375" s="713">
        <v>168.56</v>
      </c>
      <c r="K375" s="707">
        <v>4.288002</v>
      </c>
      <c r="L375" s="713">
        <v>168.56</v>
      </c>
      <c r="M375" s="695">
        <v>0.025439</v>
      </c>
      <c r="N375" s="692">
        <v>277.1</v>
      </c>
      <c r="O375" s="696">
        <f t="shared" si="60"/>
        <v>7.683570121000001</v>
      </c>
      <c r="P375" s="696">
        <f t="shared" si="61"/>
        <v>1526.34</v>
      </c>
      <c r="Q375" s="697">
        <f t="shared" si="63"/>
        <v>422.948814</v>
      </c>
      <c r="S375" s="63"/>
      <c r="T375" s="63"/>
    </row>
    <row r="376" spans="1:20" ht="12.75">
      <c r="A376" s="1191"/>
      <c r="B376" s="29">
        <v>9</v>
      </c>
      <c r="C376" s="527" t="s">
        <v>189</v>
      </c>
      <c r="D376" s="518">
        <v>6</v>
      </c>
      <c r="E376" s="518">
        <v>1959</v>
      </c>
      <c r="F376" s="707">
        <v>9.462</v>
      </c>
      <c r="G376" s="707">
        <v>0.3825</v>
      </c>
      <c r="H376" s="707">
        <v>0.96</v>
      </c>
      <c r="I376" s="707">
        <v>8.1195</v>
      </c>
      <c r="J376" s="713">
        <v>317.83</v>
      </c>
      <c r="K376" s="707">
        <v>8.1195</v>
      </c>
      <c r="L376" s="713">
        <v>317.83</v>
      </c>
      <c r="M376" s="695">
        <v>0.025546</v>
      </c>
      <c r="N376" s="692">
        <v>277.1</v>
      </c>
      <c r="O376" s="696">
        <f t="shared" si="60"/>
        <v>7.715888294000001</v>
      </c>
      <c r="P376" s="696">
        <f t="shared" si="61"/>
        <v>1532.76</v>
      </c>
      <c r="Q376" s="697">
        <f t="shared" si="63"/>
        <v>424.727796</v>
      </c>
      <c r="S376" s="63"/>
      <c r="T376" s="63"/>
    </row>
    <row r="377" spans="1:20" ht="13.5" thickBot="1">
      <c r="A377" s="1192"/>
      <c r="B377" s="33">
        <v>10</v>
      </c>
      <c r="C377" s="528" t="s">
        <v>186</v>
      </c>
      <c r="D377" s="520">
        <v>5</v>
      </c>
      <c r="E377" s="520">
        <v>1938</v>
      </c>
      <c r="F377" s="708">
        <v>4.834999</v>
      </c>
      <c r="G377" s="708">
        <v>0.255</v>
      </c>
      <c r="H377" s="708">
        <v>0.04</v>
      </c>
      <c r="I377" s="708">
        <v>4.539999</v>
      </c>
      <c r="J377" s="714">
        <v>152.85</v>
      </c>
      <c r="K377" s="708">
        <v>4.539999</v>
      </c>
      <c r="L377" s="714">
        <v>152.85</v>
      </c>
      <c r="M377" s="698">
        <v>0.029702</v>
      </c>
      <c r="N377" s="702">
        <v>277.1</v>
      </c>
      <c r="O377" s="699">
        <f t="shared" si="60"/>
        <v>8.971162378</v>
      </c>
      <c r="P377" s="699">
        <f t="shared" si="61"/>
        <v>1782.12</v>
      </c>
      <c r="Q377" s="700">
        <f t="shared" si="63"/>
        <v>493.825452</v>
      </c>
      <c r="S377" s="63"/>
      <c r="T377" s="63"/>
    </row>
    <row r="378" spans="19:20" ht="12.75">
      <c r="S378" s="63"/>
      <c r="T378" s="63"/>
    </row>
    <row r="379" spans="19:20" ht="12.75">
      <c r="S379" s="63"/>
      <c r="T379" s="63"/>
    </row>
    <row r="380" spans="19:20" ht="12.75">
      <c r="S380" s="63"/>
      <c r="T380" s="63"/>
    </row>
    <row r="381" spans="19:20" ht="12.75">
      <c r="S381" s="63"/>
      <c r="T381" s="63"/>
    </row>
    <row r="382" spans="1:20" ht="15">
      <c r="A382" s="1199" t="s">
        <v>57</v>
      </c>
      <c r="B382" s="1199"/>
      <c r="C382" s="1199"/>
      <c r="D382" s="1199"/>
      <c r="E382" s="1199"/>
      <c r="F382" s="1199"/>
      <c r="G382" s="1199"/>
      <c r="H382" s="1199"/>
      <c r="I382" s="1199"/>
      <c r="J382" s="1199"/>
      <c r="K382" s="1199"/>
      <c r="L382" s="1199"/>
      <c r="M382" s="1199"/>
      <c r="N382" s="1199"/>
      <c r="O382" s="1199"/>
      <c r="P382" s="1199"/>
      <c r="Q382" s="1199"/>
      <c r="S382" s="63"/>
      <c r="T382" s="63"/>
    </row>
    <row r="383" spans="1:20" ht="13.5" thickBot="1">
      <c r="A383" s="1200" t="s">
        <v>720</v>
      </c>
      <c r="B383" s="1255"/>
      <c r="C383" s="1255"/>
      <c r="D383" s="1255"/>
      <c r="E383" s="1255"/>
      <c r="F383" s="1255"/>
      <c r="G383" s="1255"/>
      <c r="H383" s="1255"/>
      <c r="I383" s="1255"/>
      <c r="J383" s="1255"/>
      <c r="K383" s="1255"/>
      <c r="L383" s="1255"/>
      <c r="M383" s="1255"/>
      <c r="N383" s="1255"/>
      <c r="O383" s="1255"/>
      <c r="P383" s="1255"/>
      <c r="Q383" s="1255"/>
      <c r="S383" s="63"/>
      <c r="T383" s="63"/>
    </row>
    <row r="384" spans="1:20" ht="12.75" customHeight="1">
      <c r="A384" s="1201" t="s">
        <v>1</v>
      </c>
      <c r="B384" s="1203" t="s">
        <v>0</v>
      </c>
      <c r="C384" s="1193" t="s">
        <v>2</v>
      </c>
      <c r="D384" s="1193" t="s">
        <v>3</v>
      </c>
      <c r="E384" s="1193" t="s">
        <v>13</v>
      </c>
      <c r="F384" s="1207" t="s">
        <v>14</v>
      </c>
      <c r="G384" s="1208"/>
      <c r="H384" s="1208"/>
      <c r="I384" s="1209"/>
      <c r="J384" s="1193" t="s">
        <v>4</v>
      </c>
      <c r="K384" s="1193" t="s">
        <v>15</v>
      </c>
      <c r="L384" s="1193" t="s">
        <v>5</v>
      </c>
      <c r="M384" s="1193" t="s">
        <v>6</v>
      </c>
      <c r="N384" s="1193" t="s">
        <v>16</v>
      </c>
      <c r="O384" s="1195" t="s">
        <v>17</v>
      </c>
      <c r="P384" s="1193" t="s">
        <v>25</v>
      </c>
      <c r="Q384" s="1197" t="s">
        <v>26</v>
      </c>
      <c r="S384" s="63"/>
      <c r="T384" s="63"/>
    </row>
    <row r="385" spans="1:20" s="2" customFormat="1" ht="33.75">
      <c r="A385" s="1202"/>
      <c r="B385" s="1204"/>
      <c r="C385" s="1205"/>
      <c r="D385" s="1194"/>
      <c r="E385" s="1194"/>
      <c r="F385" s="26" t="s">
        <v>18</v>
      </c>
      <c r="G385" s="26" t="s">
        <v>19</v>
      </c>
      <c r="H385" s="26" t="s">
        <v>20</v>
      </c>
      <c r="I385" s="26" t="s">
        <v>21</v>
      </c>
      <c r="J385" s="1194"/>
      <c r="K385" s="1194"/>
      <c r="L385" s="1194"/>
      <c r="M385" s="1194"/>
      <c r="N385" s="1194"/>
      <c r="O385" s="1196"/>
      <c r="P385" s="1194"/>
      <c r="Q385" s="1198"/>
      <c r="S385" s="63"/>
      <c r="T385" s="63"/>
    </row>
    <row r="386" spans="1:20" s="3" customFormat="1" ht="13.5" customHeight="1" thickBot="1">
      <c r="A386" s="1202"/>
      <c r="B386" s="1204"/>
      <c r="C386" s="1206"/>
      <c r="D386" s="42" t="s">
        <v>7</v>
      </c>
      <c r="E386" s="42" t="s">
        <v>8</v>
      </c>
      <c r="F386" s="42" t="s">
        <v>9</v>
      </c>
      <c r="G386" s="42" t="s">
        <v>9</v>
      </c>
      <c r="H386" s="42" t="s">
        <v>9</v>
      </c>
      <c r="I386" s="42" t="s">
        <v>9</v>
      </c>
      <c r="J386" s="42" t="s">
        <v>22</v>
      </c>
      <c r="K386" s="42" t="s">
        <v>9</v>
      </c>
      <c r="L386" s="42" t="s">
        <v>22</v>
      </c>
      <c r="M386" s="42" t="s">
        <v>23</v>
      </c>
      <c r="N386" s="42" t="s">
        <v>10</v>
      </c>
      <c r="O386" s="42" t="s">
        <v>24</v>
      </c>
      <c r="P386" s="43" t="s">
        <v>27</v>
      </c>
      <c r="Q386" s="44" t="s">
        <v>28</v>
      </c>
      <c r="S386" s="63"/>
      <c r="T386" s="63"/>
    </row>
    <row r="387" spans="1:20" ht="11.25" customHeight="1">
      <c r="A387" s="1242" t="s">
        <v>29</v>
      </c>
      <c r="B387" s="404">
        <v>1</v>
      </c>
      <c r="C387" s="362" t="s">
        <v>262</v>
      </c>
      <c r="D387" s="363">
        <v>52</v>
      </c>
      <c r="E387" s="363">
        <v>1973</v>
      </c>
      <c r="F387" s="365">
        <v>31.406975</v>
      </c>
      <c r="G387" s="365">
        <v>4.576383</v>
      </c>
      <c r="H387" s="365">
        <v>8.01</v>
      </c>
      <c r="I387" s="364">
        <v>18.820592</v>
      </c>
      <c r="J387" s="366">
        <v>2745.79</v>
      </c>
      <c r="K387" s="365">
        <v>15.296618</v>
      </c>
      <c r="L387" s="366">
        <v>2628.69</v>
      </c>
      <c r="M387" s="367">
        <f aca="true" t="shared" si="64" ref="M387:M401">K387/L387</f>
        <v>0.00581910305132975</v>
      </c>
      <c r="N387" s="368">
        <v>254.2</v>
      </c>
      <c r="O387" s="369">
        <f aca="true" t="shared" si="65" ref="O387:O401">M387*N387</f>
        <v>1.4792159956480224</v>
      </c>
      <c r="P387" s="369">
        <f aca="true" t="shared" si="66" ref="P387:P401">M387*60*1000</f>
        <v>349.14618307978503</v>
      </c>
      <c r="Q387" s="370">
        <f aca="true" t="shared" si="67" ref="Q387:Q401">P387*N387/1000</f>
        <v>88.75295973888136</v>
      </c>
      <c r="S387" s="63"/>
      <c r="T387" s="63"/>
    </row>
    <row r="388" spans="1:20" ht="12.75" customHeight="1">
      <c r="A388" s="1243"/>
      <c r="B388" s="377">
        <v>2</v>
      </c>
      <c r="C388" s="362" t="s">
        <v>190</v>
      </c>
      <c r="D388" s="363">
        <v>30</v>
      </c>
      <c r="E388" s="363">
        <v>1987</v>
      </c>
      <c r="F388" s="364">
        <v>17.906978</v>
      </c>
      <c r="G388" s="364">
        <v>3.009</v>
      </c>
      <c r="H388" s="364">
        <v>4.8</v>
      </c>
      <c r="I388" s="364">
        <v>10.097978</v>
      </c>
      <c r="J388" s="372">
        <v>1509.61</v>
      </c>
      <c r="K388" s="364">
        <v>9.697713</v>
      </c>
      <c r="L388" s="372">
        <v>1453.73</v>
      </c>
      <c r="M388" s="367">
        <f t="shared" si="64"/>
        <v>0.0066709175706630534</v>
      </c>
      <c r="N388" s="368">
        <v>254.2</v>
      </c>
      <c r="O388" s="369">
        <f t="shared" si="65"/>
        <v>1.695747246462548</v>
      </c>
      <c r="P388" s="369">
        <f t="shared" si="66"/>
        <v>400.2550542397832</v>
      </c>
      <c r="Q388" s="370">
        <f t="shared" si="67"/>
        <v>101.7448347877529</v>
      </c>
      <c r="S388" s="63"/>
      <c r="T388" s="63"/>
    </row>
    <row r="389" spans="1:20" ht="12.75" customHeight="1">
      <c r="A389" s="1243"/>
      <c r="B389" s="377">
        <v>3</v>
      </c>
      <c r="C389" s="362" t="s">
        <v>721</v>
      </c>
      <c r="D389" s="363">
        <v>34</v>
      </c>
      <c r="E389" s="363">
        <v>1973</v>
      </c>
      <c r="F389" s="364">
        <v>19.595984</v>
      </c>
      <c r="G389" s="364">
        <v>2.452437</v>
      </c>
      <c r="H389" s="364">
        <v>5.14</v>
      </c>
      <c r="I389" s="364">
        <v>12.003547</v>
      </c>
      <c r="J389" s="372">
        <v>1759.84</v>
      </c>
      <c r="K389" s="364">
        <v>12.003564</v>
      </c>
      <c r="L389" s="372">
        <v>1759.84</v>
      </c>
      <c r="M389" s="374">
        <f t="shared" si="64"/>
        <v>0.006820826893353942</v>
      </c>
      <c r="N389" s="368">
        <v>254.2</v>
      </c>
      <c r="O389" s="369">
        <f t="shared" si="65"/>
        <v>1.733854196290572</v>
      </c>
      <c r="P389" s="369">
        <f t="shared" si="66"/>
        <v>409.2496136012365</v>
      </c>
      <c r="Q389" s="375">
        <f t="shared" si="67"/>
        <v>104.03125177743432</v>
      </c>
      <c r="S389" s="63"/>
      <c r="T389" s="63"/>
    </row>
    <row r="390" spans="1:20" ht="12.75" customHeight="1">
      <c r="A390" s="1243"/>
      <c r="B390" s="377">
        <v>4</v>
      </c>
      <c r="C390" s="362" t="s">
        <v>722</v>
      </c>
      <c r="D390" s="363">
        <v>56</v>
      </c>
      <c r="E390" s="363">
        <v>1974</v>
      </c>
      <c r="F390" s="364">
        <v>39.076998</v>
      </c>
      <c r="G390" s="364">
        <v>5.3397</v>
      </c>
      <c r="H390" s="364">
        <v>8.8</v>
      </c>
      <c r="I390" s="364">
        <v>24.937298</v>
      </c>
      <c r="J390" s="372">
        <v>3394.62</v>
      </c>
      <c r="K390" s="364">
        <v>19.094509</v>
      </c>
      <c r="L390" s="372">
        <v>2739.68</v>
      </c>
      <c r="M390" s="374">
        <f t="shared" si="64"/>
        <v>0.006969612874496291</v>
      </c>
      <c r="N390" s="368">
        <v>254.2</v>
      </c>
      <c r="O390" s="376">
        <f t="shared" si="65"/>
        <v>1.7716755926969572</v>
      </c>
      <c r="P390" s="369">
        <f t="shared" si="66"/>
        <v>418.17677246977746</v>
      </c>
      <c r="Q390" s="375">
        <f t="shared" si="67"/>
        <v>106.30053556181743</v>
      </c>
      <c r="S390" s="63"/>
      <c r="T390" s="63"/>
    </row>
    <row r="391" spans="1:20" ht="12.75" customHeight="1">
      <c r="A391" s="1243"/>
      <c r="B391" s="377">
        <v>5</v>
      </c>
      <c r="C391" s="362" t="s">
        <v>265</v>
      </c>
      <c r="D391" s="363">
        <v>16</v>
      </c>
      <c r="E391" s="363">
        <v>1984</v>
      </c>
      <c r="F391" s="364">
        <v>8.479256</v>
      </c>
      <c r="G391" s="364">
        <v>0.714</v>
      </c>
      <c r="H391" s="364">
        <v>1.76</v>
      </c>
      <c r="I391" s="364">
        <v>6.005256</v>
      </c>
      <c r="J391" s="372">
        <v>766.75</v>
      </c>
      <c r="K391" s="364">
        <v>4.660532</v>
      </c>
      <c r="L391" s="372">
        <v>609.7</v>
      </c>
      <c r="M391" s="374">
        <f t="shared" si="64"/>
        <v>0.0076439757257667695</v>
      </c>
      <c r="N391" s="368">
        <v>254.2</v>
      </c>
      <c r="O391" s="376">
        <f t="shared" si="65"/>
        <v>1.9430986294899126</v>
      </c>
      <c r="P391" s="369">
        <f t="shared" si="66"/>
        <v>458.6385435460062</v>
      </c>
      <c r="Q391" s="375">
        <f t="shared" si="67"/>
        <v>116.58591776939477</v>
      </c>
      <c r="S391" s="63"/>
      <c r="T391" s="63"/>
    </row>
    <row r="392" spans="1:20" ht="12.75" customHeight="1">
      <c r="A392" s="1243"/>
      <c r="B392" s="377">
        <v>6</v>
      </c>
      <c r="C392" s="362" t="s">
        <v>723</v>
      </c>
      <c r="D392" s="363">
        <v>12</v>
      </c>
      <c r="E392" s="363">
        <v>1960</v>
      </c>
      <c r="F392" s="364">
        <v>6.593994</v>
      </c>
      <c r="G392" s="364">
        <v>0.6375</v>
      </c>
      <c r="H392" s="364">
        <v>1.84</v>
      </c>
      <c r="I392" s="364">
        <v>4.116494</v>
      </c>
      <c r="J392" s="372">
        <v>536.88</v>
      </c>
      <c r="K392" s="364">
        <v>3.093234</v>
      </c>
      <c r="L392" s="372">
        <v>400.83</v>
      </c>
      <c r="M392" s="374">
        <f t="shared" si="64"/>
        <v>0.007717072075443455</v>
      </c>
      <c r="N392" s="368">
        <v>254.2</v>
      </c>
      <c r="O392" s="376">
        <f t="shared" si="65"/>
        <v>1.961679721577726</v>
      </c>
      <c r="P392" s="369">
        <f t="shared" si="66"/>
        <v>463.0243245266073</v>
      </c>
      <c r="Q392" s="375">
        <f t="shared" si="67"/>
        <v>117.70078329466358</v>
      </c>
      <c r="S392" s="63"/>
      <c r="T392" s="63"/>
    </row>
    <row r="393" spans="1:20" ht="12.75" customHeight="1">
      <c r="A393" s="1243"/>
      <c r="B393" s="377">
        <v>7</v>
      </c>
      <c r="C393" s="362" t="s">
        <v>267</v>
      </c>
      <c r="D393" s="363">
        <v>16</v>
      </c>
      <c r="E393" s="363">
        <v>1961</v>
      </c>
      <c r="F393" s="364">
        <v>9.447937</v>
      </c>
      <c r="G393" s="364">
        <v>1.275</v>
      </c>
      <c r="H393" s="364">
        <v>2.56</v>
      </c>
      <c r="I393" s="364">
        <v>5.612937</v>
      </c>
      <c r="J393" s="372">
        <v>714.88</v>
      </c>
      <c r="K393" s="364">
        <v>4.796468</v>
      </c>
      <c r="L393" s="372">
        <v>567.24</v>
      </c>
      <c r="M393" s="374">
        <f t="shared" si="64"/>
        <v>0.008455800014103378</v>
      </c>
      <c r="N393" s="368">
        <v>254.2</v>
      </c>
      <c r="O393" s="376">
        <f t="shared" si="65"/>
        <v>2.1494643635850785</v>
      </c>
      <c r="P393" s="369">
        <f t="shared" si="66"/>
        <v>507.3480008462027</v>
      </c>
      <c r="Q393" s="375">
        <f t="shared" si="67"/>
        <v>128.96786181510473</v>
      </c>
      <c r="S393" s="63"/>
      <c r="T393" s="63"/>
    </row>
    <row r="394" spans="1:20" ht="12.75" customHeight="1">
      <c r="A394" s="1243"/>
      <c r="B394" s="377">
        <v>8</v>
      </c>
      <c r="C394" s="362" t="s">
        <v>266</v>
      </c>
      <c r="D394" s="363">
        <v>16</v>
      </c>
      <c r="E394" s="363">
        <v>1962</v>
      </c>
      <c r="F394" s="364">
        <v>9.04284</v>
      </c>
      <c r="G394" s="364">
        <v>0.867</v>
      </c>
      <c r="H394" s="364">
        <v>2.56</v>
      </c>
      <c r="I394" s="364">
        <v>5.61584</v>
      </c>
      <c r="J394" s="372">
        <v>719.91</v>
      </c>
      <c r="K394" s="364">
        <v>5.275002</v>
      </c>
      <c r="L394" s="372">
        <v>583.82</v>
      </c>
      <c r="M394" s="374">
        <f t="shared" si="64"/>
        <v>0.009035322530917062</v>
      </c>
      <c r="N394" s="368">
        <v>254.2</v>
      </c>
      <c r="O394" s="376">
        <f t="shared" si="65"/>
        <v>2.296778987359117</v>
      </c>
      <c r="P394" s="369">
        <f t="shared" si="66"/>
        <v>542.1193518550236</v>
      </c>
      <c r="Q394" s="375">
        <f t="shared" si="67"/>
        <v>137.806739241547</v>
      </c>
      <c r="S394" s="63"/>
      <c r="T394" s="63"/>
    </row>
    <row r="395" spans="1:20" ht="12.75" customHeight="1" thickBot="1">
      <c r="A395" s="1244"/>
      <c r="B395" s="386"/>
      <c r="C395" s="362" t="s">
        <v>268</v>
      </c>
      <c r="D395" s="363">
        <v>12</v>
      </c>
      <c r="E395" s="363">
        <v>1963</v>
      </c>
      <c r="F395" s="364">
        <v>8.004994</v>
      </c>
      <c r="G395" s="364">
        <v>0.918</v>
      </c>
      <c r="H395" s="364">
        <v>1.92</v>
      </c>
      <c r="I395" s="364">
        <v>5.166994</v>
      </c>
      <c r="J395" s="372">
        <v>528.5</v>
      </c>
      <c r="K395" s="364">
        <v>5.167001</v>
      </c>
      <c r="L395" s="400">
        <v>528.5</v>
      </c>
      <c r="M395" s="401">
        <f t="shared" si="64"/>
        <v>0.009776728476821192</v>
      </c>
      <c r="N395" s="409">
        <v>254.2</v>
      </c>
      <c r="O395" s="402">
        <f t="shared" si="65"/>
        <v>2.485244378807947</v>
      </c>
      <c r="P395" s="402">
        <f t="shared" si="66"/>
        <v>586.6037086092715</v>
      </c>
      <c r="Q395" s="403">
        <f t="shared" si="67"/>
        <v>149.11466272847682</v>
      </c>
      <c r="S395" s="63"/>
      <c r="T395" s="63"/>
    </row>
    <row r="396" spans="1:20" ht="12.75">
      <c r="A396" s="1187" t="s">
        <v>30</v>
      </c>
      <c r="B396" s="22">
        <v>1</v>
      </c>
      <c r="C396" s="521" t="s">
        <v>724</v>
      </c>
      <c r="D396" s="492">
        <v>24</v>
      </c>
      <c r="E396" s="492">
        <v>1969</v>
      </c>
      <c r="F396" s="703">
        <v>23.220001</v>
      </c>
      <c r="G396" s="703">
        <v>1.755063</v>
      </c>
      <c r="H396" s="703">
        <v>3.68</v>
      </c>
      <c r="I396" s="703">
        <v>17.784938</v>
      </c>
      <c r="J396" s="709">
        <v>1137.96</v>
      </c>
      <c r="K396" s="703">
        <v>17.784938</v>
      </c>
      <c r="L396" s="715">
        <v>964.42</v>
      </c>
      <c r="M396" s="684">
        <f t="shared" si="64"/>
        <v>0.01844107131747579</v>
      </c>
      <c r="N396" s="717">
        <v>254.2</v>
      </c>
      <c r="O396" s="685">
        <f t="shared" si="65"/>
        <v>4.687720328902345</v>
      </c>
      <c r="P396" s="685">
        <f t="shared" si="66"/>
        <v>1106.4642790485473</v>
      </c>
      <c r="Q396" s="686">
        <f t="shared" si="67"/>
        <v>281.2632197341407</v>
      </c>
      <c r="S396" s="63"/>
      <c r="T396" s="63"/>
    </row>
    <row r="397" spans="1:20" ht="12.75">
      <c r="A397" s="1188"/>
      <c r="B397" s="24">
        <v>2</v>
      </c>
      <c r="C397" s="522" t="s">
        <v>725</v>
      </c>
      <c r="D397" s="493">
        <v>23</v>
      </c>
      <c r="E397" s="493">
        <v>1970</v>
      </c>
      <c r="F397" s="704">
        <v>26.234002</v>
      </c>
      <c r="G397" s="704">
        <v>1.173</v>
      </c>
      <c r="H397" s="704">
        <v>3.52</v>
      </c>
      <c r="I397" s="704">
        <v>21.541002</v>
      </c>
      <c r="J397" s="710">
        <v>1095.22</v>
      </c>
      <c r="K397" s="704">
        <v>17.688002</v>
      </c>
      <c r="L397" s="710">
        <v>947.22</v>
      </c>
      <c r="M397" s="650">
        <f t="shared" si="64"/>
        <v>0.018673594307552627</v>
      </c>
      <c r="N397" s="717">
        <v>254.2</v>
      </c>
      <c r="O397" s="508">
        <f t="shared" si="65"/>
        <v>4.746827672979878</v>
      </c>
      <c r="P397" s="685">
        <f t="shared" si="66"/>
        <v>1120.4156584531577</v>
      </c>
      <c r="Q397" s="509">
        <f t="shared" si="67"/>
        <v>284.80966037879267</v>
      </c>
      <c r="S397" s="63"/>
      <c r="T397" s="63"/>
    </row>
    <row r="398" spans="1:20" ht="12.75">
      <c r="A398" s="1188"/>
      <c r="B398" s="24">
        <v>3</v>
      </c>
      <c r="C398" s="522" t="s">
        <v>726</v>
      </c>
      <c r="D398" s="493">
        <v>33</v>
      </c>
      <c r="E398" s="493">
        <v>1978</v>
      </c>
      <c r="F398" s="704">
        <v>45.720001</v>
      </c>
      <c r="G398" s="704">
        <v>2.907</v>
      </c>
      <c r="H398" s="704">
        <v>5.04</v>
      </c>
      <c r="I398" s="704">
        <v>37.773001</v>
      </c>
      <c r="J398" s="710">
        <v>1987.02</v>
      </c>
      <c r="K398" s="704">
        <v>37.773001</v>
      </c>
      <c r="L398" s="710">
        <v>1987.02</v>
      </c>
      <c r="M398" s="650">
        <f t="shared" si="64"/>
        <v>0.01900987458606355</v>
      </c>
      <c r="N398" s="717">
        <v>254.2</v>
      </c>
      <c r="O398" s="508">
        <f t="shared" si="65"/>
        <v>4.832310119777355</v>
      </c>
      <c r="P398" s="685">
        <f t="shared" si="66"/>
        <v>1140.592475163813</v>
      </c>
      <c r="Q398" s="509">
        <f t="shared" si="67"/>
        <v>289.93860718664126</v>
      </c>
      <c r="S398" s="63"/>
      <c r="T398" s="63"/>
    </row>
    <row r="399" spans="1:20" ht="12.75">
      <c r="A399" s="1188"/>
      <c r="B399" s="24">
        <v>4</v>
      </c>
      <c r="C399" s="522" t="s">
        <v>234</v>
      </c>
      <c r="D399" s="493">
        <v>36</v>
      </c>
      <c r="E399" s="493">
        <v>1972</v>
      </c>
      <c r="F399" s="704">
        <v>36.953999</v>
      </c>
      <c r="G399" s="704">
        <v>2.193</v>
      </c>
      <c r="H399" s="704">
        <v>5.76</v>
      </c>
      <c r="I399" s="704">
        <v>29.000999</v>
      </c>
      <c r="J399" s="710">
        <v>1516.82</v>
      </c>
      <c r="K399" s="704">
        <v>27.943685</v>
      </c>
      <c r="L399" s="710">
        <v>1461.52</v>
      </c>
      <c r="M399" s="650">
        <f t="shared" si="64"/>
        <v>0.01911960493185177</v>
      </c>
      <c r="N399" s="717">
        <v>254.2</v>
      </c>
      <c r="O399" s="508">
        <f t="shared" si="65"/>
        <v>4.86020357367672</v>
      </c>
      <c r="P399" s="685">
        <f t="shared" si="66"/>
        <v>1147.1762959111063</v>
      </c>
      <c r="Q399" s="509">
        <f t="shared" si="67"/>
        <v>291.61221442060327</v>
      </c>
      <c r="S399" s="63"/>
      <c r="T399" s="63"/>
    </row>
    <row r="400" spans="1:20" ht="12.75">
      <c r="A400" s="1188"/>
      <c r="B400" s="24">
        <v>5</v>
      </c>
      <c r="C400" s="522" t="s">
        <v>234</v>
      </c>
      <c r="D400" s="493">
        <v>36</v>
      </c>
      <c r="E400" s="493">
        <v>1972</v>
      </c>
      <c r="F400" s="704">
        <v>36.953999</v>
      </c>
      <c r="G400" s="704">
        <v>2.193</v>
      </c>
      <c r="H400" s="704">
        <v>5.76</v>
      </c>
      <c r="I400" s="704">
        <v>29.000999</v>
      </c>
      <c r="J400" s="710">
        <v>1516.82</v>
      </c>
      <c r="K400" s="704">
        <v>27.943685</v>
      </c>
      <c r="L400" s="710">
        <v>1461.52</v>
      </c>
      <c r="M400" s="650">
        <f t="shared" si="64"/>
        <v>0.01911960493185177</v>
      </c>
      <c r="N400" s="717">
        <v>254.2</v>
      </c>
      <c r="O400" s="508">
        <f t="shared" si="65"/>
        <v>4.86020357367672</v>
      </c>
      <c r="P400" s="685">
        <f t="shared" si="66"/>
        <v>1147.1762959111063</v>
      </c>
      <c r="Q400" s="509">
        <f t="shared" si="67"/>
        <v>291.61221442060327</v>
      </c>
      <c r="S400" s="63"/>
      <c r="T400" s="63"/>
    </row>
    <row r="401" spans="1:20" ht="12.75">
      <c r="A401" s="1188"/>
      <c r="B401" s="24">
        <v>6</v>
      </c>
      <c r="C401" s="522" t="s">
        <v>727</v>
      </c>
      <c r="D401" s="493">
        <v>24</v>
      </c>
      <c r="E401" s="493">
        <v>1965</v>
      </c>
      <c r="F401" s="704">
        <v>27.993002</v>
      </c>
      <c r="G401" s="704">
        <v>2.04</v>
      </c>
      <c r="H401" s="704">
        <v>3.84</v>
      </c>
      <c r="I401" s="704">
        <v>22.113002</v>
      </c>
      <c r="J401" s="710">
        <v>1116.83</v>
      </c>
      <c r="K401" s="704">
        <v>19.444188</v>
      </c>
      <c r="L401" s="710">
        <v>982.04</v>
      </c>
      <c r="M401" s="650">
        <f t="shared" si="64"/>
        <v>0.019799792269154008</v>
      </c>
      <c r="N401" s="717">
        <v>254.2</v>
      </c>
      <c r="O401" s="508">
        <f t="shared" si="65"/>
        <v>5.033107194818949</v>
      </c>
      <c r="P401" s="685">
        <f t="shared" si="66"/>
        <v>1187.9875361492404</v>
      </c>
      <c r="Q401" s="509">
        <f t="shared" si="67"/>
        <v>301.9864316891369</v>
      </c>
      <c r="S401" s="63"/>
      <c r="T401" s="63"/>
    </row>
    <row r="402" spans="1:20" ht="12.75">
      <c r="A402" s="1188"/>
      <c r="B402" s="24">
        <v>7</v>
      </c>
      <c r="C402" s="522"/>
      <c r="D402" s="493"/>
      <c r="E402" s="493"/>
      <c r="F402" s="704"/>
      <c r="G402" s="704"/>
      <c r="H402" s="704"/>
      <c r="I402" s="704"/>
      <c r="J402" s="710"/>
      <c r="K402" s="704"/>
      <c r="L402" s="710"/>
      <c r="M402" s="650"/>
      <c r="N402" s="717"/>
      <c r="O402" s="508"/>
      <c r="P402" s="685"/>
      <c r="Q402" s="509"/>
      <c r="S402" s="63"/>
      <c r="T402" s="63"/>
    </row>
    <row r="403" spans="1:20" ht="13.5" thickBot="1">
      <c r="A403" s="1189"/>
      <c r="B403" s="25">
        <v>8</v>
      </c>
      <c r="C403" s="531"/>
      <c r="D403" s="489"/>
      <c r="E403" s="489"/>
      <c r="F403" s="532"/>
      <c r="G403" s="532"/>
      <c r="H403" s="532"/>
      <c r="I403" s="532"/>
      <c r="J403" s="533"/>
      <c r="K403" s="532"/>
      <c r="L403" s="533"/>
      <c r="M403" s="534"/>
      <c r="N403" s="535"/>
      <c r="O403" s="536"/>
      <c r="P403" s="535"/>
      <c r="Q403" s="537"/>
      <c r="S403" s="63"/>
      <c r="T403" s="63"/>
    </row>
    <row r="404" spans="1:20" ht="12.75" customHeight="1">
      <c r="A404" s="1257" t="s">
        <v>12</v>
      </c>
      <c r="B404" s="27">
        <v>1</v>
      </c>
      <c r="C404" s="132" t="s">
        <v>192</v>
      </c>
      <c r="D404" s="516">
        <v>47</v>
      </c>
      <c r="E404" s="516">
        <v>1980</v>
      </c>
      <c r="F404" s="706">
        <v>31.171996</v>
      </c>
      <c r="G404" s="706">
        <v>0</v>
      </c>
      <c r="H404" s="706">
        <v>0</v>
      </c>
      <c r="I404" s="706">
        <v>31.171996</v>
      </c>
      <c r="J404" s="712">
        <v>1572.62</v>
      </c>
      <c r="K404" s="706">
        <v>31.171996</v>
      </c>
      <c r="L404" s="299">
        <v>1572.62</v>
      </c>
      <c r="M404" s="136">
        <f aca="true" t="shared" si="68" ref="M404:M410">K404/L404</f>
        <v>0.01982169627754957</v>
      </c>
      <c r="N404" s="134">
        <v>254.2</v>
      </c>
      <c r="O404" s="137">
        <f aca="true" t="shared" si="69" ref="O404:O410">M404*N404</f>
        <v>5.0386751937531</v>
      </c>
      <c r="P404" s="137">
        <f aca="true" t="shared" si="70" ref="P404:P410">M404*60*1000</f>
        <v>1189.301776652974</v>
      </c>
      <c r="Q404" s="138">
        <f aca="true" t="shared" si="71" ref="Q404:Q410">P404*N404/1000</f>
        <v>302.320511625186</v>
      </c>
      <c r="S404" s="63"/>
      <c r="T404" s="63"/>
    </row>
    <row r="405" spans="1:20" ht="12.75">
      <c r="A405" s="1258"/>
      <c r="B405" s="29">
        <v>2</v>
      </c>
      <c r="C405" s="517" t="s">
        <v>728</v>
      </c>
      <c r="D405" s="518">
        <v>9</v>
      </c>
      <c r="E405" s="518">
        <v>1968</v>
      </c>
      <c r="F405" s="707">
        <v>10.129999</v>
      </c>
      <c r="G405" s="707">
        <v>0.51</v>
      </c>
      <c r="H405" s="707">
        <v>1.44</v>
      </c>
      <c r="I405" s="707">
        <v>8.179999</v>
      </c>
      <c r="J405" s="713">
        <v>412.22</v>
      </c>
      <c r="K405" s="707">
        <v>8.179999</v>
      </c>
      <c r="L405" s="713">
        <v>412.22</v>
      </c>
      <c r="M405" s="695">
        <f t="shared" si="68"/>
        <v>0.019843770316821115</v>
      </c>
      <c r="N405" s="134">
        <v>254.2</v>
      </c>
      <c r="O405" s="696">
        <f t="shared" si="69"/>
        <v>5.044286414535927</v>
      </c>
      <c r="P405" s="137">
        <f t="shared" si="70"/>
        <v>1190.6262190092668</v>
      </c>
      <c r="Q405" s="697">
        <f t="shared" si="71"/>
        <v>302.6571848721556</v>
      </c>
      <c r="S405" s="63"/>
      <c r="T405" s="63"/>
    </row>
    <row r="406" spans="1:20" ht="12.75">
      <c r="A406" s="1258"/>
      <c r="B406" s="29">
        <v>3</v>
      </c>
      <c r="C406" s="517" t="s">
        <v>263</v>
      </c>
      <c r="D406" s="518">
        <v>36</v>
      </c>
      <c r="E406" s="518">
        <v>1976</v>
      </c>
      <c r="F406" s="707">
        <v>30.742999</v>
      </c>
      <c r="G406" s="707">
        <v>0</v>
      </c>
      <c r="H406" s="707">
        <v>0</v>
      </c>
      <c r="I406" s="707">
        <v>30.742999</v>
      </c>
      <c r="J406" s="713">
        <v>1504.34</v>
      </c>
      <c r="K406" s="707">
        <v>30.742999</v>
      </c>
      <c r="L406" s="713">
        <v>1504.34</v>
      </c>
      <c r="M406" s="695">
        <f t="shared" si="68"/>
        <v>0.020436203916667776</v>
      </c>
      <c r="N406" s="134">
        <v>254.2</v>
      </c>
      <c r="O406" s="696">
        <f t="shared" si="69"/>
        <v>5.194883035616948</v>
      </c>
      <c r="P406" s="137">
        <f t="shared" si="70"/>
        <v>1226.1722350000666</v>
      </c>
      <c r="Q406" s="697">
        <f t="shared" si="71"/>
        <v>311.6929821370169</v>
      </c>
      <c r="S406" s="63"/>
      <c r="T406" s="63"/>
    </row>
    <row r="407" spans="1:20" ht="12.75">
      <c r="A407" s="1258"/>
      <c r="B407" s="29">
        <v>4</v>
      </c>
      <c r="C407" s="517" t="s">
        <v>191</v>
      </c>
      <c r="D407" s="518">
        <v>27</v>
      </c>
      <c r="E407" s="518">
        <v>1964</v>
      </c>
      <c r="F407" s="707">
        <v>27.702</v>
      </c>
      <c r="G407" s="707">
        <v>0.9945</v>
      </c>
      <c r="H407" s="707">
        <v>3.84</v>
      </c>
      <c r="I407" s="707">
        <v>22.8675</v>
      </c>
      <c r="J407" s="713">
        <v>1114.14</v>
      </c>
      <c r="K407" s="707">
        <v>19.584764</v>
      </c>
      <c r="L407" s="713">
        <v>954.2</v>
      </c>
      <c r="M407" s="695">
        <f t="shared" si="68"/>
        <v>0.020524799832320268</v>
      </c>
      <c r="N407" s="134">
        <v>254.2</v>
      </c>
      <c r="O407" s="696">
        <f t="shared" si="69"/>
        <v>5.217404117375812</v>
      </c>
      <c r="P407" s="137">
        <f t="shared" si="70"/>
        <v>1231.487989939216</v>
      </c>
      <c r="Q407" s="697">
        <f t="shared" si="71"/>
        <v>313.0442470425487</v>
      </c>
      <c r="S407" s="63"/>
      <c r="T407" s="63"/>
    </row>
    <row r="408" spans="1:20" ht="12.75">
      <c r="A408" s="1258"/>
      <c r="B408" s="29">
        <v>5</v>
      </c>
      <c r="C408" s="517" t="s">
        <v>193</v>
      </c>
      <c r="D408" s="518">
        <v>16</v>
      </c>
      <c r="E408" s="518">
        <v>1958</v>
      </c>
      <c r="F408" s="707">
        <v>16.474001</v>
      </c>
      <c r="G408" s="707">
        <v>0.459</v>
      </c>
      <c r="H408" s="707">
        <v>1.45</v>
      </c>
      <c r="I408" s="707">
        <v>14.565001</v>
      </c>
      <c r="J408" s="713">
        <v>693.99</v>
      </c>
      <c r="K408" s="707">
        <v>5.502459</v>
      </c>
      <c r="L408" s="713">
        <v>262.18</v>
      </c>
      <c r="M408" s="695">
        <f t="shared" si="68"/>
        <v>0.02098733312991075</v>
      </c>
      <c r="N408" s="134">
        <v>254.2</v>
      </c>
      <c r="O408" s="696">
        <f t="shared" si="69"/>
        <v>5.334980081623312</v>
      </c>
      <c r="P408" s="137">
        <f t="shared" si="70"/>
        <v>1259.239987794645</v>
      </c>
      <c r="Q408" s="697">
        <f t="shared" si="71"/>
        <v>320.09880489739874</v>
      </c>
      <c r="S408" s="63"/>
      <c r="T408" s="63"/>
    </row>
    <row r="409" spans="1:20" ht="12.75">
      <c r="A409" s="1258"/>
      <c r="B409" s="29">
        <v>6</v>
      </c>
      <c r="C409" s="517" t="s">
        <v>194</v>
      </c>
      <c r="D409" s="518">
        <v>48</v>
      </c>
      <c r="E409" s="518">
        <v>1981</v>
      </c>
      <c r="F409" s="707">
        <v>39.608998</v>
      </c>
      <c r="G409" s="707">
        <v>1.266075</v>
      </c>
      <c r="H409" s="707">
        <v>0.42</v>
      </c>
      <c r="I409" s="707">
        <v>37.922923</v>
      </c>
      <c r="J409" s="713">
        <v>1526.37</v>
      </c>
      <c r="K409" s="707">
        <v>37.068001</v>
      </c>
      <c r="L409" s="713">
        <v>1491.96</v>
      </c>
      <c r="M409" s="695">
        <f t="shared" si="68"/>
        <v>0.0248451707820585</v>
      </c>
      <c r="N409" s="134">
        <v>254.2</v>
      </c>
      <c r="O409" s="696">
        <f t="shared" si="69"/>
        <v>6.315642412799271</v>
      </c>
      <c r="P409" s="137">
        <f t="shared" si="70"/>
        <v>1490.71024692351</v>
      </c>
      <c r="Q409" s="697">
        <f t="shared" si="71"/>
        <v>378.9385447679563</v>
      </c>
      <c r="S409" s="63"/>
      <c r="T409" s="63"/>
    </row>
    <row r="410" spans="1:20" ht="12.75">
      <c r="A410" s="1258"/>
      <c r="B410" s="29">
        <v>7</v>
      </c>
      <c r="C410" s="517" t="s">
        <v>264</v>
      </c>
      <c r="D410" s="518">
        <v>18</v>
      </c>
      <c r="E410" s="518">
        <v>1967</v>
      </c>
      <c r="F410" s="707">
        <v>17.711001</v>
      </c>
      <c r="G410" s="707">
        <v>1.02</v>
      </c>
      <c r="H410" s="707">
        <v>0</v>
      </c>
      <c r="I410" s="707">
        <v>16.691001</v>
      </c>
      <c r="J410" s="713">
        <v>597.08</v>
      </c>
      <c r="K410" s="707">
        <v>16.691001</v>
      </c>
      <c r="L410" s="713">
        <v>597.08</v>
      </c>
      <c r="M410" s="695">
        <f t="shared" si="68"/>
        <v>0.027954379647618408</v>
      </c>
      <c r="N410" s="134">
        <v>254.2</v>
      </c>
      <c r="O410" s="696">
        <f t="shared" si="69"/>
        <v>7.106003306424599</v>
      </c>
      <c r="P410" s="137">
        <f t="shared" si="70"/>
        <v>1677.2627788571044</v>
      </c>
      <c r="Q410" s="697">
        <f t="shared" si="71"/>
        <v>426.3601983854759</v>
      </c>
      <c r="S410" s="63"/>
      <c r="T410" s="63"/>
    </row>
    <row r="411" spans="1:20" ht="12.75">
      <c r="A411" s="1258"/>
      <c r="B411" s="64">
        <v>8</v>
      </c>
      <c r="C411" s="36"/>
      <c r="D411" s="29"/>
      <c r="E411" s="29"/>
      <c r="F411" s="162"/>
      <c r="G411" s="162"/>
      <c r="H411" s="162"/>
      <c r="I411" s="162"/>
      <c r="J411" s="286"/>
      <c r="K411" s="162"/>
      <c r="L411" s="286"/>
      <c r="M411" s="232"/>
      <c r="N411" s="29"/>
      <c r="O411" s="144"/>
      <c r="P411" s="144"/>
      <c r="Q411" s="215"/>
      <c r="S411" s="63"/>
      <c r="T411" s="63"/>
    </row>
    <row r="412" spans="1:20" ht="13.5" thickBot="1">
      <c r="A412" s="1340"/>
      <c r="B412" s="33">
        <v>9</v>
      </c>
      <c r="C412" s="37"/>
      <c r="D412" s="33"/>
      <c r="E412" s="33"/>
      <c r="F412" s="289"/>
      <c r="G412" s="289"/>
      <c r="H412" s="289"/>
      <c r="I412" s="289"/>
      <c r="J412" s="292"/>
      <c r="K412" s="289"/>
      <c r="L412" s="292"/>
      <c r="M412" s="245"/>
      <c r="N412" s="33"/>
      <c r="O412" s="246"/>
      <c r="P412" s="290"/>
      <c r="Q412" s="218"/>
      <c r="S412" s="63"/>
      <c r="T412" s="63"/>
    </row>
    <row r="413" spans="19:20" ht="12.75">
      <c r="S413" s="63"/>
      <c r="T413" s="63"/>
    </row>
    <row r="414" spans="19:20" ht="12.75">
      <c r="S414" s="63"/>
      <c r="T414" s="63"/>
    </row>
    <row r="415" spans="19:20" ht="12.75">
      <c r="S415" s="63"/>
      <c r="T415" s="63"/>
    </row>
    <row r="416" spans="19:20" ht="12.75">
      <c r="S416" s="63"/>
      <c r="T416" s="63"/>
    </row>
    <row r="417" spans="19:20" ht="12.75">
      <c r="S417" s="63"/>
      <c r="T417" s="63"/>
    </row>
    <row r="418" spans="19:20" ht="12.75">
      <c r="S418" s="63"/>
      <c r="T418" s="63"/>
    </row>
    <row r="419" spans="1:20" ht="15">
      <c r="A419" s="1199" t="s">
        <v>58</v>
      </c>
      <c r="B419" s="1199"/>
      <c r="C419" s="1199"/>
      <c r="D419" s="1199"/>
      <c r="E419" s="1199"/>
      <c r="F419" s="1199"/>
      <c r="G419" s="1199"/>
      <c r="H419" s="1199"/>
      <c r="I419" s="1199"/>
      <c r="J419" s="1199"/>
      <c r="K419" s="1199"/>
      <c r="L419" s="1199"/>
      <c r="M419" s="1199"/>
      <c r="N419" s="1199"/>
      <c r="O419" s="1199"/>
      <c r="P419" s="1199"/>
      <c r="Q419" s="1199"/>
      <c r="S419" s="63"/>
      <c r="T419" s="63"/>
    </row>
    <row r="420" spans="1:20" ht="13.5" thickBot="1">
      <c r="A420" s="1200" t="s">
        <v>729</v>
      </c>
      <c r="B420" s="1255"/>
      <c r="C420" s="1255"/>
      <c r="D420" s="1255"/>
      <c r="E420" s="1255"/>
      <c r="F420" s="1255"/>
      <c r="G420" s="1255"/>
      <c r="H420" s="1255"/>
      <c r="I420" s="1255"/>
      <c r="J420" s="1255"/>
      <c r="K420" s="1255"/>
      <c r="L420" s="1255"/>
      <c r="M420" s="1255"/>
      <c r="N420" s="1255"/>
      <c r="O420" s="1255"/>
      <c r="P420" s="1255"/>
      <c r="Q420" s="1255"/>
      <c r="S420" s="63"/>
      <c r="T420" s="63"/>
    </row>
    <row r="421" spans="1:20" ht="12.75" customHeight="1">
      <c r="A421" s="1344" t="s">
        <v>1</v>
      </c>
      <c r="B421" s="1318" t="s">
        <v>0</v>
      </c>
      <c r="C421" s="1194" t="s">
        <v>2</v>
      </c>
      <c r="D421" s="1194" t="s">
        <v>3</v>
      </c>
      <c r="E421" s="1194" t="s">
        <v>13</v>
      </c>
      <c r="F421" s="1347" t="s">
        <v>14</v>
      </c>
      <c r="G421" s="1347"/>
      <c r="H421" s="1347"/>
      <c r="I421" s="1347"/>
      <c r="J421" s="1194" t="s">
        <v>4</v>
      </c>
      <c r="K421" s="1194" t="s">
        <v>15</v>
      </c>
      <c r="L421" s="1194" t="s">
        <v>5</v>
      </c>
      <c r="M421" s="1194" t="s">
        <v>6</v>
      </c>
      <c r="N421" s="1194" t="s">
        <v>16</v>
      </c>
      <c r="O421" s="1194" t="s">
        <v>17</v>
      </c>
      <c r="P421" s="1194" t="s">
        <v>25</v>
      </c>
      <c r="Q421" s="1198" t="s">
        <v>26</v>
      </c>
      <c r="S421" s="63"/>
      <c r="T421" s="63"/>
    </row>
    <row r="422" spans="1:20" s="2" customFormat="1" ht="33.75">
      <c r="A422" s="1345"/>
      <c r="B422" s="1357"/>
      <c r="C422" s="1227"/>
      <c r="D422" s="1227"/>
      <c r="E422" s="1227"/>
      <c r="F422" s="26" t="s">
        <v>18</v>
      </c>
      <c r="G422" s="26" t="s">
        <v>19</v>
      </c>
      <c r="H422" s="26" t="s">
        <v>20</v>
      </c>
      <c r="I422" s="26" t="s">
        <v>21</v>
      </c>
      <c r="J422" s="1227"/>
      <c r="K422" s="1227"/>
      <c r="L422" s="1227"/>
      <c r="M422" s="1227"/>
      <c r="N422" s="1227"/>
      <c r="O422" s="1227"/>
      <c r="P422" s="1227"/>
      <c r="Q422" s="1339"/>
      <c r="S422" s="63"/>
      <c r="T422" s="63"/>
    </row>
    <row r="423" spans="1:20" s="3" customFormat="1" ht="13.5" customHeight="1" thickBot="1">
      <c r="A423" s="1346"/>
      <c r="B423" s="1358"/>
      <c r="C423" s="1238"/>
      <c r="D423" s="42" t="s">
        <v>7</v>
      </c>
      <c r="E423" s="42" t="s">
        <v>8</v>
      </c>
      <c r="F423" s="42" t="s">
        <v>9</v>
      </c>
      <c r="G423" s="42" t="s">
        <v>9</v>
      </c>
      <c r="H423" s="42" t="s">
        <v>9</v>
      </c>
      <c r="I423" s="42" t="s">
        <v>9</v>
      </c>
      <c r="J423" s="42" t="s">
        <v>22</v>
      </c>
      <c r="K423" s="42" t="s">
        <v>9</v>
      </c>
      <c r="L423" s="42" t="s">
        <v>22</v>
      </c>
      <c r="M423" s="42" t="s">
        <v>23</v>
      </c>
      <c r="N423" s="42" t="s">
        <v>10</v>
      </c>
      <c r="O423" s="42" t="s">
        <v>24</v>
      </c>
      <c r="P423" s="42" t="s">
        <v>27</v>
      </c>
      <c r="Q423" s="44" t="s">
        <v>28</v>
      </c>
      <c r="S423" s="63"/>
      <c r="T423" s="63"/>
    </row>
    <row r="424" spans="1:20" ht="12.75">
      <c r="A424" s="1341" t="s">
        <v>11</v>
      </c>
      <c r="B424" s="20">
        <v>1</v>
      </c>
      <c r="C424" s="791" t="s">
        <v>269</v>
      </c>
      <c r="D424" s="524">
        <v>45</v>
      </c>
      <c r="E424" s="524">
        <v>1975</v>
      </c>
      <c r="F424" s="722">
        <f aca="true" t="shared" si="72" ref="F424:F463">G424+H424+I424</f>
        <v>17.45</v>
      </c>
      <c r="G424" s="722">
        <v>3.87</v>
      </c>
      <c r="H424" s="722">
        <v>7.2</v>
      </c>
      <c r="I424" s="722">
        <v>6.38</v>
      </c>
      <c r="J424" s="725">
        <v>2325.22</v>
      </c>
      <c r="K424" s="722">
        <v>6.38</v>
      </c>
      <c r="L424" s="725">
        <v>2325.22</v>
      </c>
      <c r="M424" s="732">
        <f aca="true" t="shared" si="73" ref="M424:M463">K424/L424</f>
        <v>0.0027438263906211027</v>
      </c>
      <c r="N424" s="949">
        <v>314.4</v>
      </c>
      <c r="O424" s="733">
        <f aca="true" t="shared" si="74" ref="O424:O463">M424*N424</f>
        <v>0.8626590172112746</v>
      </c>
      <c r="P424" s="733">
        <f aca="true" t="shared" si="75" ref="P424:P463">M424*60*1000</f>
        <v>164.62958343726618</v>
      </c>
      <c r="Q424" s="461">
        <f aca="true" t="shared" si="76" ref="Q424:Q463">P424*N424/1000</f>
        <v>51.75954103267648</v>
      </c>
      <c r="R424" s="6"/>
      <c r="S424" s="63"/>
      <c r="T424" s="63"/>
    </row>
    <row r="425" spans="1:20" ht="12.75">
      <c r="A425" s="1342"/>
      <c r="B425" s="21">
        <v>2</v>
      </c>
      <c r="C425" s="792" t="s">
        <v>271</v>
      </c>
      <c r="D425" s="525">
        <v>44</v>
      </c>
      <c r="E425" s="525">
        <v>1975</v>
      </c>
      <c r="F425" s="723">
        <f t="shared" si="72"/>
        <v>18</v>
      </c>
      <c r="G425" s="723">
        <v>3.42</v>
      </c>
      <c r="H425" s="723">
        <v>7.04</v>
      </c>
      <c r="I425" s="723">
        <v>7.54</v>
      </c>
      <c r="J425" s="726">
        <v>2309.11</v>
      </c>
      <c r="K425" s="723">
        <v>7.54</v>
      </c>
      <c r="L425" s="726">
        <v>2309.11</v>
      </c>
      <c r="M425" s="734">
        <f t="shared" si="73"/>
        <v>0.003265327333907869</v>
      </c>
      <c r="N425" s="720">
        <v>314.4</v>
      </c>
      <c r="O425" s="462">
        <f t="shared" si="74"/>
        <v>1.0266189137806339</v>
      </c>
      <c r="P425" s="462">
        <f t="shared" si="75"/>
        <v>195.91964003447214</v>
      </c>
      <c r="Q425" s="463">
        <f t="shared" si="76"/>
        <v>61.59713482683804</v>
      </c>
      <c r="S425" s="63"/>
      <c r="T425" s="63"/>
    </row>
    <row r="426" spans="1:20" ht="12.75">
      <c r="A426" s="1342"/>
      <c r="B426" s="21">
        <v>3</v>
      </c>
      <c r="C426" s="792" t="s">
        <v>270</v>
      </c>
      <c r="D426" s="525">
        <v>39</v>
      </c>
      <c r="E426" s="525">
        <v>1985</v>
      </c>
      <c r="F426" s="723">
        <f t="shared" si="72"/>
        <v>19.65</v>
      </c>
      <c r="G426" s="723">
        <v>4.27</v>
      </c>
      <c r="H426" s="723">
        <v>6.32</v>
      </c>
      <c r="I426" s="723">
        <v>9.06</v>
      </c>
      <c r="J426" s="726">
        <v>2285.27</v>
      </c>
      <c r="K426" s="723">
        <v>9.06</v>
      </c>
      <c r="L426" s="726">
        <v>2285.27</v>
      </c>
      <c r="M426" s="734">
        <f t="shared" si="73"/>
        <v>0.003964520603692343</v>
      </c>
      <c r="N426" s="720">
        <v>314.4</v>
      </c>
      <c r="O426" s="462">
        <f t="shared" si="74"/>
        <v>1.2464452778008726</v>
      </c>
      <c r="P426" s="462">
        <f t="shared" si="75"/>
        <v>237.87123622154056</v>
      </c>
      <c r="Q426" s="463">
        <f t="shared" si="76"/>
        <v>74.78671666805235</v>
      </c>
      <c r="S426" s="63"/>
      <c r="T426" s="63"/>
    </row>
    <row r="427" spans="1:20" ht="12.75">
      <c r="A427" s="1342"/>
      <c r="B427" s="21">
        <v>4</v>
      </c>
      <c r="C427" s="792" t="s">
        <v>272</v>
      </c>
      <c r="D427" s="525">
        <v>45</v>
      </c>
      <c r="E427" s="525">
        <v>1991</v>
      </c>
      <c r="F427" s="723">
        <f t="shared" si="72"/>
        <v>19.87</v>
      </c>
      <c r="G427" s="723">
        <v>3.88</v>
      </c>
      <c r="H427" s="723">
        <v>6.24</v>
      </c>
      <c r="I427" s="723">
        <v>9.75</v>
      </c>
      <c r="J427" s="726">
        <v>2321.73</v>
      </c>
      <c r="K427" s="723">
        <v>9.75</v>
      </c>
      <c r="L427" s="726">
        <v>2321.73</v>
      </c>
      <c r="M427" s="734">
        <f t="shared" si="73"/>
        <v>0.004199454716956752</v>
      </c>
      <c r="N427" s="720">
        <v>314.4</v>
      </c>
      <c r="O427" s="462">
        <f t="shared" si="74"/>
        <v>1.3203085630112026</v>
      </c>
      <c r="P427" s="462">
        <f t="shared" si="75"/>
        <v>251.96728301740512</v>
      </c>
      <c r="Q427" s="463">
        <f t="shared" si="76"/>
        <v>79.21851378067217</v>
      </c>
      <c r="S427" s="63"/>
      <c r="T427" s="63"/>
    </row>
    <row r="428" spans="1:20" ht="12.75">
      <c r="A428" s="1342"/>
      <c r="B428" s="21">
        <v>5</v>
      </c>
      <c r="C428" s="792" t="s">
        <v>282</v>
      </c>
      <c r="D428" s="525">
        <v>45</v>
      </c>
      <c r="E428" s="525">
        <v>1983</v>
      </c>
      <c r="F428" s="723">
        <f t="shared" si="72"/>
        <v>37.400000000000006</v>
      </c>
      <c r="G428" s="723">
        <v>3.01</v>
      </c>
      <c r="H428" s="723">
        <v>7.2</v>
      </c>
      <c r="I428" s="723">
        <v>27.19</v>
      </c>
      <c r="J428" s="726">
        <v>2323.8</v>
      </c>
      <c r="K428" s="723">
        <v>27.19</v>
      </c>
      <c r="L428" s="726">
        <v>2323.8</v>
      </c>
      <c r="M428" s="734">
        <f t="shared" si="73"/>
        <v>0.011700662707634047</v>
      </c>
      <c r="N428" s="720">
        <v>314.4</v>
      </c>
      <c r="O428" s="462">
        <f t="shared" si="74"/>
        <v>3.678688355280144</v>
      </c>
      <c r="P428" s="462">
        <f t="shared" si="75"/>
        <v>702.0397624580429</v>
      </c>
      <c r="Q428" s="463">
        <f t="shared" si="76"/>
        <v>220.72130131680868</v>
      </c>
      <c r="S428" s="63"/>
      <c r="T428" s="63"/>
    </row>
    <row r="429" spans="1:20" ht="12.75">
      <c r="A429" s="1342"/>
      <c r="B429" s="21">
        <v>6</v>
      </c>
      <c r="C429" s="792" t="s">
        <v>280</v>
      </c>
      <c r="D429" s="525">
        <v>75</v>
      </c>
      <c r="E429" s="525">
        <v>1981</v>
      </c>
      <c r="F429" s="723">
        <f t="shared" si="72"/>
        <v>65.7</v>
      </c>
      <c r="G429" s="723">
        <v>6.87</v>
      </c>
      <c r="H429" s="723">
        <v>11.84</v>
      </c>
      <c r="I429" s="723">
        <v>46.99</v>
      </c>
      <c r="J429" s="726">
        <v>4034.29</v>
      </c>
      <c r="K429" s="723">
        <v>46.99</v>
      </c>
      <c r="L429" s="726">
        <v>3952.66</v>
      </c>
      <c r="M429" s="734">
        <f t="shared" si="73"/>
        <v>0.011888196809237325</v>
      </c>
      <c r="N429" s="720">
        <v>314.4</v>
      </c>
      <c r="O429" s="462">
        <f t="shared" si="74"/>
        <v>3.7376490768242148</v>
      </c>
      <c r="P429" s="462">
        <f t="shared" si="75"/>
        <v>713.2918085542394</v>
      </c>
      <c r="Q429" s="463">
        <f t="shared" si="76"/>
        <v>224.25894460945284</v>
      </c>
      <c r="S429" s="63"/>
      <c r="T429" s="63"/>
    </row>
    <row r="430" spans="1:20" ht="12.75">
      <c r="A430" s="1342"/>
      <c r="B430" s="21">
        <v>7</v>
      </c>
      <c r="C430" s="792" t="s">
        <v>283</v>
      </c>
      <c r="D430" s="525">
        <v>45</v>
      </c>
      <c r="E430" s="525">
        <v>1981</v>
      </c>
      <c r="F430" s="723">
        <f t="shared" si="72"/>
        <v>39.82</v>
      </c>
      <c r="G430" s="723">
        <v>4.97</v>
      </c>
      <c r="H430" s="723">
        <v>7.2</v>
      </c>
      <c r="I430" s="723">
        <v>27.65</v>
      </c>
      <c r="J430" s="726">
        <v>2323.16</v>
      </c>
      <c r="K430" s="723">
        <v>27.65</v>
      </c>
      <c r="L430" s="726">
        <v>2323.16</v>
      </c>
      <c r="M430" s="734">
        <f t="shared" si="73"/>
        <v>0.01190189225021092</v>
      </c>
      <c r="N430" s="720">
        <v>314.4</v>
      </c>
      <c r="O430" s="462">
        <f t="shared" si="74"/>
        <v>3.741954923466313</v>
      </c>
      <c r="P430" s="462">
        <f t="shared" si="75"/>
        <v>714.1135350126551</v>
      </c>
      <c r="Q430" s="463">
        <f t="shared" si="76"/>
        <v>224.51729540797876</v>
      </c>
      <c r="S430" s="63"/>
      <c r="T430" s="63"/>
    </row>
    <row r="431" spans="1:20" ht="12.75">
      <c r="A431" s="1342"/>
      <c r="B431" s="21">
        <v>8</v>
      </c>
      <c r="C431" s="792" t="s">
        <v>275</v>
      </c>
      <c r="D431" s="525">
        <v>66</v>
      </c>
      <c r="E431" s="525">
        <v>1972</v>
      </c>
      <c r="F431" s="723">
        <f t="shared" si="72"/>
        <v>54.89</v>
      </c>
      <c r="G431" s="723">
        <v>5.78</v>
      </c>
      <c r="H431" s="723">
        <v>10.4</v>
      </c>
      <c r="I431" s="723">
        <v>38.71</v>
      </c>
      <c r="J431" s="726">
        <v>3215.54</v>
      </c>
      <c r="K431" s="723">
        <v>38.71</v>
      </c>
      <c r="L431" s="726">
        <v>3215.54</v>
      </c>
      <c r="M431" s="734">
        <f t="shared" si="73"/>
        <v>0.012038413454660803</v>
      </c>
      <c r="N431" s="720">
        <v>314.4</v>
      </c>
      <c r="O431" s="462">
        <f t="shared" si="74"/>
        <v>3.784877190145356</v>
      </c>
      <c r="P431" s="462">
        <f t="shared" si="75"/>
        <v>722.3048072796482</v>
      </c>
      <c r="Q431" s="463">
        <f t="shared" si="76"/>
        <v>227.0926314087214</v>
      </c>
      <c r="S431" s="63"/>
      <c r="T431" s="63"/>
    </row>
    <row r="432" spans="1:20" ht="12.75">
      <c r="A432" s="1342"/>
      <c r="B432" s="21">
        <v>9</v>
      </c>
      <c r="C432" s="792" t="s">
        <v>730</v>
      </c>
      <c r="D432" s="525">
        <v>45</v>
      </c>
      <c r="E432" s="525">
        <v>1975</v>
      </c>
      <c r="F432" s="723">
        <f t="shared" si="72"/>
        <v>39.019999999999996</v>
      </c>
      <c r="G432" s="723">
        <v>3.44</v>
      </c>
      <c r="H432" s="723">
        <v>7.2</v>
      </c>
      <c r="I432" s="723">
        <v>28.38</v>
      </c>
      <c r="J432" s="726">
        <v>2318.65</v>
      </c>
      <c r="K432" s="723">
        <v>28.38</v>
      </c>
      <c r="L432" s="726">
        <v>2318.65</v>
      </c>
      <c r="M432" s="734">
        <f t="shared" si="73"/>
        <v>0.012239880965216828</v>
      </c>
      <c r="N432" s="720">
        <v>314.4</v>
      </c>
      <c r="O432" s="462">
        <f t="shared" si="74"/>
        <v>3.8482185754641707</v>
      </c>
      <c r="P432" s="462">
        <f t="shared" si="75"/>
        <v>734.3928579130097</v>
      </c>
      <c r="Q432" s="463">
        <f t="shared" si="76"/>
        <v>230.89311452785023</v>
      </c>
      <c r="S432" s="63"/>
      <c r="T432" s="63"/>
    </row>
    <row r="433" spans="1:20" ht="13.5" thickBot="1">
      <c r="A433" s="1343"/>
      <c r="B433" s="47">
        <v>10</v>
      </c>
      <c r="C433" s="793" t="s">
        <v>731</v>
      </c>
      <c r="D433" s="526">
        <v>30</v>
      </c>
      <c r="E433" s="526">
        <v>1986</v>
      </c>
      <c r="F433" s="724">
        <f t="shared" si="72"/>
        <v>26.8</v>
      </c>
      <c r="G433" s="724">
        <v>2.31</v>
      </c>
      <c r="H433" s="724">
        <v>4.8</v>
      </c>
      <c r="I433" s="724">
        <v>19.69</v>
      </c>
      <c r="J433" s="727">
        <v>1589.97</v>
      </c>
      <c r="K433" s="724">
        <v>19.69</v>
      </c>
      <c r="L433" s="727">
        <v>1589.97</v>
      </c>
      <c r="M433" s="735">
        <f t="shared" si="73"/>
        <v>0.012383881456882835</v>
      </c>
      <c r="N433" s="721">
        <v>314.4</v>
      </c>
      <c r="O433" s="541">
        <f t="shared" si="74"/>
        <v>3.893492330043963</v>
      </c>
      <c r="P433" s="541">
        <f t="shared" si="75"/>
        <v>743.0328874129701</v>
      </c>
      <c r="Q433" s="542">
        <f t="shared" si="76"/>
        <v>233.60953980263778</v>
      </c>
      <c r="S433" s="63"/>
      <c r="T433" s="63"/>
    </row>
    <row r="434" spans="1:20" ht="11.25" customHeight="1">
      <c r="A434" s="1348" t="s">
        <v>29</v>
      </c>
      <c r="B434" s="395">
        <v>1</v>
      </c>
      <c r="C434" s="1060" t="s">
        <v>274</v>
      </c>
      <c r="D434" s="423">
        <v>55</v>
      </c>
      <c r="E434" s="423">
        <v>1992</v>
      </c>
      <c r="F434" s="396">
        <f t="shared" si="72"/>
        <v>46.6</v>
      </c>
      <c r="G434" s="396">
        <v>0</v>
      </c>
      <c r="H434" s="396">
        <v>0</v>
      </c>
      <c r="I434" s="396">
        <v>46.6</v>
      </c>
      <c r="J434" s="424">
        <v>3755.18</v>
      </c>
      <c r="K434" s="396">
        <v>46.6</v>
      </c>
      <c r="L434" s="424">
        <v>3755.18</v>
      </c>
      <c r="M434" s="367">
        <f t="shared" si="73"/>
        <v>0.012409524976166257</v>
      </c>
      <c r="N434" s="368">
        <v>314.4</v>
      </c>
      <c r="O434" s="369">
        <f t="shared" si="74"/>
        <v>3.901554652506671</v>
      </c>
      <c r="P434" s="369">
        <f t="shared" si="75"/>
        <v>744.5714985699753</v>
      </c>
      <c r="Q434" s="370">
        <f t="shared" si="76"/>
        <v>234.09327915040024</v>
      </c>
      <c r="S434" s="63"/>
      <c r="T434" s="63"/>
    </row>
    <row r="435" spans="1:20" ht="12.75" customHeight="1">
      <c r="A435" s="1349"/>
      <c r="B435" s="377">
        <v>2</v>
      </c>
      <c r="C435" s="781" t="s">
        <v>273</v>
      </c>
      <c r="D435" s="363">
        <v>64</v>
      </c>
      <c r="E435" s="363">
        <v>1971</v>
      </c>
      <c r="F435" s="364">
        <f t="shared" si="72"/>
        <v>53.709999999999994</v>
      </c>
      <c r="G435" s="364">
        <v>4.67</v>
      </c>
      <c r="H435" s="364">
        <v>10.24</v>
      </c>
      <c r="I435" s="364">
        <v>38.8</v>
      </c>
      <c r="J435" s="372">
        <v>3220.36</v>
      </c>
      <c r="K435" s="364">
        <v>38.8</v>
      </c>
      <c r="L435" s="372">
        <v>3121</v>
      </c>
      <c r="M435" s="374">
        <f t="shared" si="73"/>
        <v>0.01243191284844601</v>
      </c>
      <c r="N435" s="373">
        <v>314.4</v>
      </c>
      <c r="O435" s="376">
        <f t="shared" si="74"/>
        <v>3.908593399551425</v>
      </c>
      <c r="P435" s="376">
        <f t="shared" si="75"/>
        <v>745.9147709067606</v>
      </c>
      <c r="Q435" s="375">
        <f t="shared" si="76"/>
        <v>234.51560397308552</v>
      </c>
      <c r="S435" s="63"/>
      <c r="T435" s="63"/>
    </row>
    <row r="436" spans="1:20" ht="12.75" customHeight="1">
      <c r="A436" s="1349"/>
      <c r="B436" s="377">
        <v>3</v>
      </c>
      <c r="C436" s="781" t="s">
        <v>277</v>
      </c>
      <c r="D436" s="363">
        <v>30</v>
      </c>
      <c r="E436" s="363">
        <v>1988</v>
      </c>
      <c r="F436" s="364">
        <f t="shared" si="72"/>
        <v>28.369999999999997</v>
      </c>
      <c r="G436" s="364">
        <v>2.85</v>
      </c>
      <c r="H436" s="364">
        <v>4.8</v>
      </c>
      <c r="I436" s="364">
        <v>20.72</v>
      </c>
      <c r="J436" s="372">
        <v>1645.25</v>
      </c>
      <c r="K436" s="364">
        <v>20.72</v>
      </c>
      <c r="L436" s="372">
        <v>1645.25</v>
      </c>
      <c r="M436" s="374">
        <f t="shared" si="73"/>
        <v>0.012593830724813857</v>
      </c>
      <c r="N436" s="373">
        <v>314.4</v>
      </c>
      <c r="O436" s="376">
        <f t="shared" si="74"/>
        <v>3.9595003798814763</v>
      </c>
      <c r="P436" s="376">
        <f t="shared" si="75"/>
        <v>755.6298434888314</v>
      </c>
      <c r="Q436" s="375">
        <f t="shared" si="76"/>
        <v>237.57002279288858</v>
      </c>
      <c r="S436" s="63"/>
      <c r="T436" s="63"/>
    </row>
    <row r="437" spans="1:20" ht="12.75" customHeight="1">
      <c r="A437" s="1349"/>
      <c r="B437" s="377">
        <v>4</v>
      </c>
      <c r="C437" s="781" t="s">
        <v>281</v>
      </c>
      <c r="D437" s="363">
        <v>45</v>
      </c>
      <c r="E437" s="363">
        <v>1984</v>
      </c>
      <c r="F437" s="364">
        <f t="shared" si="72"/>
        <v>39.85</v>
      </c>
      <c r="G437" s="364">
        <v>3.03</v>
      </c>
      <c r="H437" s="364">
        <v>7.2</v>
      </c>
      <c r="I437" s="364">
        <v>29.62</v>
      </c>
      <c r="J437" s="372">
        <v>2330.45</v>
      </c>
      <c r="K437" s="364">
        <v>29.62</v>
      </c>
      <c r="L437" s="372">
        <v>2330.45</v>
      </c>
      <c r="M437" s="374">
        <f t="shared" si="73"/>
        <v>0.012709991632517327</v>
      </c>
      <c r="N437" s="373">
        <v>314.4</v>
      </c>
      <c r="O437" s="376">
        <f t="shared" si="74"/>
        <v>3.996021369263447</v>
      </c>
      <c r="P437" s="376">
        <f t="shared" si="75"/>
        <v>762.5994979510397</v>
      </c>
      <c r="Q437" s="375">
        <f t="shared" si="76"/>
        <v>239.76128215580687</v>
      </c>
      <c r="S437" s="63"/>
      <c r="T437" s="63"/>
    </row>
    <row r="438" spans="1:20" ht="12.75" customHeight="1">
      <c r="A438" s="1349"/>
      <c r="B438" s="377">
        <v>5</v>
      </c>
      <c r="C438" s="781" t="s">
        <v>732</v>
      </c>
      <c r="D438" s="363">
        <v>45</v>
      </c>
      <c r="E438" s="363">
        <v>1987</v>
      </c>
      <c r="F438" s="364">
        <f t="shared" si="72"/>
        <v>41.7</v>
      </c>
      <c r="G438" s="364">
        <v>4.59</v>
      </c>
      <c r="H438" s="364">
        <v>7.2</v>
      </c>
      <c r="I438" s="364">
        <v>29.91</v>
      </c>
      <c r="J438" s="372">
        <v>2339.68</v>
      </c>
      <c r="K438" s="364">
        <v>29.91</v>
      </c>
      <c r="L438" s="372">
        <v>2339.68</v>
      </c>
      <c r="M438" s="374">
        <f t="shared" si="73"/>
        <v>0.012783799493947891</v>
      </c>
      <c r="N438" s="373">
        <v>314.4</v>
      </c>
      <c r="O438" s="376">
        <f t="shared" si="74"/>
        <v>4.019226560897216</v>
      </c>
      <c r="P438" s="376">
        <f t="shared" si="75"/>
        <v>767.0279696368734</v>
      </c>
      <c r="Q438" s="375">
        <f t="shared" si="76"/>
        <v>241.15359365383298</v>
      </c>
      <c r="S438" s="63"/>
      <c r="T438" s="63"/>
    </row>
    <row r="439" spans="1:20" ht="12.75" customHeight="1">
      <c r="A439" s="1349"/>
      <c r="B439" s="377">
        <v>6</v>
      </c>
      <c r="C439" s="781" t="s">
        <v>276</v>
      </c>
      <c r="D439" s="363">
        <v>44</v>
      </c>
      <c r="E439" s="363">
        <v>1988</v>
      </c>
      <c r="F439" s="364">
        <f t="shared" si="72"/>
        <v>40.75</v>
      </c>
      <c r="G439" s="364">
        <v>4.19</v>
      </c>
      <c r="H439" s="364">
        <v>7.04</v>
      </c>
      <c r="I439" s="364">
        <v>29.52</v>
      </c>
      <c r="J439" s="372">
        <v>2297.82</v>
      </c>
      <c r="K439" s="364">
        <v>29.52</v>
      </c>
      <c r="L439" s="372">
        <v>2297.82</v>
      </c>
      <c r="M439" s="374">
        <f t="shared" si="73"/>
        <v>0.012846959291850535</v>
      </c>
      <c r="N439" s="373">
        <v>314.4</v>
      </c>
      <c r="O439" s="376">
        <f t="shared" si="74"/>
        <v>4.039084001357808</v>
      </c>
      <c r="P439" s="376">
        <f t="shared" si="75"/>
        <v>770.8175575110321</v>
      </c>
      <c r="Q439" s="375">
        <f t="shared" si="76"/>
        <v>242.34504008146848</v>
      </c>
      <c r="S439" s="63"/>
      <c r="T439" s="63"/>
    </row>
    <row r="440" spans="1:20" ht="12.75" customHeight="1">
      <c r="A440" s="1349"/>
      <c r="B440" s="377">
        <v>7</v>
      </c>
      <c r="C440" s="781" t="s">
        <v>279</v>
      </c>
      <c r="D440" s="363">
        <v>45</v>
      </c>
      <c r="E440" s="363">
        <v>1981</v>
      </c>
      <c r="F440" s="364">
        <f t="shared" si="72"/>
        <v>39.7</v>
      </c>
      <c r="G440" s="364">
        <v>3.65</v>
      </c>
      <c r="H440" s="364">
        <v>7.12</v>
      </c>
      <c r="I440" s="364">
        <v>28.93</v>
      </c>
      <c r="J440" s="372">
        <v>2250.62</v>
      </c>
      <c r="K440" s="364">
        <v>28.93</v>
      </c>
      <c r="L440" s="372">
        <v>2250.62</v>
      </c>
      <c r="M440" s="374">
        <f t="shared" si="73"/>
        <v>0.01285423572171224</v>
      </c>
      <c r="N440" s="373">
        <v>314.4</v>
      </c>
      <c r="O440" s="376">
        <f t="shared" si="74"/>
        <v>4.041371710906328</v>
      </c>
      <c r="P440" s="376">
        <f t="shared" si="75"/>
        <v>771.2541433027344</v>
      </c>
      <c r="Q440" s="375">
        <f t="shared" si="76"/>
        <v>242.48230265437968</v>
      </c>
      <c r="S440" s="63"/>
      <c r="T440" s="63"/>
    </row>
    <row r="441" spans="1:20" ht="12.75" customHeight="1">
      <c r="A441" s="1349"/>
      <c r="B441" s="377">
        <v>8</v>
      </c>
      <c r="C441" s="781" t="s">
        <v>733</v>
      </c>
      <c r="D441" s="363">
        <v>35</v>
      </c>
      <c r="E441" s="363">
        <v>1973</v>
      </c>
      <c r="F441" s="364">
        <f t="shared" si="72"/>
        <v>34.790000000000006</v>
      </c>
      <c r="G441" s="364">
        <v>4.16</v>
      </c>
      <c r="H441" s="364">
        <v>5.44</v>
      </c>
      <c r="I441" s="364">
        <v>25.19</v>
      </c>
      <c r="J441" s="372">
        <v>1951.8</v>
      </c>
      <c r="K441" s="364">
        <v>25.19</v>
      </c>
      <c r="L441" s="372">
        <v>1951.8</v>
      </c>
      <c r="M441" s="374">
        <f t="shared" si="73"/>
        <v>0.012906035454452302</v>
      </c>
      <c r="N441" s="373">
        <v>314.4</v>
      </c>
      <c r="O441" s="376">
        <f t="shared" si="74"/>
        <v>4.0576575468798035</v>
      </c>
      <c r="P441" s="376">
        <f t="shared" si="75"/>
        <v>774.3621272671381</v>
      </c>
      <c r="Q441" s="375">
        <f t="shared" si="76"/>
        <v>243.45945281278821</v>
      </c>
      <c r="S441" s="63"/>
      <c r="T441" s="63"/>
    </row>
    <row r="442" spans="1:20" ht="13.5" customHeight="1">
      <c r="A442" s="1349"/>
      <c r="B442" s="377">
        <v>9</v>
      </c>
      <c r="C442" s="781" t="s">
        <v>278</v>
      </c>
      <c r="D442" s="363">
        <v>41</v>
      </c>
      <c r="E442" s="363">
        <v>1988</v>
      </c>
      <c r="F442" s="364">
        <f t="shared" si="72"/>
        <v>39.900000000000006</v>
      </c>
      <c r="G442" s="364">
        <v>4.08</v>
      </c>
      <c r="H442" s="364">
        <v>6.4</v>
      </c>
      <c r="I442" s="364">
        <v>29.42</v>
      </c>
      <c r="J442" s="372">
        <v>2275.45</v>
      </c>
      <c r="K442" s="364">
        <v>29.42</v>
      </c>
      <c r="L442" s="372">
        <v>2275.45</v>
      </c>
      <c r="M442" s="374">
        <f t="shared" si="73"/>
        <v>0.012929310685798416</v>
      </c>
      <c r="N442" s="373">
        <v>314.4</v>
      </c>
      <c r="O442" s="376">
        <f t="shared" si="74"/>
        <v>4.064975279615021</v>
      </c>
      <c r="P442" s="376">
        <f t="shared" si="75"/>
        <v>775.7586411479049</v>
      </c>
      <c r="Q442" s="375">
        <f t="shared" si="76"/>
        <v>243.8985167769013</v>
      </c>
      <c r="S442" s="63"/>
      <c r="T442" s="63"/>
    </row>
    <row r="443" spans="1:20" ht="13.5" customHeight="1" thickBot="1">
      <c r="A443" s="1350"/>
      <c r="B443" s="388">
        <v>10</v>
      </c>
      <c r="C443" s="1061" t="s">
        <v>734</v>
      </c>
      <c r="D443" s="803">
        <v>60</v>
      </c>
      <c r="E443" s="803">
        <v>1989</v>
      </c>
      <c r="F443" s="425">
        <f t="shared" si="72"/>
        <v>44.45</v>
      </c>
      <c r="G443" s="425">
        <v>4.3</v>
      </c>
      <c r="H443" s="425">
        <v>9.6</v>
      </c>
      <c r="I443" s="425">
        <v>30.55</v>
      </c>
      <c r="J443" s="804">
        <v>2434.08</v>
      </c>
      <c r="K443" s="425">
        <v>30.55</v>
      </c>
      <c r="L443" s="804">
        <v>2362.11</v>
      </c>
      <c r="M443" s="646">
        <f t="shared" si="73"/>
        <v>0.012933351960746959</v>
      </c>
      <c r="N443" s="647">
        <v>314.4</v>
      </c>
      <c r="O443" s="495">
        <f t="shared" si="74"/>
        <v>4.066245856458844</v>
      </c>
      <c r="P443" s="495">
        <f t="shared" si="75"/>
        <v>776.0011176448174</v>
      </c>
      <c r="Q443" s="496">
        <f t="shared" si="76"/>
        <v>243.9747513875306</v>
      </c>
      <c r="S443" s="63"/>
      <c r="T443" s="63"/>
    </row>
    <row r="444" spans="1:20" ht="12.75">
      <c r="A444" s="1351" t="s">
        <v>30</v>
      </c>
      <c r="B444" s="539">
        <v>1</v>
      </c>
      <c r="C444" s="835" t="s">
        <v>288</v>
      </c>
      <c r="D444" s="492">
        <v>7</v>
      </c>
      <c r="E444" s="492">
        <v>1942</v>
      </c>
      <c r="F444" s="703">
        <f t="shared" si="72"/>
        <v>5.86</v>
      </c>
      <c r="G444" s="703">
        <v>0</v>
      </c>
      <c r="H444" s="703">
        <v>0</v>
      </c>
      <c r="I444" s="703">
        <v>5.86</v>
      </c>
      <c r="J444" s="709">
        <v>280.84</v>
      </c>
      <c r="K444" s="703">
        <v>5.86</v>
      </c>
      <c r="L444" s="709">
        <v>280.84</v>
      </c>
      <c r="M444" s="648">
        <f t="shared" si="73"/>
        <v>0.02086597350804729</v>
      </c>
      <c r="N444" s="649">
        <v>314.4</v>
      </c>
      <c r="O444" s="506">
        <f t="shared" si="74"/>
        <v>6.560262070930068</v>
      </c>
      <c r="P444" s="506">
        <f t="shared" si="75"/>
        <v>1251.9584104828375</v>
      </c>
      <c r="Q444" s="507">
        <f t="shared" si="76"/>
        <v>393.6157242558041</v>
      </c>
      <c r="S444" s="63"/>
      <c r="T444" s="63"/>
    </row>
    <row r="445" spans="1:20" ht="12.75">
      <c r="A445" s="1352"/>
      <c r="B445" s="480">
        <v>2</v>
      </c>
      <c r="C445" s="798" t="s">
        <v>287</v>
      </c>
      <c r="D445" s="493">
        <v>67</v>
      </c>
      <c r="E445" s="493">
        <v>1970</v>
      </c>
      <c r="F445" s="704">
        <f t="shared" si="72"/>
        <v>63.3</v>
      </c>
      <c r="G445" s="704">
        <v>0</v>
      </c>
      <c r="H445" s="704">
        <v>0</v>
      </c>
      <c r="I445" s="704">
        <v>63.3</v>
      </c>
      <c r="J445" s="710">
        <v>3022.05</v>
      </c>
      <c r="K445" s="704">
        <v>63.3</v>
      </c>
      <c r="L445" s="710">
        <v>3022.05</v>
      </c>
      <c r="M445" s="650">
        <f t="shared" si="73"/>
        <v>0.020946046557800167</v>
      </c>
      <c r="N445" s="651">
        <v>314.4</v>
      </c>
      <c r="O445" s="508">
        <f t="shared" si="74"/>
        <v>6.585437037772372</v>
      </c>
      <c r="P445" s="508">
        <f t="shared" si="75"/>
        <v>1256.76279346801</v>
      </c>
      <c r="Q445" s="509">
        <f t="shared" si="76"/>
        <v>395.1262222663423</v>
      </c>
      <c r="S445" s="63"/>
      <c r="T445" s="63"/>
    </row>
    <row r="446" spans="1:20" ht="12.75">
      <c r="A446" s="1352"/>
      <c r="B446" s="480">
        <v>3</v>
      </c>
      <c r="C446" s="798" t="s">
        <v>735</v>
      </c>
      <c r="D446" s="493">
        <v>29</v>
      </c>
      <c r="E446" s="493">
        <v>1962</v>
      </c>
      <c r="F446" s="704">
        <f t="shared" si="72"/>
        <v>26.76</v>
      </c>
      <c r="G446" s="704">
        <v>0</v>
      </c>
      <c r="H446" s="704">
        <v>0</v>
      </c>
      <c r="I446" s="704">
        <v>26.76</v>
      </c>
      <c r="J446" s="710">
        <v>1326.36</v>
      </c>
      <c r="K446" s="704">
        <v>26.76</v>
      </c>
      <c r="L446" s="710">
        <v>1271.96</v>
      </c>
      <c r="M446" s="650">
        <f t="shared" si="73"/>
        <v>0.02103839743388157</v>
      </c>
      <c r="N446" s="651">
        <v>314.4</v>
      </c>
      <c r="O446" s="508">
        <f t="shared" si="74"/>
        <v>6.614472153212365</v>
      </c>
      <c r="P446" s="508">
        <f t="shared" si="75"/>
        <v>1262.3038460328942</v>
      </c>
      <c r="Q446" s="509">
        <f t="shared" si="76"/>
        <v>396.8683291927419</v>
      </c>
      <c r="S446" s="63"/>
      <c r="T446" s="63"/>
    </row>
    <row r="447" spans="1:20" ht="12.75">
      <c r="A447" s="1352"/>
      <c r="B447" s="480">
        <v>4</v>
      </c>
      <c r="C447" s="798" t="s">
        <v>292</v>
      </c>
      <c r="D447" s="493">
        <v>6</v>
      </c>
      <c r="E447" s="493">
        <v>1956</v>
      </c>
      <c r="F447" s="704">
        <f t="shared" si="72"/>
        <v>8.2</v>
      </c>
      <c r="G447" s="704">
        <v>0.32</v>
      </c>
      <c r="H447" s="704">
        <v>0.96</v>
      </c>
      <c r="I447" s="704">
        <v>6.92</v>
      </c>
      <c r="J447" s="710">
        <v>327.26</v>
      </c>
      <c r="K447" s="704">
        <v>6.92</v>
      </c>
      <c r="L447" s="710">
        <v>327.26</v>
      </c>
      <c r="M447" s="650">
        <f t="shared" si="73"/>
        <v>0.021145266760374017</v>
      </c>
      <c r="N447" s="651">
        <v>314.4</v>
      </c>
      <c r="O447" s="508">
        <f t="shared" si="74"/>
        <v>6.648071869461591</v>
      </c>
      <c r="P447" s="508">
        <f t="shared" si="75"/>
        <v>1268.716005622441</v>
      </c>
      <c r="Q447" s="509">
        <f t="shared" si="76"/>
        <v>398.8843121676954</v>
      </c>
      <c r="S447" s="63"/>
      <c r="T447" s="63"/>
    </row>
    <row r="448" spans="1:20" ht="12.75">
      <c r="A448" s="1352"/>
      <c r="B448" s="480">
        <v>5</v>
      </c>
      <c r="C448" s="798" t="s">
        <v>736</v>
      </c>
      <c r="D448" s="493">
        <v>13</v>
      </c>
      <c r="E448" s="493">
        <v>1970</v>
      </c>
      <c r="F448" s="704">
        <f t="shared" si="72"/>
        <v>16.6</v>
      </c>
      <c r="G448" s="704">
        <v>0</v>
      </c>
      <c r="H448" s="704">
        <v>0</v>
      </c>
      <c r="I448" s="704">
        <v>16.6</v>
      </c>
      <c r="J448" s="710">
        <v>829.09</v>
      </c>
      <c r="K448" s="704">
        <v>16.6</v>
      </c>
      <c r="L448" s="710">
        <v>776.93</v>
      </c>
      <c r="M448" s="650">
        <f t="shared" si="73"/>
        <v>0.02136614624226121</v>
      </c>
      <c r="N448" s="651">
        <v>314.4</v>
      </c>
      <c r="O448" s="508">
        <f t="shared" si="74"/>
        <v>6.717516378566924</v>
      </c>
      <c r="P448" s="508">
        <f t="shared" si="75"/>
        <v>1281.9687745356728</v>
      </c>
      <c r="Q448" s="509">
        <f t="shared" si="76"/>
        <v>403.05098271401545</v>
      </c>
      <c r="S448" s="63"/>
      <c r="T448" s="63"/>
    </row>
    <row r="449" spans="1:20" ht="12.75">
      <c r="A449" s="1352"/>
      <c r="B449" s="480">
        <v>6</v>
      </c>
      <c r="C449" s="798" t="s">
        <v>291</v>
      </c>
      <c r="D449" s="493">
        <v>21</v>
      </c>
      <c r="E449" s="493">
        <v>1974</v>
      </c>
      <c r="F449" s="704">
        <f t="shared" si="72"/>
        <v>23.26</v>
      </c>
      <c r="G449" s="704">
        <v>0</v>
      </c>
      <c r="H449" s="704">
        <v>0</v>
      </c>
      <c r="I449" s="704">
        <v>23.26</v>
      </c>
      <c r="J449" s="710">
        <v>1145.06</v>
      </c>
      <c r="K449" s="704">
        <v>23.26</v>
      </c>
      <c r="L449" s="710">
        <v>1081.36</v>
      </c>
      <c r="M449" s="650">
        <f t="shared" si="73"/>
        <v>0.021509950432788343</v>
      </c>
      <c r="N449" s="651">
        <v>314.4</v>
      </c>
      <c r="O449" s="508">
        <f t="shared" si="74"/>
        <v>6.762728416068654</v>
      </c>
      <c r="P449" s="508">
        <f t="shared" si="75"/>
        <v>1290.5970259673006</v>
      </c>
      <c r="Q449" s="509">
        <f t="shared" si="76"/>
        <v>405.7637049641193</v>
      </c>
      <c r="S449" s="63"/>
      <c r="T449" s="63"/>
    </row>
    <row r="450" spans="1:20" ht="12.75">
      <c r="A450" s="1352"/>
      <c r="B450" s="480">
        <v>7</v>
      </c>
      <c r="C450" s="798" t="s">
        <v>286</v>
      </c>
      <c r="D450" s="493">
        <v>34</v>
      </c>
      <c r="E450" s="493">
        <v>1960</v>
      </c>
      <c r="F450" s="704">
        <f t="shared" si="72"/>
        <v>32.03</v>
      </c>
      <c r="G450" s="704">
        <v>0</v>
      </c>
      <c r="H450" s="704">
        <v>0</v>
      </c>
      <c r="I450" s="704">
        <v>32.03</v>
      </c>
      <c r="J450" s="710">
        <v>1562.13</v>
      </c>
      <c r="K450" s="704">
        <v>32.03</v>
      </c>
      <c r="L450" s="710">
        <v>1483.17</v>
      </c>
      <c r="M450" s="650">
        <f t="shared" si="73"/>
        <v>0.021595636373443368</v>
      </c>
      <c r="N450" s="651">
        <v>314.4</v>
      </c>
      <c r="O450" s="508">
        <f t="shared" si="74"/>
        <v>6.789668075810594</v>
      </c>
      <c r="P450" s="508">
        <f t="shared" si="75"/>
        <v>1295.7381824066022</v>
      </c>
      <c r="Q450" s="509">
        <f t="shared" si="76"/>
        <v>407.3800845486357</v>
      </c>
      <c r="S450" s="63"/>
      <c r="T450" s="63"/>
    </row>
    <row r="451" spans="1:20" ht="12.75">
      <c r="A451" s="1352"/>
      <c r="B451" s="480">
        <v>8</v>
      </c>
      <c r="C451" s="798" t="s">
        <v>285</v>
      </c>
      <c r="D451" s="493">
        <v>25</v>
      </c>
      <c r="E451" s="493">
        <v>1966</v>
      </c>
      <c r="F451" s="704">
        <f t="shared" si="72"/>
        <v>28.34</v>
      </c>
      <c r="G451" s="704">
        <v>0</v>
      </c>
      <c r="H451" s="704">
        <v>0</v>
      </c>
      <c r="I451" s="704">
        <v>28.34</v>
      </c>
      <c r="J451" s="710">
        <v>1638.98</v>
      </c>
      <c r="K451" s="704">
        <v>28.34</v>
      </c>
      <c r="L451" s="710">
        <v>1303.24</v>
      </c>
      <c r="M451" s="650">
        <f t="shared" si="73"/>
        <v>0.0217458027684847</v>
      </c>
      <c r="N451" s="651">
        <v>314.4</v>
      </c>
      <c r="O451" s="508">
        <f t="shared" si="74"/>
        <v>6.836880390411589</v>
      </c>
      <c r="P451" s="508">
        <f t="shared" si="75"/>
        <v>1304.7481661090821</v>
      </c>
      <c r="Q451" s="509">
        <f t="shared" si="76"/>
        <v>410.2128234246954</v>
      </c>
      <c r="S451" s="63"/>
      <c r="T451" s="63"/>
    </row>
    <row r="452" spans="1:20" ht="12.75">
      <c r="A452" s="1352"/>
      <c r="B452" s="480">
        <v>9</v>
      </c>
      <c r="C452" s="798" t="s">
        <v>290</v>
      </c>
      <c r="D452" s="493">
        <v>32</v>
      </c>
      <c r="E452" s="493">
        <v>1965</v>
      </c>
      <c r="F452" s="704">
        <f t="shared" si="72"/>
        <v>30.94</v>
      </c>
      <c r="G452" s="704">
        <v>0</v>
      </c>
      <c r="H452" s="704">
        <v>0</v>
      </c>
      <c r="I452" s="704">
        <v>30.94</v>
      </c>
      <c r="J452" s="710">
        <v>1419.59</v>
      </c>
      <c r="K452" s="704">
        <v>30.94</v>
      </c>
      <c r="L452" s="710">
        <v>1419.59</v>
      </c>
      <c r="M452" s="650">
        <f t="shared" si="73"/>
        <v>0.021795025324213332</v>
      </c>
      <c r="N452" s="651">
        <v>314.4</v>
      </c>
      <c r="O452" s="508">
        <f t="shared" si="74"/>
        <v>6.8523559619326715</v>
      </c>
      <c r="P452" s="508">
        <f t="shared" si="75"/>
        <v>1307.7015194527999</v>
      </c>
      <c r="Q452" s="509">
        <f t="shared" si="76"/>
        <v>411.1413577159602</v>
      </c>
      <c r="S452" s="63"/>
      <c r="T452" s="63"/>
    </row>
    <row r="453" spans="1:20" ht="13.5" thickBot="1">
      <c r="A453" s="1353"/>
      <c r="B453" s="489">
        <v>10</v>
      </c>
      <c r="C453" s="836" t="s">
        <v>293</v>
      </c>
      <c r="D453" s="494">
        <v>29</v>
      </c>
      <c r="E453" s="494">
        <v>1960</v>
      </c>
      <c r="F453" s="705">
        <f t="shared" si="72"/>
        <v>26.08</v>
      </c>
      <c r="G453" s="705">
        <v>0</v>
      </c>
      <c r="H453" s="705">
        <v>0</v>
      </c>
      <c r="I453" s="705">
        <v>26.08</v>
      </c>
      <c r="J453" s="711">
        <v>1187.67</v>
      </c>
      <c r="K453" s="705">
        <v>26.08</v>
      </c>
      <c r="L453" s="711">
        <v>1187.67</v>
      </c>
      <c r="M453" s="687">
        <f t="shared" si="73"/>
        <v>0.021958961664435405</v>
      </c>
      <c r="N453" s="688">
        <v>314.4</v>
      </c>
      <c r="O453" s="689">
        <f t="shared" si="74"/>
        <v>6.903897547298491</v>
      </c>
      <c r="P453" s="689">
        <f t="shared" si="75"/>
        <v>1317.5376998661243</v>
      </c>
      <c r="Q453" s="690">
        <f t="shared" si="76"/>
        <v>414.2338528379094</v>
      </c>
      <c r="S453" s="63"/>
      <c r="T453" s="63"/>
    </row>
    <row r="454" spans="1:20" ht="12.75">
      <c r="A454" s="1354" t="s">
        <v>12</v>
      </c>
      <c r="B454" s="59">
        <v>1</v>
      </c>
      <c r="C454" s="794" t="s">
        <v>737</v>
      </c>
      <c r="D454" s="516">
        <v>18</v>
      </c>
      <c r="E454" s="516">
        <v>1982</v>
      </c>
      <c r="F454" s="706">
        <f t="shared" si="72"/>
        <v>23.630000000000003</v>
      </c>
      <c r="G454" s="706">
        <v>1.24</v>
      </c>
      <c r="H454" s="706">
        <v>2.88</v>
      </c>
      <c r="I454" s="706">
        <v>19.51</v>
      </c>
      <c r="J454" s="712">
        <v>1043.82</v>
      </c>
      <c r="K454" s="706">
        <v>19.51</v>
      </c>
      <c r="L454" s="712">
        <v>885.35</v>
      </c>
      <c r="M454" s="736">
        <f t="shared" si="73"/>
        <v>0.02203648274693624</v>
      </c>
      <c r="N454" s="701">
        <v>314.4</v>
      </c>
      <c r="O454" s="737">
        <f t="shared" si="74"/>
        <v>6.9282701756367535</v>
      </c>
      <c r="P454" s="737">
        <f t="shared" si="75"/>
        <v>1322.1889648161743</v>
      </c>
      <c r="Q454" s="718">
        <f t="shared" si="76"/>
        <v>415.69621053820515</v>
      </c>
      <c r="S454" s="63"/>
      <c r="T454" s="63"/>
    </row>
    <row r="455" spans="1:20" ht="12.75">
      <c r="A455" s="1355"/>
      <c r="B455" s="29">
        <v>2</v>
      </c>
      <c r="C455" s="795" t="s">
        <v>284</v>
      </c>
      <c r="D455" s="518">
        <v>45</v>
      </c>
      <c r="E455" s="518">
        <v>1982</v>
      </c>
      <c r="F455" s="707">
        <f t="shared" si="72"/>
        <v>39.550000000000004</v>
      </c>
      <c r="G455" s="707">
        <v>3.96</v>
      </c>
      <c r="H455" s="707">
        <v>1.1</v>
      </c>
      <c r="I455" s="707">
        <v>34.49</v>
      </c>
      <c r="J455" s="713">
        <v>1563.22</v>
      </c>
      <c r="K455" s="707">
        <v>34.49</v>
      </c>
      <c r="L455" s="713">
        <v>1563.22</v>
      </c>
      <c r="M455" s="695">
        <f t="shared" si="73"/>
        <v>0.022063433169995268</v>
      </c>
      <c r="N455" s="692">
        <v>314.4</v>
      </c>
      <c r="O455" s="696">
        <f t="shared" si="74"/>
        <v>6.936743388646512</v>
      </c>
      <c r="P455" s="696">
        <f t="shared" si="75"/>
        <v>1323.8059901997162</v>
      </c>
      <c r="Q455" s="697">
        <f t="shared" si="76"/>
        <v>416.2046033187907</v>
      </c>
      <c r="S455" s="63"/>
      <c r="T455" s="338" t="s">
        <v>236</v>
      </c>
    </row>
    <row r="456" spans="1:20" ht="12.75">
      <c r="A456" s="1355"/>
      <c r="B456" s="29">
        <v>3</v>
      </c>
      <c r="C456" s="795" t="s">
        <v>294</v>
      </c>
      <c r="D456" s="518">
        <v>5</v>
      </c>
      <c r="E456" s="518">
        <v>1923</v>
      </c>
      <c r="F456" s="707">
        <f t="shared" si="72"/>
        <v>4.78</v>
      </c>
      <c r="G456" s="707">
        <v>0</v>
      </c>
      <c r="H456" s="707">
        <v>0</v>
      </c>
      <c r="I456" s="707">
        <v>4.78</v>
      </c>
      <c r="J456" s="713">
        <v>208.38</v>
      </c>
      <c r="K456" s="707">
        <v>4.78</v>
      </c>
      <c r="L456" s="713">
        <v>208.38</v>
      </c>
      <c r="M456" s="695">
        <f t="shared" si="73"/>
        <v>0.022938861694980325</v>
      </c>
      <c r="N456" s="692">
        <v>314.4</v>
      </c>
      <c r="O456" s="696">
        <f t="shared" si="74"/>
        <v>7.211978116901814</v>
      </c>
      <c r="P456" s="696">
        <f t="shared" si="75"/>
        <v>1376.3317016988194</v>
      </c>
      <c r="Q456" s="697">
        <f t="shared" si="76"/>
        <v>432.7186870141088</v>
      </c>
      <c r="S456" s="63"/>
      <c r="T456" s="63"/>
    </row>
    <row r="457" spans="1:20" ht="12.75">
      <c r="A457" s="1355"/>
      <c r="B457" s="29">
        <v>4</v>
      </c>
      <c r="C457" s="795" t="s">
        <v>738</v>
      </c>
      <c r="D457" s="518">
        <v>8</v>
      </c>
      <c r="E457" s="518">
        <v>1959</v>
      </c>
      <c r="F457" s="707">
        <f t="shared" si="72"/>
        <v>9.62</v>
      </c>
      <c r="G457" s="707">
        <v>0</v>
      </c>
      <c r="H457" s="707">
        <v>0</v>
      </c>
      <c r="I457" s="707">
        <v>9.62</v>
      </c>
      <c r="J457" s="713">
        <v>441.56</v>
      </c>
      <c r="K457" s="707">
        <v>9.62</v>
      </c>
      <c r="L457" s="713">
        <v>400.91</v>
      </c>
      <c r="M457" s="695">
        <f t="shared" si="73"/>
        <v>0.023995410441246163</v>
      </c>
      <c r="N457" s="692">
        <v>314.4</v>
      </c>
      <c r="O457" s="696">
        <f t="shared" si="74"/>
        <v>7.544157042727793</v>
      </c>
      <c r="P457" s="696">
        <f t="shared" si="75"/>
        <v>1439.7246264747698</v>
      </c>
      <c r="Q457" s="697">
        <f t="shared" si="76"/>
        <v>452.6494225636676</v>
      </c>
      <c r="S457" s="63"/>
      <c r="T457" s="63"/>
    </row>
    <row r="458" spans="1:20" ht="12.75">
      <c r="A458" s="1355"/>
      <c r="B458" s="29">
        <v>5</v>
      </c>
      <c r="C458" s="795" t="s">
        <v>296</v>
      </c>
      <c r="D458" s="518">
        <v>10</v>
      </c>
      <c r="E458" s="518">
        <v>1925</v>
      </c>
      <c r="F458" s="707">
        <f t="shared" si="72"/>
        <v>13.280000000000001</v>
      </c>
      <c r="G458" s="707">
        <v>0.7</v>
      </c>
      <c r="H458" s="707">
        <v>1.52</v>
      </c>
      <c r="I458" s="707">
        <v>11.06</v>
      </c>
      <c r="J458" s="713">
        <v>547.67</v>
      </c>
      <c r="K458" s="707">
        <v>11.06</v>
      </c>
      <c r="L458" s="713">
        <v>458.42</v>
      </c>
      <c r="M458" s="695">
        <f t="shared" si="73"/>
        <v>0.024126347018018413</v>
      </c>
      <c r="N458" s="692">
        <v>314.4</v>
      </c>
      <c r="O458" s="696">
        <f t="shared" si="74"/>
        <v>7.5853235024649885</v>
      </c>
      <c r="P458" s="696">
        <f t="shared" si="75"/>
        <v>1447.5808210811047</v>
      </c>
      <c r="Q458" s="697">
        <f t="shared" si="76"/>
        <v>455.1194101478993</v>
      </c>
      <c r="S458" s="63"/>
      <c r="T458" s="63"/>
    </row>
    <row r="459" spans="1:20" ht="12.75">
      <c r="A459" s="1355"/>
      <c r="B459" s="29">
        <v>6</v>
      </c>
      <c r="C459" s="795" t="s">
        <v>297</v>
      </c>
      <c r="D459" s="518">
        <v>5</v>
      </c>
      <c r="E459" s="518">
        <v>1957</v>
      </c>
      <c r="F459" s="707">
        <f t="shared" si="72"/>
        <v>6.02</v>
      </c>
      <c r="G459" s="707">
        <v>0.38</v>
      </c>
      <c r="H459" s="707">
        <v>0.12</v>
      </c>
      <c r="I459" s="707">
        <v>5.52</v>
      </c>
      <c r="J459" s="713">
        <v>351.84</v>
      </c>
      <c r="K459" s="707">
        <v>5.52</v>
      </c>
      <c r="L459" s="713">
        <v>227.58</v>
      </c>
      <c r="M459" s="695">
        <f t="shared" si="73"/>
        <v>0.02425520696018982</v>
      </c>
      <c r="N459" s="692">
        <v>314.4</v>
      </c>
      <c r="O459" s="696">
        <f t="shared" si="74"/>
        <v>7.625837068283679</v>
      </c>
      <c r="P459" s="696">
        <f t="shared" si="75"/>
        <v>1455.3124176113893</v>
      </c>
      <c r="Q459" s="697">
        <f t="shared" si="76"/>
        <v>457.55022409702076</v>
      </c>
      <c r="S459" s="63"/>
      <c r="T459" s="63"/>
    </row>
    <row r="460" spans="1:20" ht="12.75">
      <c r="A460" s="1355"/>
      <c r="B460" s="29">
        <v>7</v>
      </c>
      <c r="C460" s="795" t="s">
        <v>295</v>
      </c>
      <c r="D460" s="518">
        <v>11</v>
      </c>
      <c r="E460" s="518">
        <v>1974</v>
      </c>
      <c r="F460" s="707">
        <f t="shared" si="72"/>
        <v>11.46</v>
      </c>
      <c r="G460" s="707">
        <v>0</v>
      </c>
      <c r="H460" s="707">
        <v>0</v>
      </c>
      <c r="I460" s="707">
        <v>11.46</v>
      </c>
      <c r="J460" s="713">
        <v>1073.94</v>
      </c>
      <c r="K460" s="707">
        <v>11.46</v>
      </c>
      <c r="L460" s="713">
        <v>458.54</v>
      </c>
      <c r="M460" s="695">
        <f t="shared" si="73"/>
        <v>0.024992367078117503</v>
      </c>
      <c r="N460" s="692">
        <v>314.4</v>
      </c>
      <c r="O460" s="696">
        <f t="shared" si="74"/>
        <v>7.857600209360142</v>
      </c>
      <c r="P460" s="696">
        <f t="shared" si="75"/>
        <v>1499.5420246870501</v>
      </c>
      <c r="Q460" s="697">
        <f t="shared" si="76"/>
        <v>471.45601256160853</v>
      </c>
      <c r="S460" s="63"/>
      <c r="T460" s="63"/>
    </row>
    <row r="461" spans="1:20" ht="12.75">
      <c r="A461" s="1355"/>
      <c r="B461" s="29">
        <v>8</v>
      </c>
      <c r="C461" s="795" t="s">
        <v>289</v>
      </c>
      <c r="D461" s="518">
        <v>14</v>
      </c>
      <c r="E461" s="518">
        <v>1969</v>
      </c>
      <c r="F461" s="707">
        <f t="shared" si="72"/>
        <v>14.81</v>
      </c>
      <c r="G461" s="707">
        <v>1.07</v>
      </c>
      <c r="H461" s="707">
        <v>0.35</v>
      </c>
      <c r="I461" s="707">
        <v>13.39</v>
      </c>
      <c r="J461" s="713">
        <v>500.78</v>
      </c>
      <c r="K461" s="707">
        <v>13.39</v>
      </c>
      <c r="L461" s="713">
        <v>500.78</v>
      </c>
      <c r="M461" s="695">
        <f t="shared" si="73"/>
        <v>0.026738288270298338</v>
      </c>
      <c r="N461" s="692">
        <v>314.4</v>
      </c>
      <c r="O461" s="696">
        <f t="shared" si="74"/>
        <v>8.406517832181796</v>
      </c>
      <c r="P461" s="696">
        <f t="shared" si="75"/>
        <v>1604.2972962179003</v>
      </c>
      <c r="Q461" s="697">
        <f t="shared" si="76"/>
        <v>504.3910699309078</v>
      </c>
      <c r="S461" s="63"/>
      <c r="T461" s="63"/>
    </row>
    <row r="462" spans="1:20" ht="12.75">
      <c r="A462" s="1355"/>
      <c r="B462" s="29">
        <v>9</v>
      </c>
      <c r="C462" s="796" t="s">
        <v>298</v>
      </c>
      <c r="D462" s="518">
        <v>7</v>
      </c>
      <c r="E462" s="518">
        <v>1964</v>
      </c>
      <c r="F462" s="707">
        <f t="shared" si="72"/>
        <v>9.29</v>
      </c>
      <c r="G462" s="707">
        <v>0</v>
      </c>
      <c r="H462" s="707">
        <v>0</v>
      </c>
      <c r="I462" s="707">
        <v>9.29</v>
      </c>
      <c r="J462" s="713">
        <v>1329.57</v>
      </c>
      <c r="K462" s="707">
        <v>9.29</v>
      </c>
      <c r="L462" s="713">
        <v>296.86</v>
      </c>
      <c r="M462" s="695">
        <f t="shared" si="73"/>
        <v>0.03129421276022367</v>
      </c>
      <c r="N462" s="692">
        <v>314.4</v>
      </c>
      <c r="O462" s="696">
        <f t="shared" si="74"/>
        <v>9.838900491814321</v>
      </c>
      <c r="P462" s="696">
        <f t="shared" si="75"/>
        <v>1877.6527656134203</v>
      </c>
      <c r="Q462" s="697">
        <f t="shared" si="76"/>
        <v>590.3340295088593</v>
      </c>
      <c r="S462" s="63"/>
      <c r="T462" s="63"/>
    </row>
    <row r="463" spans="1:20" ht="13.5" thickBot="1">
      <c r="A463" s="1356"/>
      <c r="B463" s="33">
        <v>10</v>
      </c>
      <c r="C463" s="797" t="s">
        <v>299</v>
      </c>
      <c r="D463" s="520">
        <v>7</v>
      </c>
      <c r="E463" s="520">
        <v>1973</v>
      </c>
      <c r="F463" s="708">
        <f t="shared" si="72"/>
        <v>9.02</v>
      </c>
      <c r="G463" s="708">
        <v>0</v>
      </c>
      <c r="H463" s="708">
        <v>0</v>
      </c>
      <c r="I463" s="708">
        <v>9.02</v>
      </c>
      <c r="J463" s="714">
        <v>246.04</v>
      </c>
      <c r="K463" s="708">
        <v>9.02</v>
      </c>
      <c r="L463" s="714">
        <v>246.04</v>
      </c>
      <c r="M463" s="698">
        <f t="shared" si="73"/>
        <v>0.03666070557632905</v>
      </c>
      <c r="N463" s="702">
        <v>314.4</v>
      </c>
      <c r="O463" s="699">
        <f t="shared" si="74"/>
        <v>11.526125833197852</v>
      </c>
      <c r="P463" s="699">
        <f t="shared" si="75"/>
        <v>2199.642334579743</v>
      </c>
      <c r="Q463" s="700">
        <f t="shared" si="76"/>
        <v>691.5675499918711</v>
      </c>
      <c r="R463" s="192"/>
      <c r="S463" s="63"/>
      <c r="T463" s="63"/>
    </row>
    <row r="464" spans="19:20" ht="12.75">
      <c r="S464" s="63"/>
      <c r="T464" s="63"/>
    </row>
    <row r="465" spans="1:20" ht="13.5" customHeight="1">
      <c r="A465" s="1199" t="s">
        <v>235</v>
      </c>
      <c r="B465" s="1199"/>
      <c r="C465" s="1199"/>
      <c r="D465" s="1199"/>
      <c r="E465" s="1199"/>
      <c r="F465" s="1199"/>
      <c r="G465" s="1199"/>
      <c r="H465" s="1199"/>
      <c r="I465" s="1199"/>
      <c r="J465" s="1199"/>
      <c r="K465" s="1199"/>
      <c r="L465" s="1199"/>
      <c r="M465" s="1199"/>
      <c r="N465" s="1199"/>
      <c r="O465" s="1199"/>
      <c r="P465" s="1199"/>
      <c r="Q465" s="1199"/>
      <c r="S465" s="63"/>
      <c r="T465" s="63"/>
    </row>
    <row r="466" spans="1:20" ht="12" customHeight="1" thickBot="1">
      <c r="A466" s="1200" t="s">
        <v>739</v>
      </c>
      <c r="B466" s="1255"/>
      <c r="C466" s="1255"/>
      <c r="D466" s="1255"/>
      <c r="E466" s="1255"/>
      <c r="F466" s="1255"/>
      <c r="G466" s="1255"/>
      <c r="H466" s="1255"/>
      <c r="I466" s="1255"/>
      <c r="J466" s="1255"/>
      <c r="K466" s="1255"/>
      <c r="L466" s="1255"/>
      <c r="M466" s="1255"/>
      <c r="N466" s="1255"/>
      <c r="O466" s="1255"/>
      <c r="P466" s="1255"/>
      <c r="Q466" s="1255"/>
      <c r="S466" s="63"/>
      <c r="T466" s="63"/>
    </row>
    <row r="467" spans="1:20" ht="12.75" customHeight="1">
      <c r="A467" s="1201" t="s">
        <v>1</v>
      </c>
      <c r="B467" s="1203" t="s">
        <v>0</v>
      </c>
      <c r="C467" s="1193" t="s">
        <v>2</v>
      </c>
      <c r="D467" s="1193" t="s">
        <v>3</v>
      </c>
      <c r="E467" s="1193" t="s">
        <v>13</v>
      </c>
      <c r="F467" s="1207" t="s">
        <v>14</v>
      </c>
      <c r="G467" s="1208"/>
      <c r="H467" s="1208"/>
      <c r="I467" s="1209"/>
      <c r="J467" s="1193" t="s">
        <v>4</v>
      </c>
      <c r="K467" s="1193" t="s">
        <v>15</v>
      </c>
      <c r="L467" s="1193" t="s">
        <v>5</v>
      </c>
      <c r="M467" s="1193" t="s">
        <v>6</v>
      </c>
      <c r="N467" s="1193" t="s">
        <v>16</v>
      </c>
      <c r="O467" s="1195" t="s">
        <v>17</v>
      </c>
      <c r="P467" s="1193" t="s">
        <v>25</v>
      </c>
      <c r="Q467" s="1197" t="s">
        <v>26</v>
      </c>
      <c r="S467" s="63"/>
      <c r="T467" s="63"/>
    </row>
    <row r="468" spans="1:20" s="2" customFormat="1" ht="33.75">
      <c r="A468" s="1202"/>
      <c r="B468" s="1204"/>
      <c r="C468" s="1205"/>
      <c r="D468" s="1194"/>
      <c r="E468" s="1194"/>
      <c r="F468" s="26" t="s">
        <v>18</v>
      </c>
      <c r="G468" s="26" t="s">
        <v>19</v>
      </c>
      <c r="H468" s="26" t="s">
        <v>20</v>
      </c>
      <c r="I468" s="26" t="s">
        <v>21</v>
      </c>
      <c r="J468" s="1194"/>
      <c r="K468" s="1194"/>
      <c r="L468" s="1194"/>
      <c r="M468" s="1194"/>
      <c r="N468" s="1194"/>
      <c r="O468" s="1196"/>
      <c r="P468" s="1194"/>
      <c r="Q468" s="1198"/>
      <c r="S468" s="63"/>
      <c r="T468" s="63"/>
    </row>
    <row r="469" spans="1:20" s="3" customFormat="1" ht="10.5" customHeight="1" thickBot="1">
      <c r="A469" s="1259"/>
      <c r="B469" s="1256"/>
      <c r="C469" s="1206"/>
      <c r="D469" s="42" t="s">
        <v>7</v>
      </c>
      <c r="E469" s="42" t="s">
        <v>8</v>
      </c>
      <c r="F469" s="42" t="s">
        <v>9</v>
      </c>
      <c r="G469" s="42" t="s">
        <v>9</v>
      </c>
      <c r="H469" s="42" t="s">
        <v>9</v>
      </c>
      <c r="I469" s="42" t="s">
        <v>9</v>
      </c>
      <c r="J469" s="42" t="s">
        <v>22</v>
      </c>
      <c r="K469" s="42" t="s">
        <v>9</v>
      </c>
      <c r="L469" s="42" t="s">
        <v>22</v>
      </c>
      <c r="M469" s="42" t="s">
        <v>23</v>
      </c>
      <c r="N469" s="42" t="s">
        <v>10</v>
      </c>
      <c r="O469" s="42" t="s">
        <v>24</v>
      </c>
      <c r="P469" s="43" t="s">
        <v>27</v>
      </c>
      <c r="Q469" s="44" t="s">
        <v>28</v>
      </c>
      <c r="S469" s="63"/>
      <c r="T469" s="63"/>
    </row>
    <row r="470" spans="1:20" s="67" customFormat="1" ht="12.75">
      <c r="A470" s="1341" t="s">
        <v>11</v>
      </c>
      <c r="B470" s="74">
        <v>1</v>
      </c>
      <c r="C470" s="870" t="s">
        <v>300</v>
      </c>
      <c r="D470" s="871">
        <v>58</v>
      </c>
      <c r="E470" s="872">
        <v>1975</v>
      </c>
      <c r="F470" s="954">
        <v>38.958006</v>
      </c>
      <c r="G470" s="955">
        <v>6.094500000000001</v>
      </c>
      <c r="H470" s="955">
        <v>9.52</v>
      </c>
      <c r="I470" s="955">
        <v>23.343506</v>
      </c>
      <c r="J470" s="950">
        <v>2706.9700000000003</v>
      </c>
      <c r="K470" s="955">
        <v>23.343506</v>
      </c>
      <c r="L470" s="950">
        <v>2706.9700000000003</v>
      </c>
      <c r="M470" s="956">
        <v>0.008623481604894033</v>
      </c>
      <c r="N470" s="957">
        <v>314.574</v>
      </c>
      <c r="O470" s="958">
        <v>2.7127231023779355</v>
      </c>
      <c r="P470" s="958">
        <v>517.408896293642</v>
      </c>
      <c r="Q470" s="1080">
        <v>162.76338614267615</v>
      </c>
      <c r="R470" s="73"/>
      <c r="S470" s="63"/>
      <c r="T470" s="63"/>
    </row>
    <row r="471" spans="1:20" s="67" customFormat="1" ht="12.75">
      <c r="A471" s="1342"/>
      <c r="B471" s="66">
        <v>2</v>
      </c>
      <c r="C471" s="870" t="s">
        <v>301</v>
      </c>
      <c r="D471" s="871">
        <v>49</v>
      </c>
      <c r="E471" s="872">
        <v>1969</v>
      </c>
      <c r="F471" s="954">
        <v>37.526046</v>
      </c>
      <c r="G471" s="955">
        <v>4.539</v>
      </c>
      <c r="H471" s="955">
        <v>7.84</v>
      </c>
      <c r="I471" s="955">
        <v>25.147046</v>
      </c>
      <c r="J471" s="950">
        <v>2600.39</v>
      </c>
      <c r="K471" s="955">
        <v>25.147046</v>
      </c>
      <c r="L471" s="950">
        <v>2528.6</v>
      </c>
      <c r="M471" s="956">
        <v>0.009945047061615123</v>
      </c>
      <c r="N471" s="957">
        <v>314.574</v>
      </c>
      <c r="O471" s="958">
        <v>3.128453234360516</v>
      </c>
      <c r="P471" s="958">
        <v>596.7028236969074</v>
      </c>
      <c r="Q471" s="1081">
        <v>187.70719406163096</v>
      </c>
      <c r="S471" s="63"/>
      <c r="T471" s="63"/>
    </row>
    <row r="472" spans="1:20" s="67" customFormat="1" ht="12.75">
      <c r="A472" s="1342"/>
      <c r="B472" s="66">
        <v>3</v>
      </c>
      <c r="C472" s="870" t="s">
        <v>305</v>
      </c>
      <c r="D472" s="871">
        <v>59</v>
      </c>
      <c r="E472" s="872">
        <v>1974</v>
      </c>
      <c r="F472" s="954">
        <v>44.463998000000004</v>
      </c>
      <c r="G472" s="955">
        <v>5.7885</v>
      </c>
      <c r="H472" s="955">
        <v>9.6</v>
      </c>
      <c r="I472" s="955">
        <v>29.075498</v>
      </c>
      <c r="J472" s="950">
        <v>2729.69</v>
      </c>
      <c r="K472" s="955">
        <v>29.075498</v>
      </c>
      <c r="L472" s="950">
        <v>2729.69</v>
      </c>
      <c r="M472" s="956">
        <v>0.010651575087280972</v>
      </c>
      <c r="N472" s="957">
        <v>314.574</v>
      </c>
      <c r="O472" s="958">
        <v>3.350708581506325</v>
      </c>
      <c r="P472" s="958">
        <v>639.0945052368583</v>
      </c>
      <c r="Q472" s="1081">
        <v>201.04251489037944</v>
      </c>
      <c r="S472" s="63"/>
      <c r="T472" s="63"/>
    </row>
    <row r="473" spans="1:20" s="67" customFormat="1" ht="12.75" customHeight="1">
      <c r="A473" s="1342"/>
      <c r="B473" s="66">
        <v>4</v>
      </c>
      <c r="C473" s="870" t="s">
        <v>303</v>
      </c>
      <c r="D473" s="871">
        <v>39</v>
      </c>
      <c r="E473" s="872">
        <v>1990</v>
      </c>
      <c r="F473" s="954">
        <v>35.7</v>
      </c>
      <c r="G473" s="955">
        <v>3.5700000000000003</v>
      </c>
      <c r="H473" s="955">
        <v>6.4</v>
      </c>
      <c r="I473" s="955">
        <v>25.73</v>
      </c>
      <c r="J473" s="950">
        <v>2295.46</v>
      </c>
      <c r="K473" s="955">
        <v>25.73</v>
      </c>
      <c r="L473" s="950">
        <v>2295.46</v>
      </c>
      <c r="M473" s="956">
        <v>0.011209082275448059</v>
      </c>
      <c r="N473" s="957">
        <v>314.574</v>
      </c>
      <c r="O473" s="958">
        <v>3.526085847716798</v>
      </c>
      <c r="P473" s="958">
        <v>672.5449365268835</v>
      </c>
      <c r="Q473" s="1081">
        <v>211.56515086300786</v>
      </c>
      <c r="S473" s="63"/>
      <c r="T473" s="63"/>
    </row>
    <row r="474" spans="1:20" s="67" customFormat="1" ht="12.75">
      <c r="A474" s="1342"/>
      <c r="B474" s="66">
        <v>5</v>
      </c>
      <c r="C474" s="870" t="s">
        <v>302</v>
      </c>
      <c r="D474" s="871">
        <v>58</v>
      </c>
      <c r="E474" s="872">
        <v>1991</v>
      </c>
      <c r="F474" s="954">
        <v>41.721000000000004</v>
      </c>
      <c r="G474" s="955">
        <v>4.7175</v>
      </c>
      <c r="H474" s="955">
        <v>9.44</v>
      </c>
      <c r="I474" s="955">
        <v>27.5635</v>
      </c>
      <c r="J474" s="950">
        <v>2439.79</v>
      </c>
      <c r="K474" s="955">
        <v>27.5635</v>
      </c>
      <c r="L474" s="950">
        <v>2439.79</v>
      </c>
      <c r="M474" s="956">
        <v>0.011297488718291329</v>
      </c>
      <c r="N474" s="957">
        <v>314.574</v>
      </c>
      <c r="O474" s="958">
        <v>3.5538962160677765</v>
      </c>
      <c r="P474" s="958">
        <v>677.8493230974797</v>
      </c>
      <c r="Q474" s="1081">
        <v>213.23377296406656</v>
      </c>
      <c r="S474" s="63"/>
      <c r="T474" s="63"/>
    </row>
    <row r="475" spans="1:20" s="67" customFormat="1" ht="12.75">
      <c r="A475" s="1342"/>
      <c r="B475" s="66">
        <v>6</v>
      </c>
      <c r="C475" s="870" t="s">
        <v>308</v>
      </c>
      <c r="D475" s="871">
        <v>39</v>
      </c>
      <c r="E475" s="872">
        <v>1990</v>
      </c>
      <c r="F475" s="954">
        <v>35.801003</v>
      </c>
      <c r="G475" s="955">
        <v>4.472904</v>
      </c>
      <c r="H475" s="955">
        <v>6.24</v>
      </c>
      <c r="I475" s="955">
        <v>25.088099000000003</v>
      </c>
      <c r="J475" s="950">
        <v>2285.64</v>
      </c>
      <c r="K475" s="955">
        <v>25.088099000000003</v>
      </c>
      <c r="L475" s="950">
        <v>2218.03</v>
      </c>
      <c r="M475" s="956">
        <v>0.011310982718899203</v>
      </c>
      <c r="N475" s="957">
        <v>314.574</v>
      </c>
      <c r="O475" s="958">
        <v>3.558141077814998</v>
      </c>
      <c r="P475" s="958">
        <v>678.6589631339522</v>
      </c>
      <c r="Q475" s="1081">
        <v>213.4884646688999</v>
      </c>
      <c r="S475" s="63"/>
      <c r="T475" s="63"/>
    </row>
    <row r="476" spans="1:20" s="67" customFormat="1" ht="12.75" customHeight="1">
      <c r="A476" s="1342"/>
      <c r="B476" s="66">
        <v>7</v>
      </c>
      <c r="C476" s="870" t="s">
        <v>306</v>
      </c>
      <c r="D476" s="871">
        <v>50</v>
      </c>
      <c r="E476" s="872">
        <v>1971</v>
      </c>
      <c r="F476" s="954">
        <v>43.381002</v>
      </c>
      <c r="G476" s="955">
        <v>5.202000000000001</v>
      </c>
      <c r="H476" s="955">
        <v>8</v>
      </c>
      <c r="I476" s="955">
        <v>30.179002</v>
      </c>
      <c r="J476" s="950">
        <v>2601.9</v>
      </c>
      <c r="K476" s="955">
        <v>30.179002</v>
      </c>
      <c r="L476" s="950">
        <v>2601.9</v>
      </c>
      <c r="M476" s="956">
        <v>0.011598832391713748</v>
      </c>
      <c r="N476" s="957">
        <v>314.574</v>
      </c>
      <c r="O476" s="958">
        <v>3.648691100790961</v>
      </c>
      <c r="P476" s="958">
        <v>695.9299435028249</v>
      </c>
      <c r="Q476" s="1081">
        <v>218.92146604745764</v>
      </c>
      <c r="S476" s="63"/>
      <c r="T476" s="63"/>
    </row>
    <row r="477" spans="1:20" s="67" customFormat="1" ht="12.75" customHeight="1">
      <c r="A477" s="1342"/>
      <c r="B477" s="66">
        <v>8</v>
      </c>
      <c r="C477" s="870" t="s">
        <v>311</v>
      </c>
      <c r="D477" s="871">
        <v>25</v>
      </c>
      <c r="E477" s="872">
        <v>1993</v>
      </c>
      <c r="F477" s="954">
        <v>23</v>
      </c>
      <c r="G477" s="955">
        <v>3.315</v>
      </c>
      <c r="H477" s="955">
        <v>4</v>
      </c>
      <c r="I477" s="955">
        <v>15.685</v>
      </c>
      <c r="J477" s="950">
        <v>1334.51</v>
      </c>
      <c r="K477" s="955">
        <v>15.685</v>
      </c>
      <c r="L477" s="950">
        <v>1334.51</v>
      </c>
      <c r="M477" s="956">
        <v>0.011753377644228968</v>
      </c>
      <c r="N477" s="957">
        <v>314.574</v>
      </c>
      <c r="O477" s="958">
        <v>3.6973070190556836</v>
      </c>
      <c r="P477" s="958">
        <v>705.2026586537381</v>
      </c>
      <c r="Q477" s="1081">
        <v>221.83842114334104</v>
      </c>
      <c r="S477" s="63"/>
      <c r="T477" s="63"/>
    </row>
    <row r="478" spans="1:20" s="67" customFormat="1" ht="12.75">
      <c r="A478" s="1342"/>
      <c r="B478" s="66">
        <v>9</v>
      </c>
      <c r="C478" s="870" t="s">
        <v>309</v>
      </c>
      <c r="D478" s="871">
        <v>30</v>
      </c>
      <c r="E478" s="872">
        <v>1974</v>
      </c>
      <c r="F478" s="954">
        <v>27.999997999999998</v>
      </c>
      <c r="G478" s="955">
        <v>2.64027</v>
      </c>
      <c r="H478" s="955">
        <v>4.8</v>
      </c>
      <c r="I478" s="955">
        <v>20.559728</v>
      </c>
      <c r="J478" s="950">
        <v>1743.53</v>
      </c>
      <c r="K478" s="955">
        <v>20.559728</v>
      </c>
      <c r="L478" s="950">
        <v>1743.53</v>
      </c>
      <c r="M478" s="956">
        <v>0.011792012755731189</v>
      </c>
      <c r="N478" s="957">
        <v>314.574</v>
      </c>
      <c r="O478" s="958">
        <v>3.709460620621383</v>
      </c>
      <c r="P478" s="958">
        <v>707.5207653438713</v>
      </c>
      <c r="Q478" s="1081">
        <v>222.56763723728295</v>
      </c>
      <c r="S478" s="63"/>
      <c r="T478" s="63"/>
    </row>
    <row r="479" spans="1:20" s="67" customFormat="1" ht="13.5" thickBot="1">
      <c r="A479" s="1343"/>
      <c r="B479" s="72">
        <v>10</v>
      </c>
      <c r="C479" s="1071" t="s">
        <v>312</v>
      </c>
      <c r="D479" s="1072">
        <v>50</v>
      </c>
      <c r="E479" s="1073">
        <v>1971</v>
      </c>
      <c r="F479" s="1074">
        <v>43.100001</v>
      </c>
      <c r="G479" s="1075">
        <v>4.5645</v>
      </c>
      <c r="H479" s="1075">
        <v>8</v>
      </c>
      <c r="I479" s="1075">
        <v>30.535501</v>
      </c>
      <c r="J479" s="1076">
        <v>2564.8</v>
      </c>
      <c r="K479" s="1075">
        <v>30.535501</v>
      </c>
      <c r="L479" s="1076">
        <v>2564.8</v>
      </c>
      <c r="M479" s="1077">
        <v>0.011905607064878353</v>
      </c>
      <c r="N479" s="1078">
        <v>314.574</v>
      </c>
      <c r="O479" s="1079">
        <v>3.745194436827043</v>
      </c>
      <c r="P479" s="1079">
        <v>714.3364238927011</v>
      </c>
      <c r="Q479" s="1082">
        <v>224.71166620962254</v>
      </c>
      <c r="S479" s="63"/>
      <c r="T479" s="63"/>
    </row>
    <row r="480" spans="1:20" s="67" customFormat="1" ht="11.25" customHeight="1">
      <c r="A480" s="1323" t="s">
        <v>33</v>
      </c>
      <c r="B480" s="410">
        <v>1</v>
      </c>
      <c r="C480" s="1062" t="s">
        <v>310</v>
      </c>
      <c r="D480" s="1063">
        <v>48</v>
      </c>
      <c r="E480" s="1064">
        <v>1970</v>
      </c>
      <c r="F480" s="1065">
        <v>40.895586</v>
      </c>
      <c r="G480" s="1066">
        <v>3.8097000000000003</v>
      </c>
      <c r="H480" s="1066">
        <v>7.68</v>
      </c>
      <c r="I480" s="1066">
        <v>29.405886000000002</v>
      </c>
      <c r="J480" s="1067">
        <v>2597.12</v>
      </c>
      <c r="K480" s="1066">
        <v>29.405886000000002</v>
      </c>
      <c r="L480" s="1067">
        <v>2461.48</v>
      </c>
      <c r="M480" s="1068">
        <v>0.011946424915091734</v>
      </c>
      <c r="N480" s="1069">
        <v>314.574</v>
      </c>
      <c r="O480" s="1070">
        <v>3.7580346712400674</v>
      </c>
      <c r="P480" s="1070">
        <v>716.785494905504</v>
      </c>
      <c r="Q480" s="1083">
        <v>225.48208027440404</v>
      </c>
      <c r="S480" s="63"/>
      <c r="T480" s="63"/>
    </row>
    <row r="481" spans="1:20" s="67" customFormat="1" ht="12.75" customHeight="1">
      <c r="A481" s="1185"/>
      <c r="B481" s="407">
        <v>2</v>
      </c>
      <c r="C481" s="873" t="s">
        <v>317</v>
      </c>
      <c r="D481" s="874">
        <v>51</v>
      </c>
      <c r="E481" s="875">
        <v>1972</v>
      </c>
      <c r="F481" s="959">
        <v>44.239999</v>
      </c>
      <c r="G481" s="960">
        <v>4.5135000000000005</v>
      </c>
      <c r="H481" s="960">
        <v>8</v>
      </c>
      <c r="I481" s="960">
        <v>31.726499</v>
      </c>
      <c r="J481" s="951">
        <v>2608.15</v>
      </c>
      <c r="K481" s="960">
        <v>31.726499</v>
      </c>
      <c r="L481" s="951">
        <v>2608.15</v>
      </c>
      <c r="M481" s="961">
        <v>0.01216436899718191</v>
      </c>
      <c r="N481" s="962">
        <v>314.574</v>
      </c>
      <c r="O481" s="963">
        <v>3.8265942129195025</v>
      </c>
      <c r="P481" s="963">
        <v>729.8621398309147</v>
      </c>
      <c r="Q481" s="1084">
        <v>229.59565277517015</v>
      </c>
      <c r="S481" s="63"/>
      <c r="T481" s="63"/>
    </row>
    <row r="482" spans="1:20" s="67" customFormat="1" ht="12.75" customHeight="1">
      <c r="A482" s="1185"/>
      <c r="B482" s="407">
        <v>3</v>
      </c>
      <c r="C482" s="873" t="s">
        <v>307</v>
      </c>
      <c r="D482" s="874">
        <v>82</v>
      </c>
      <c r="E482" s="875">
        <v>1995</v>
      </c>
      <c r="F482" s="959">
        <v>84.99999700000001</v>
      </c>
      <c r="G482" s="960">
        <v>9.639</v>
      </c>
      <c r="H482" s="960">
        <v>14.4</v>
      </c>
      <c r="I482" s="960">
        <v>60.960997</v>
      </c>
      <c r="J482" s="951">
        <v>5009.12</v>
      </c>
      <c r="K482" s="960">
        <v>60.960997</v>
      </c>
      <c r="L482" s="951">
        <v>5009.12</v>
      </c>
      <c r="M482" s="961">
        <v>0.012170001317596704</v>
      </c>
      <c r="N482" s="962">
        <v>314.574</v>
      </c>
      <c r="O482" s="963">
        <v>3.8283659944816657</v>
      </c>
      <c r="P482" s="963">
        <v>730.2000790558022</v>
      </c>
      <c r="Q482" s="1084">
        <v>229.70195966889995</v>
      </c>
      <c r="S482" s="63"/>
      <c r="T482" s="63"/>
    </row>
    <row r="483" spans="1:20" s="67" customFormat="1" ht="12.75" customHeight="1">
      <c r="A483" s="1185"/>
      <c r="B483" s="407">
        <v>4</v>
      </c>
      <c r="C483" s="873" t="s">
        <v>304</v>
      </c>
      <c r="D483" s="874">
        <v>30</v>
      </c>
      <c r="E483" s="875">
        <v>1990</v>
      </c>
      <c r="F483" s="959">
        <v>29.200003000000002</v>
      </c>
      <c r="G483" s="960">
        <v>4.6665</v>
      </c>
      <c r="H483" s="960">
        <v>4.8</v>
      </c>
      <c r="I483" s="960">
        <v>19.733503000000002</v>
      </c>
      <c r="J483" s="951">
        <v>1613.04</v>
      </c>
      <c r="K483" s="960">
        <v>19.733503000000002</v>
      </c>
      <c r="L483" s="951">
        <v>1613.04</v>
      </c>
      <c r="M483" s="961">
        <v>0.012233734439319547</v>
      </c>
      <c r="N483" s="962">
        <v>314.574</v>
      </c>
      <c r="O483" s="963">
        <v>3.8484147775145074</v>
      </c>
      <c r="P483" s="963">
        <v>734.0240663591728</v>
      </c>
      <c r="Q483" s="1084">
        <v>230.90488665087042</v>
      </c>
      <c r="S483" s="63"/>
      <c r="T483" s="63"/>
    </row>
    <row r="484" spans="1:20" s="67" customFormat="1" ht="12.75" customHeight="1">
      <c r="A484" s="1185"/>
      <c r="B484" s="407">
        <v>5</v>
      </c>
      <c r="C484" s="873" t="s">
        <v>314</v>
      </c>
      <c r="D484" s="874">
        <v>59</v>
      </c>
      <c r="E484" s="875">
        <v>1991</v>
      </c>
      <c r="F484" s="959">
        <v>46.275001</v>
      </c>
      <c r="G484" s="960">
        <v>4.633452</v>
      </c>
      <c r="H484" s="960">
        <v>9.6</v>
      </c>
      <c r="I484" s="960">
        <v>32.041549</v>
      </c>
      <c r="J484" s="951">
        <v>2442.55</v>
      </c>
      <c r="K484" s="960">
        <v>32.041549</v>
      </c>
      <c r="L484" s="951">
        <v>2442.55</v>
      </c>
      <c r="M484" s="961">
        <v>0.0131180729156005</v>
      </c>
      <c r="N484" s="962">
        <v>314.574</v>
      </c>
      <c r="O484" s="963">
        <v>4.126604669352112</v>
      </c>
      <c r="P484" s="963">
        <v>787.08437493603</v>
      </c>
      <c r="Q484" s="1084">
        <v>247.5962801611267</v>
      </c>
      <c r="S484" s="63"/>
      <c r="T484" s="63"/>
    </row>
    <row r="485" spans="1:20" s="67" customFormat="1" ht="12.75" customHeight="1">
      <c r="A485" s="1185"/>
      <c r="B485" s="407">
        <v>6</v>
      </c>
      <c r="C485" s="873" t="s">
        <v>316</v>
      </c>
      <c r="D485" s="874">
        <v>40</v>
      </c>
      <c r="E485" s="875">
        <v>1986</v>
      </c>
      <c r="F485" s="959">
        <v>40.574</v>
      </c>
      <c r="G485" s="960">
        <v>3.978</v>
      </c>
      <c r="H485" s="960">
        <v>6.4</v>
      </c>
      <c r="I485" s="960">
        <v>30.195999999999998</v>
      </c>
      <c r="J485" s="951">
        <v>2285.9500000000003</v>
      </c>
      <c r="K485" s="960">
        <v>30.195999999999998</v>
      </c>
      <c r="L485" s="951">
        <v>2285.9500000000003</v>
      </c>
      <c r="M485" s="961">
        <v>0.01320938778188499</v>
      </c>
      <c r="N485" s="962">
        <v>314.574</v>
      </c>
      <c r="O485" s="963">
        <v>4.155329952098689</v>
      </c>
      <c r="P485" s="963">
        <v>792.5632669130994</v>
      </c>
      <c r="Q485" s="1084">
        <v>249.31979712592133</v>
      </c>
      <c r="S485" s="63"/>
      <c r="T485" s="63"/>
    </row>
    <row r="486" spans="1:20" s="67" customFormat="1" ht="12.75" customHeight="1">
      <c r="A486" s="1185"/>
      <c r="B486" s="407">
        <v>7</v>
      </c>
      <c r="C486" s="873" t="s">
        <v>740</v>
      </c>
      <c r="D486" s="874">
        <v>54</v>
      </c>
      <c r="E486" s="875">
        <v>1965</v>
      </c>
      <c r="F486" s="959">
        <v>45.402162000000004</v>
      </c>
      <c r="G486" s="960">
        <v>3.8505000000000003</v>
      </c>
      <c r="H486" s="960">
        <v>8.48</v>
      </c>
      <c r="I486" s="960">
        <v>33.071662</v>
      </c>
      <c r="J486" s="951">
        <v>2546.69</v>
      </c>
      <c r="K486" s="960">
        <v>33.071662</v>
      </c>
      <c r="L486" s="951">
        <v>2491.26</v>
      </c>
      <c r="M486" s="961">
        <v>0.013275074460313256</v>
      </c>
      <c r="N486" s="962">
        <v>314.574</v>
      </c>
      <c r="O486" s="963">
        <v>4.175993273278582</v>
      </c>
      <c r="P486" s="963">
        <v>796.5044676187954</v>
      </c>
      <c r="Q486" s="1084">
        <v>250.55959639671494</v>
      </c>
      <c r="S486" s="63"/>
      <c r="T486" s="63"/>
    </row>
    <row r="487" spans="1:20" s="67" customFormat="1" ht="12.75" customHeight="1">
      <c r="A487" s="1185"/>
      <c r="B487" s="407">
        <v>8</v>
      </c>
      <c r="C487" s="873" t="s">
        <v>313</v>
      </c>
      <c r="D487" s="874">
        <v>50</v>
      </c>
      <c r="E487" s="875">
        <v>1970</v>
      </c>
      <c r="F487" s="959">
        <v>47.327001</v>
      </c>
      <c r="G487" s="960">
        <v>3.9525</v>
      </c>
      <c r="H487" s="960">
        <v>8</v>
      </c>
      <c r="I487" s="960">
        <v>35.374501</v>
      </c>
      <c r="J487" s="951">
        <v>2636.4700000000003</v>
      </c>
      <c r="K487" s="960">
        <v>35.374501</v>
      </c>
      <c r="L487" s="951">
        <v>2636.4700000000003</v>
      </c>
      <c r="M487" s="961">
        <v>0.013417372850819467</v>
      </c>
      <c r="N487" s="962">
        <v>314.574</v>
      </c>
      <c r="O487" s="963">
        <v>4.220756647173683</v>
      </c>
      <c r="P487" s="963">
        <v>805.0423710491681</v>
      </c>
      <c r="Q487" s="1084">
        <v>253.245398830421</v>
      </c>
      <c r="S487" s="63"/>
      <c r="T487" s="63"/>
    </row>
    <row r="488" spans="1:20" s="67" customFormat="1" ht="13.5" customHeight="1">
      <c r="A488" s="1185"/>
      <c r="B488" s="407">
        <v>9</v>
      </c>
      <c r="C488" s="873" t="s">
        <v>315</v>
      </c>
      <c r="D488" s="874">
        <v>49</v>
      </c>
      <c r="E488" s="875">
        <v>1984</v>
      </c>
      <c r="F488" s="959">
        <v>46.406519</v>
      </c>
      <c r="G488" s="960">
        <v>4.284</v>
      </c>
      <c r="H488" s="960">
        <v>7.84</v>
      </c>
      <c r="I488" s="960">
        <v>34.282519</v>
      </c>
      <c r="J488" s="951">
        <v>2586</v>
      </c>
      <c r="K488" s="960">
        <v>34.282519</v>
      </c>
      <c r="L488" s="951">
        <v>2521.39</v>
      </c>
      <c r="M488" s="961">
        <v>0.013596674453376908</v>
      </c>
      <c r="N488" s="962">
        <v>314.574</v>
      </c>
      <c r="O488" s="963">
        <v>4.277160269496588</v>
      </c>
      <c r="P488" s="963">
        <v>815.8004672026144</v>
      </c>
      <c r="Q488" s="1084">
        <v>256.62961616979527</v>
      </c>
      <c r="S488" s="63"/>
      <c r="T488" s="63"/>
    </row>
    <row r="489" spans="1:20" s="67" customFormat="1" ht="12.75" customHeight="1" thickBot="1">
      <c r="A489" s="1186"/>
      <c r="B489" s="446">
        <v>10</v>
      </c>
      <c r="C489" s="1097" t="s">
        <v>741</v>
      </c>
      <c r="D489" s="1098">
        <v>20</v>
      </c>
      <c r="E489" s="1099">
        <v>1985</v>
      </c>
      <c r="F489" s="1100">
        <v>20.700000000000003</v>
      </c>
      <c r="G489" s="1101">
        <v>3.0345</v>
      </c>
      <c r="H489" s="1101">
        <v>3.2</v>
      </c>
      <c r="I489" s="1101">
        <v>14.4655</v>
      </c>
      <c r="J489" s="1102">
        <v>1062.17</v>
      </c>
      <c r="K489" s="1101">
        <v>14.4655</v>
      </c>
      <c r="L489" s="1102">
        <v>1062.17</v>
      </c>
      <c r="M489" s="1103">
        <v>0.013618818079968367</v>
      </c>
      <c r="N489" s="1104">
        <v>314.574</v>
      </c>
      <c r="O489" s="1105">
        <v>4.284126078687969</v>
      </c>
      <c r="P489" s="1105">
        <v>817.129084798102</v>
      </c>
      <c r="Q489" s="1106">
        <v>257.04756472127815</v>
      </c>
      <c r="S489" s="63"/>
      <c r="T489" s="63"/>
    </row>
    <row r="490" spans="1:20" s="67" customFormat="1" ht="12.75">
      <c r="A490" s="1187" t="s">
        <v>30</v>
      </c>
      <c r="B490" s="76">
        <v>1</v>
      </c>
      <c r="C490" s="1087" t="s">
        <v>742</v>
      </c>
      <c r="D490" s="1088">
        <v>18</v>
      </c>
      <c r="E490" s="1089">
        <v>1987</v>
      </c>
      <c r="F490" s="1090">
        <v>27.490001</v>
      </c>
      <c r="G490" s="1091">
        <v>2.04</v>
      </c>
      <c r="H490" s="1091">
        <v>2.88</v>
      </c>
      <c r="I490" s="1091">
        <v>22.570001</v>
      </c>
      <c r="J490" s="1092">
        <v>1175.23</v>
      </c>
      <c r="K490" s="1091">
        <v>22.570001</v>
      </c>
      <c r="L490" s="1092">
        <v>1175.23</v>
      </c>
      <c r="M490" s="1093">
        <v>0.0192047522612595</v>
      </c>
      <c r="N490" s="1094">
        <v>314.574</v>
      </c>
      <c r="O490" s="1095">
        <v>6.041315737833446</v>
      </c>
      <c r="P490" s="1095">
        <v>1152.2851356755698</v>
      </c>
      <c r="Q490" s="1096">
        <v>362.4789442700067</v>
      </c>
      <c r="S490" s="63"/>
      <c r="T490" s="63"/>
    </row>
    <row r="491" spans="1:20" s="67" customFormat="1" ht="12.75">
      <c r="A491" s="1188"/>
      <c r="B491" s="69">
        <v>2</v>
      </c>
      <c r="C491" s="867" t="s">
        <v>743</v>
      </c>
      <c r="D491" s="868">
        <v>16</v>
      </c>
      <c r="E491" s="869">
        <v>1989</v>
      </c>
      <c r="F491" s="964">
        <v>20.816442000000002</v>
      </c>
      <c r="G491" s="965">
        <v>0</v>
      </c>
      <c r="H491" s="965">
        <v>0</v>
      </c>
      <c r="I491" s="965">
        <v>20.816442000000002</v>
      </c>
      <c r="J491" s="952">
        <v>1146.81</v>
      </c>
      <c r="K491" s="965">
        <v>20.816442000000002</v>
      </c>
      <c r="L491" s="952">
        <v>1079.49</v>
      </c>
      <c r="M491" s="966">
        <v>0.019283589472806603</v>
      </c>
      <c r="N491" s="967">
        <v>314.574</v>
      </c>
      <c r="O491" s="968">
        <v>6.0661158748186645</v>
      </c>
      <c r="P491" s="968">
        <v>1157.0153683683961</v>
      </c>
      <c r="Q491" s="1085">
        <v>363.9669524891198</v>
      </c>
      <c r="S491" s="63"/>
      <c r="T491" s="63"/>
    </row>
    <row r="492" spans="1:20" s="67" customFormat="1" ht="12.75" customHeight="1">
      <c r="A492" s="1188"/>
      <c r="B492" s="69">
        <v>3</v>
      </c>
      <c r="C492" s="867" t="s">
        <v>320</v>
      </c>
      <c r="D492" s="868">
        <v>12</v>
      </c>
      <c r="E492" s="869">
        <v>1976</v>
      </c>
      <c r="F492" s="964">
        <v>11.318016000000002</v>
      </c>
      <c r="G492" s="965">
        <v>0.816</v>
      </c>
      <c r="H492" s="965">
        <v>0.12</v>
      </c>
      <c r="I492" s="965">
        <v>10.382016000000002</v>
      </c>
      <c r="J492" s="952">
        <v>536.97</v>
      </c>
      <c r="K492" s="965">
        <v>10.382016000000002</v>
      </c>
      <c r="L492" s="952">
        <v>536.97</v>
      </c>
      <c r="M492" s="966">
        <v>0.019334443264986872</v>
      </c>
      <c r="N492" s="967">
        <v>314.574</v>
      </c>
      <c r="O492" s="968">
        <v>6.082113155639981</v>
      </c>
      <c r="P492" s="968">
        <v>1160.0665958992122</v>
      </c>
      <c r="Q492" s="1085">
        <v>364.9267893383988</v>
      </c>
      <c r="S492" s="63"/>
      <c r="T492" s="63"/>
    </row>
    <row r="493" spans="1:20" s="67" customFormat="1" ht="12.75">
      <c r="A493" s="1188"/>
      <c r="B493" s="69">
        <v>4</v>
      </c>
      <c r="C493" s="867" t="s">
        <v>744</v>
      </c>
      <c r="D493" s="868">
        <v>20</v>
      </c>
      <c r="E493" s="869">
        <v>1985</v>
      </c>
      <c r="F493" s="964">
        <v>25.659001</v>
      </c>
      <c r="G493" s="965">
        <v>1.836</v>
      </c>
      <c r="H493" s="965">
        <v>3.2</v>
      </c>
      <c r="I493" s="965">
        <v>20.623001</v>
      </c>
      <c r="J493" s="952">
        <v>1066.27</v>
      </c>
      <c r="K493" s="965">
        <v>20.623001</v>
      </c>
      <c r="L493" s="952">
        <v>1066.27</v>
      </c>
      <c r="M493" s="966">
        <v>0.01934125596706275</v>
      </c>
      <c r="N493" s="967">
        <v>314.574</v>
      </c>
      <c r="O493" s="968">
        <v>6.084256254582798</v>
      </c>
      <c r="P493" s="968">
        <v>1160.475358023765</v>
      </c>
      <c r="Q493" s="1085">
        <v>365.05537527496784</v>
      </c>
      <c r="S493" s="63"/>
      <c r="T493" s="63"/>
    </row>
    <row r="494" spans="1:20" s="67" customFormat="1" ht="12.75">
      <c r="A494" s="1188"/>
      <c r="B494" s="69">
        <v>5</v>
      </c>
      <c r="C494" s="867" t="s">
        <v>321</v>
      </c>
      <c r="D494" s="868">
        <v>14</v>
      </c>
      <c r="E494" s="869">
        <v>1960</v>
      </c>
      <c r="F494" s="964">
        <v>13.329792000000001</v>
      </c>
      <c r="G494" s="965">
        <v>0.859452</v>
      </c>
      <c r="H494" s="965">
        <v>2.24</v>
      </c>
      <c r="I494" s="965">
        <v>10.23034</v>
      </c>
      <c r="J494" s="952">
        <v>913.0600000000001</v>
      </c>
      <c r="K494" s="965">
        <v>10.23034</v>
      </c>
      <c r="L494" s="952">
        <v>518.33</v>
      </c>
      <c r="M494" s="966">
        <v>0.01973711728049698</v>
      </c>
      <c r="N494" s="967">
        <v>314.574</v>
      </c>
      <c r="O494" s="968">
        <v>6.208783931395057</v>
      </c>
      <c r="P494" s="968">
        <v>1184.2270368298186</v>
      </c>
      <c r="Q494" s="1085">
        <v>372.5270358837034</v>
      </c>
      <c r="S494" s="63"/>
      <c r="T494" s="63"/>
    </row>
    <row r="495" spans="1:20" s="67" customFormat="1" ht="12.75">
      <c r="A495" s="1188"/>
      <c r="B495" s="69">
        <v>6</v>
      </c>
      <c r="C495" s="867" t="s">
        <v>745</v>
      </c>
      <c r="D495" s="868">
        <v>36</v>
      </c>
      <c r="E495" s="869">
        <v>1970</v>
      </c>
      <c r="F495" s="964">
        <v>38.958</v>
      </c>
      <c r="G495" s="965">
        <v>2.04</v>
      </c>
      <c r="H495" s="965">
        <v>5.76</v>
      </c>
      <c r="I495" s="965">
        <v>31.158</v>
      </c>
      <c r="J495" s="952">
        <v>1553.75</v>
      </c>
      <c r="K495" s="965">
        <v>31.158</v>
      </c>
      <c r="L495" s="952">
        <v>1553.75</v>
      </c>
      <c r="M495" s="966">
        <v>0.020053419147224458</v>
      </c>
      <c r="N495" s="967">
        <v>314.574</v>
      </c>
      <c r="O495" s="968">
        <v>6.308284274818987</v>
      </c>
      <c r="P495" s="968">
        <v>1203.2051488334673</v>
      </c>
      <c r="Q495" s="1085">
        <v>378.49705648913914</v>
      </c>
      <c r="S495" s="63"/>
      <c r="T495" s="63"/>
    </row>
    <row r="496" spans="1:20" s="67" customFormat="1" ht="12.75">
      <c r="A496" s="1188"/>
      <c r="B496" s="69">
        <v>7</v>
      </c>
      <c r="C496" s="867" t="s">
        <v>319</v>
      </c>
      <c r="D496" s="868">
        <v>18</v>
      </c>
      <c r="E496" s="869">
        <v>1987</v>
      </c>
      <c r="F496" s="964">
        <v>27.619941000000004</v>
      </c>
      <c r="G496" s="965">
        <v>1.377</v>
      </c>
      <c r="H496" s="965">
        <v>2.88</v>
      </c>
      <c r="I496" s="965">
        <v>23.362941000000003</v>
      </c>
      <c r="J496" s="952">
        <v>1157.8700000000001</v>
      </c>
      <c r="K496" s="965">
        <v>23.362941000000003</v>
      </c>
      <c r="L496" s="952">
        <v>1134.7</v>
      </c>
      <c r="M496" s="966">
        <v>0.020589531153608884</v>
      </c>
      <c r="N496" s="967">
        <v>314.574</v>
      </c>
      <c r="O496" s="968">
        <v>6.476931173115362</v>
      </c>
      <c r="P496" s="968">
        <v>1235.371869216533</v>
      </c>
      <c r="Q496" s="1085">
        <v>388.6158703869217</v>
      </c>
      <c r="S496" s="63"/>
      <c r="T496" s="63"/>
    </row>
    <row r="497" spans="1:20" s="67" customFormat="1" ht="12.75">
      <c r="A497" s="1188"/>
      <c r="B497" s="69">
        <v>8</v>
      </c>
      <c r="C497" s="867" t="s">
        <v>325</v>
      </c>
      <c r="D497" s="868">
        <v>14</v>
      </c>
      <c r="E497" s="869">
        <v>1968</v>
      </c>
      <c r="F497" s="964">
        <v>10.695069000000002</v>
      </c>
      <c r="G497" s="965">
        <v>0</v>
      </c>
      <c r="H497" s="965">
        <v>0</v>
      </c>
      <c r="I497" s="965">
        <v>10.695069000000002</v>
      </c>
      <c r="J497" s="952">
        <v>1020.08</v>
      </c>
      <c r="K497" s="965">
        <v>10.695069000000002</v>
      </c>
      <c r="L497" s="952">
        <v>514.91</v>
      </c>
      <c r="M497" s="966">
        <v>0.020770754112369158</v>
      </c>
      <c r="N497" s="967">
        <v>314.574</v>
      </c>
      <c r="O497" s="968">
        <v>6.533939204144416</v>
      </c>
      <c r="P497" s="968">
        <v>1246.2452467421494</v>
      </c>
      <c r="Q497" s="1085">
        <v>392.03635224866497</v>
      </c>
      <c r="S497" s="63"/>
      <c r="T497" s="63"/>
    </row>
    <row r="498" spans="1:20" s="67" customFormat="1" ht="12.75">
      <c r="A498" s="1188"/>
      <c r="B498" s="69">
        <v>9</v>
      </c>
      <c r="C498" s="867" t="s">
        <v>318</v>
      </c>
      <c r="D498" s="868">
        <v>4</v>
      </c>
      <c r="E498" s="869">
        <v>1955</v>
      </c>
      <c r="F498" s="964">
        <v>5.801462</v>
      </c>
      <c r="G498" s="965">
        <v>0.306</v>
      </c>
      <c r="H498" s="965">
        <v>0.64</v>
      </c>
      <c r="I498" s="965">
        <v>4.855462</v>
      </c>
      <c r="J498" s="952">
        <v>294.16</v>
      </c>
      <c r="K498" s="965">
        <v>4.855462</v>
      </c>
      <c r="L498" s="952">
        <v>232.43</v>
      </c>
      <c r="M498" s="966">
        <v>0.020889996988340577</v>
      </c>
      <c r="N498" s="967">
        <v>314.574</v>
      </c>
      <c r="O498" s="968">
        <v>6.571449912610249</v>
      </c>
      <c r="P498" s="968">
        <v>1253.3998193004345</v>
      </c>
      <c r="Q498" s="1085">
        <v>394.2869947566149</v>
      </c>
      <c r="S498" s="63"/>
      <c r="T498" s="63"/>
    </row>
    <row r="499" spans="1:20" s="67" customFormat="1" ht="13.5" thickBot="1">
      <c r="A499" s="1189"/>
      <c r="B499" s="194">
        <v>10</v>
      </c>
      <c r="C499" s="1117" t="s">
        <v>746</v>
      </c>
      <c r="D499" s="1118">
        <v>3</v>
      </c>
      <c r="E499" s="1119">
        <v>1975</v>
      </c>
      <c r="F499" s="1120">
        <v>4.258954999999999</v>
      </c>
      <c r="G499" s="1121">
        <v>0.48450000000000004</v>
      </c>
      <c r="H499" s="1121">
        <v>0.48</v>
      </c>
      <c r="I499" s="1121">
        <v>3.2944549999999997</v>
      </c>
      <c r="J499" s="1122">
        <v>331.17</v>
      </c>
      <c r="K499" s="1121">
        <v>3.2944549999999997</v>
      </c>
      <c r="L499" s="1122">
        <v>153.18</v>
      </c>
      <c r="M499" s="1123">
        <v>0.021507083170126645</v>
      </c>
      <c r="N499" s="1124">
        <v>314.574</v>
      </c>
      <c r="O499" s="1125">
        <v>6.765569181159419</v>
      </c>
      <c r="P499" s="1125">
        <v>1290.4249902075987</v>
      </c>
      <c r="Q499" s="1126">
        <v>405.9341508695652</v>
      </c>
      <c r="S499" s="63"/>
      <c r="T499" s="63"/>
    </row>
    <row r="500" spans="1:20" s="67" customFormat="1" ht="12.75">
      <c r="A500" s="1265" t="s">
        <v>12</v>
      </c>
      <c r="B500" s="148">
        <v>1</v>
      </c>
      <c r="C500" s="1107" t="s">
        <v>322</v>
      </c>
      <c r="D500" s="1108">
        <v>18</v>
      </c>
      <c r="E500" s="1109">
        <v>1989</v>
      </c>
      <c r="F500" s="1110">
        <v>21.681998</v>
      </c>
      <c r="G500" s="1111">
        <v>1.4280000000000002</v>
      </c>
      <c r="H500" s="1111">
        <v>0</v>
      </c>
      <c r="I500" s="1111">
        <v>20.253998</v>
      </c>
      <c r="J500" s="1112">
        <v>937.87</v>
      </c>
      <c r="K500" s="1111">
        <v>20.253998</v>
      </c>
      <c r="L500" s="1112">
        <v>937.87</v>
      </c>
      <c r="M500" s="1113">
        <v>0.021595741414055254</v>
      </c>
      <c r="N500" s="1114">
        <v>314.574</v>
      </c>
      <c r="O500" s="1115">
        <v>6.793458759585017</v>
      </c>
      <c r="P500" s="1115">
        <v>1295.7444848433154</v>
      </c>
      <c r="Q500" s="1116">
        <v>407.6075255751011</v>
      </c>
      <c r="S500" s="63"/>
      <c r="T500" s="63"/>
    </row>
    <row r="501" spans="1:20" s="67" customFormat="1" ht="12.75">
      <c r="A501" s="1359"/>
      <c r="B501" s="78">
        <v>2</v>
      </c>
      <c r="C501" s="876" t="s">
        <v>747</v>
      </c>
      <c r="D501" s="877">
        <v>33</v>
      </c>
      <c r="E501" s="878">
        <v>1930</v>
      </c>
      <c r="F501" s="969">
        <v>32.624706</v>
      </c>
      <c r="G501" s="970">
        <v>2.4506520000000003</v>
      </c>
      <c r="H501" s="970">
        <v>0</v>
      </c>
      <c r="I501" s="970">
        <v>30.174054</v>
      </c>
      <c r="J501" s="953">
        <v>1548.33</v>
      </c>
      <c r="K501" s="970">
        <v>30.174054</v>
      </c>
      <c r="L501" s="953">
        <v>1366.25</v>
      </c>
      <c r="M501" s="971">
        <v>0.02208530942360476</v>
      </c>
      <c r="N501" s="972">
        <v>314.574</v>
      </c>
      <c r="O501" s="973">
        <v>6.947464126621044</v>
      </c>
      <c r="P501" s="973">
        <v>1325.1185654162855</v>
      </c>
      <c r="Q501" s="1086">
        <v>416.8478475972626</v>
      </c>
      <c r="S501" s="63"/>
      <c r="T501" s="63"/>
    </row>
    <row r="502" spans="1:20" s="67" customFormat="1" ht="12.75">
      <c r="A502" s="1359"/>
      <c r="B502" s="78">
        <v>3</v>
      </c>
      <c r="C502" s="876" t="s">
        <v>328</v>
      </c>
      <c r="D502" s="877">
        <v>11</v>
      </c>
      <c r="E502" s="878">
        <v>1976</v>
      </c>
      <c r="F502" s="969">
        <v>10.971601000000001</v>
      </c>
      <c r="G502" s="970">
        <v>0</v>
      </c>
      <c r="H502" s="970">
        <v>0</v>
      </c>
      <c r="I502" s="970">
        <v>10.971601000000001</v>
      </c>
      <c r="J502" s="953">
        <v>543.66</v>
      </c>
      <c r="K502" s="970">
        <v>10.971601000000001</v>
      </c>
      <c r="L502" s="953">
        <v>496.05</v>
      </c>
      <c r="M502" s="971">
        <v>0.022117933676040723</v>
      </c>
      <c r="N502" s="972">
        <v>314.574</v>
      </c>
      <c r="O502" s="973">
        <v>6.9577268682068345</v>
      </c>
      <c r="P502" s="973">
        <v>1327.0760205624435</v>
      </c>
      <c r="Q502" s="1086">
        <v>417.46361209241013</v>
      </c>
      <c r="S502" s="63"/>
      <c r="T502" s="63"/>
    </row>
    <row r="503" spans="1:20" s="67" customFormat="1" ht="12.75">
      <c r="A503" s="1359"/>
      <c r="B503" s="78">
        <v>4</v>
      </c>
      <c r="C503" s="876" t="s">
        <v>324</v>
      </c>
      <c r="D503" s="877">
        <v>48</v>
      </c>
      <c r="E503" s="878">
        <v>1964</v>
      </c>
      <c r="F503" s="969">
        <v>23.100407</v>
      </c>
      <c r="G503" s="970">
        <v>3.61794</v>
      </c>
      <c r="H503" s="970">
        <v>0</v>
      </c>
      <c r="I503" s="970">
        <v>19.482467</v>
      </c>
      <c r="J503" s="953">
        <v>1215.63</v>
      </c>
      <c r="K503" s="970">
        <v>19.482467</v>
      </c>
      <c r="L503" s="953">
        <v>863.98</v>
      </c>
      <c r="M503" s="971">
        <v>0.02254967360355564</v>
      </c>
      <c r="N503" s="972">
        <v>314.574</v>
      </c>
      <c r="O503" s="973">
        <v>7.093541024164912</v>
      </c>
      <c r="P503" s="973">
        <v>1352.9804162133382</v>
      </c>
      <c r="Q503" s="1086">
        <v>425.6124614498947</v>
      </c>
      <c r="S503" s="63"/>
      <c r="T503" s="63"/>
    </row>
    <row r="504" spans="1:20" s="67" customFormat="1" ht="12.75" customHeight="1">
      <c r="A504" s="1359"/>
      <c r="B504" s="78">
        <v>5</v>
      </c>
      <c r="C504" s="876" t="s">
        <v>323</v>
      </c>
      <c r="D504" s="877">
        <v>19</v>
      </c>
      <c r="E504" s="878">
        <v>1980</v>
      </c>
      <c r="F504" s="969">
        <v>26.221719000000004</v>
      </c>
      <c r="G504" s="970">
        <v>1.173</v>
      </c>
      <c r="H504" s="970">
        <v>3.04</v>
      </c>
      <c r="I504" s="970">
        <v>22.008719000000003</v>
      </c>
      <c r="J504" s="953">
        <v>1049.46</v>
      </c>
      <c r="K504" s="970">
        <v>22.008719000000003</v>
      </c>
      <c r="L504" s="953">
        <v>972.23</v>
      </c>
      <c r="M504" s="971">
        <v>0.022637358443989595</v>
      </c>
      <c r="N504" s="972">
        <v>314.574</v>
      </c>
      <c r="O504" s="973">
        <v>7.121124395159583</v>
      </c>
      <c r="P504" s="973">
        <v>1358.2415066393755</v>
      </c>
      <c r="Q504" s="1086">
        <v>427.26746370957494</v>
      </c>
      <c r="S504" s="63"/>
      <c r="T504" s="63"/>
    </row>
    <row r="505" spans="1:20" s="67" customFormat="1" ht="12.75">
      <c r="A505" s="1359"/>
      <c r="B505" s="78">
        <v>6</v>
      </c>
      <c r="C505" s="876" t="s">
        <v>326</v>
      </c>
      <c r="D505" s="877">
        <v>17</v>
      </c>
      <c r="E505" s="878">
        <v>1983</v>
      </c>
      <c r="F505" s="969">
        <v>31.436999</v>
      </c>
      <c r="G505" s="970">
        <v>1.479</v>
      </c>
      <c r="H505" s="970">
        <v>2.88</v>
      </c>
      <c r="I505" s="970">
        <v>27.077999000000002</v>
      </c>
      <c r="J505" s="953">
        <v>1153.81</v>
      </c>
      <c r="K505" s="970">
        <v>27.077999000000002</v>
      </c>
      <c r="L505" s="953">
        <v>1153.81</v>
      </c>
      <c r="M505" s="971">
        <v>0.023468334474480202</v>
      </c>
      <c r="N505" s="972">
        <v>314.574</v>
      </c>
      <c r="O505" s="973">
        <v>7.382527848975135</v>
      </c>
      <c r="P505" s="973">
        <v>1408.100068468812</v>
      </c>
      <c r="Q505" s="1086">
        <v>442.9516709385081</v>
      </c>
      <c r="S505" s="63"/>
      <c r="T505" s="63"/>
    </row>
    <row r="506" spans="1:20" s="67" customFormat="1" ht="12.75" customHeight="1">
      <c r="A506" s="1359"/>
      <c r="B506" s="78">
        <v>7</v>
      </c>
      <c r="C506" s="876" t="s">
        <v>327</v>
      </c>
      <c r="D506" s="877">
        <v>12</v>
      </c>
      <c r="E506" s="878">
        <v>1968</v>
      </c>
      <c r="F506" s="969">
        <v>13.876999</v>
      </c>
      <c r="G506" s="970">
        <v>0.612</v>
      </c>
      <c r="H506" s="970">
        <v>0.12</v>
      </c>
      <c r="I506" s="970">
        <v>13.144999</v>
      </c>
      <c r="J506" s="953">
        <v>536.53</v>
      </c>
      <c r="K506" s="970">
        <v>13.144999</v>
      </c>
      <c r="L506" s="953">
        <v>536.53</v>
      </c>
      <c r="M506" s="971">
        <v>0.02450002609360148</v>
      </c>
      <c r="N506" s="972">
        <v>314.574</v>
      </c>
      <c r="O506" s="973">
        <v>7.707071208368592</v>
      </c>
      <c r="P506" s="973">
        <v>1470.0015656160888</v>
      </c>
      <c r="Q506" s="1086">
        <v>462.4242725021155</v>
      </c>
      <c r="S506" s="63"/>
      <c r="T506" s="63"/>
    </row>
    <row r="507" spans="1:20" s="67" customFormat="1" ht="12.75" customHeight="1">
      <c r="A507" s="1359"/>
      <c r="B507" s="78">
        <v>8</v>
      </c>
      <c r="C507" s="876" t="s">
        <v>331</v>
      </c>
      <c r="D507" s="877">
        <v>6</v>
      </c>
      <c r="E507" s="878">
        <v>1968</v>
      </c>
      <c r="F507" s="969">
        <v>6.514998</v>
      </c>
      <c r="G507" s="970">
        <v>0</v>
      </c>
      <c r="H507" s="970">
        <v>0</v>
      </c>
      <c r="I507" s="970">
        <v>6.514998</v>
      </c>
      <c r="J507" s="953">
        <v>252.14000000000001</v>
      </c>
      <c r="K507" s="970">
        <v>6.514998</v>
      </c>
      <c r="L507" s="953">
        <v>252.14000000000001</v>
      </c>
      <c r="M507" s="971">
        <v>0.0258388117712382</v>
      </c>
      <c r="N507" s="972">
        <v>314.574</v>
      </c>
      <c r="O507" s="973">
        <v>8.128218374125487</v>
      </c>
      <c r="P507" s="973">
        <v>1550.328706274292</v>
      </c>
      <c r="Q507" s="1086">
        <v>487.69310244752916</v>
      </c>
      <c r="S507" s="63"/>
      <c r="T507" s="63"/>
    </row>
    <row r="508" spans="1:20" s="67" customFormat="1" ht="12.75" customHeight="1">
      <c r="A508" s="1359"/>
      <c r="B508" s="78">
        <v>9</v>
      </c>
      <c r="C508" s="876" t="s">
        <v>330</v>
      </c>
      <c r="D508" s="877">
        <v>6</v>
      </c>
      <c r="E508" s="878">
        <v>1961</v>
      </c>
      <c r="F508" s="969">
        <v>10.184</v>
      </c>
      <c r="G508" s="970">
        <v>0</v>
      </c>
      <c r="H508" s="970">
        <v>0</v>
      </c>
      <c r="I508" s="970">
        <v>10.184</v>
      </c>
      <c r="J508" s="953">
        <v>362.24</v>
      </c>
      <c r="K508" s="970">
        <v>10.184</v>
      </c>
      <c r="L508" s="953">
        <v>362.24</v>
      </c>
      <c r="M508" s="971">
        <v>0.028113957597173143</v>
      </c>
      <c r="N508" s="972">
        <v>314.574</v>
      </c>
      <c r="O508" s="973">
        <v>8.843920097173145</v>
      </c>
      <c r="P508" s="973">
        <v>1686.8374558303885</v>
      </c>
      <c r="Q508" s="1086">
        <v>530.6352058303887</v>
      </c>
      <c r="S508" s="63"/>
      <c r="T508" s="63"/>
    </row>
    <row r="509" spans="1:20" s="67" customFormat="1" ht="12.75" customHeight="1" thickBot="1">
      <c r="A509" s="1360"/>
      <c r="B509" s="79">
        <v>10</v>
      </c>
      <c r="C509" s="1127" t="s">
        <v>329</v>
      </c>
      <c r="D509" s="1128">
        <v>5</v>
      </c>
      <c r="E509" s="1129">
        <v>1961</v>
      </c>
      <c r="F509" s="1130">
        <v>6.714238000000001</v>
      </c>
      <c r="G509" s="1131">
        <v>0</v>
      </c>
      <c r="H509" s="1131">
        <v>0</v>
      </c>
      <c r="I509" s="1131">
        <v>6.714238000000001</v>
      </c>
      <c r="J509" s="1132">
        <v>362.23</v>
      </c>
      <c r="K509" s="1131">
        <v>6.714238000000001</v>
      </c>
      <c r="L509" s="1132">
        <v>223.64000000000001</v>
      </c>
      <c r="M509" s="1133">
        <v>0.030022527275979254</v>
      </c>
      <c r="N509" s="1134">
        <v>314.574</v>
      </c>
      <c r="O509" s="1135">
        <v>9.444306495313898</v>
      </c>
      <c r="P509" s="1135">
        <v>1801.3516365587552</v>
      </c>
      <c r="Q509" s="1136">
        <v>566.6583897188339</v>
      </c>
      <c r="S509" s="63"/>
      <c r="T509" s="63"/>
    </row>
    <row r="510" spans="19:20" ht="12.75">
      <c r="S510" s="63"/>
      <c r="T510" s="63"/>
    </row>
    <row r="511" spans="19:20" ht="12.75">
      <c r="S511" s="63"/>
      <c r="T511" s="63"/>
    </row>
    <row r="512" spans="1:20" ht="15">
      <c r="A512" s="1199" t="s">
        <v>59</v>
      </c>
      <c r="B512" s="1199"/>
      <c r="C512" s="1199"/>
      <c r="D512" s="1199"/>
      <c r="E512" s="1199"/>
      <c r="F512" s="1199"/>
      <c r="G512" s="1199"/>
      <c r="H512" s="1199"/>
      <c r="I512" s="1199"/>
      <c r="J512" s="1199"/>
      <c r="K512" s="1199"/>
      <c r="L512" s="1199"/>
      <c r="M512" s="1199"/>
      <c r="N512" s="1199"/>
      <c r="O512" s="1199"/>
      <c r="P512" s="1199"/>
      <c r="Q512" s="1199"/>
      <c r="S512" s="63"/>
      <c r="T512" s="63"/>
    </row>
    <row r="513" spans="1:20" ht="13.5" thickBot="1">
      <c r="A513" s="1200" t="s">
        <v>748</v>
      </c>
      <c r="B513" s="1255"/>
      <c r="C513" s="1255"/>
      <c r="D513" s="1255"/>
      <c r="E513" s="1255"/>
      <c r="F513" s="1255"/>
      <c r="G513" s="1255"/>
      <c r="H513" s="1255"/>
      <c r="I513" s="1255"/>
      <c r="J513" s="1255"/>
      <c r="K513" s="1255"/>
      <c r="L513" s="1255"/>
      <c r="M513" s="1255"/>
      <c r="N513" s="1255"/>
      <c r="O513" s="1255"/>
      <c r="P513" s="1255"/>
      <c r="Q513" s="1255"/>
      <c r="S513" s="63"/>
      <c r="T513" s="63"/>
    </row>
    <row r="514" spans="1:20" ht="12.75" customHeight="1">
      <c r="A514" s="1201" t="s">
        <v>1</v>
      </c>
      <c r="B514" s="1203" t="s">
        <v>0</v>
      </c>
      <c r="C514" s="1193" t="s">
        <v>2</v>
      </c>
      <c r="D514" s="1193" t="s">
        <v>3</v>
      </c>
      <c r="E514" s="1193" t="s">
        <v>13</v>
      </c>
      <c r="F514" s="1207" t="s">
        <v>14</v>
      </c>
      <c r="G514" s="1208"/>
      <c r="H514" s="1208"/>
      <c r="I514" s="1209"/>
      <c r="J514" s="1193" t="s">
        <v>4</v>
      </c>
      <c r="K514" s="1193" t="s">
        <v>15</v>
      </c>
      <c r="L514" s="1193" t="s">
        <v>5</v>
      </c>
      <c r="M514" s="1193" t="s">
        <v>6</v>
      </c>
      <c r="N514" s="1193" t="s">
        <v>16</v>
      </c>
      <c r="O514" s="1195" t="s">
        <v>17</v>
      </c>
      <c r="P514" s="1193" t="s">
        <v>25</v>
      </c>
      <c r="Q514" s="1197" t="s">
        <v>26</v>
      </c>
      <c r="S514" s="63"/>
      <c r="T514" s="63"/>
    </row>
    <row r="515" spans="1:20" s="2" customFormat="1" ht="33.75">
      <c r="A515" s="1202"/>
      <c r="B515" s="1204"/>
      <c r="C515" s="1205"/>
      <c r="D515" s="1194"/>
      <c r="E515" s="1194"/>
      <c r="F515" s="26" t="s">
        <v>18</v>
      </c>
      <c r="G515" s="26" t="s">
        <v>19</v>
      </c>
      <c r="H515" s="26" t="s">
        <v>20</v>
      </c>
      <c r="I515" s="26" t="s">
        <v>21</v>
      </c>
      <c r="J515" s="1194"/>
      <c r="K515" s="1194"/>
      <c r="L515" s="1194"/>
      <c r="M515" s="1194"/>
      <c r="N515" s="1194"/>
      <c r="O515" s="1196"/>
      <c r="P515" s="1194"/>
      <c r="Q515" s="1198"/>
      <c r="S515" s="63"/>
      <c r="T515" s="63"/>
    </row>
    <row r="516" spans="1:20" s="3" customFormat="1" ht="13.5" customHeight="1" thickBot="1">
      <c r="A516" s="1202"/>
      <c r="B516" s="1204"/>
      <c r="C516" s="1206"/>
      <c r="D516" s="42" t="s">
        <v>7</v>
      </c>
      <c r="E516" s="42" t="s">
        <v>8</v>
      </c>
      <c r="F516" s="42" t="s">
        <v>9</v>
      </c>
      <c r="G516" s="42" t="s">
        <v>9</v>
      </c>
      <c r="H516" s="42" t="s">
        <v>9</v>
      </c>
      <c r="I516" s="42" t="s">
        <v>9</v>
      </c>
      <c r="J516" s="42" t="s">
        <v>22</v>
      </c>
      <c r="K516" s="42" t="s">
        <v>9</v>
      </c>
      <c r="L516" s="42" t="s">
        <v>22</v>
      </c>
      <c r="M516" s="42" t="s">
        <v>131</v>
      </c>
      <c r="N516" s="42" t="s">
        <v>10</v>
      </c>
      <c r="O516" s="42" t="s">
        <v>132</v>
      </c>
      <c r="P516" s="43" t="s">
        <v>27</v>
      </c>
      <c r="Q516" s="44" t="s">
        <v>28</v>
      </c>
      <c r="S516" s="63"/>
      <c r="T516" s="63"/>
    </row>
    <row r="517" spans="1:20" ht="12.75">
      <c r="A517" s="1260" t="s">
        <v>11</v>
      </c>
      <c r="B517" s="20">
        <v>1</v>
      </c>
      <c r="C517" s="16" t="s">
        <v>332</v>
      </c>
      <c r="D517" s="21">
        <v>50</v>
      </c>
      <c r="E517" s="21">
        <v>1992</v>
      </c>
      <c r="F517" s="673">
        <f>SUM(G517:I517)</f>
        <v>36.0816</v>
      </c>
      <c r="G517" s="97">
        <v>3.67</v>
      </c>
      <c r="H517" s="97">
        <v>7.84</v>
      </c>
      <c r="I517" s="97">
        <v>24.5716</v>
      </c>
      <c r="J517" s="149">
        <v>2469.68</v>
      </c>
      <c r="K517" s="97">
        <v>24.5716</v>
      </c>
      <c r="L517" s="149">
        <v>2469.68</v>
      </c>
      <c r="M517" s="256">
        <f>K517/L517</f>
        <v>0.009949305173139841</v>
      </c>
      <c r="N517" s="666">
        <v>285.3</v>
      </c>
      <c r="O517" s="667">
        <f>M517*N517*1.09</f>
        <v>3.094005074827509</v>
      </c>
      <c r="P517" s="151">
        <f>M517*60*1000</f>
        <v>596.9583103883904</v>
      </c>
      <c r="Q517" s="151">
        <v>185.64030448965056</v>
      </c>
      <c r="R517" s="6"/>
      <c r="S517" s="63"/>
      <c r="T517" s="63"/>
    </row>
    <row r="518" spans="1:20" ht="12.75">
      <c r="A518" s="1211"/>
      <c r="B518" s="21">
        <v>2</v>
      </c>
      <c r="C518" s="16"/>
      <c r="D518" s="149"/>
      <c r="E518" s="149"/>
      <c r="F518" s="97"/>
      <c r="G518" s="97"/>
      <c r="H518" s="97"/>
      <c r="I518" s="97"/>
      <c r="J518" s="149"/>
      <c r="K518" s="97"/>
      <c r="L518" s="149"/>
      <c r="M518" s="239"/>
      <c r="N518" s="93"/>
      <c r="O518" s="93"/>
      <c r="P518" s="93"/>
      <c r="Q518" s="240"/>
      <c r="S518" s="63"/>
      <c r="T518" s="63"/>
    </row>
    <row r="519" spans="1:20" ht="12.75">
      <c r="A519" s="1211"/>
      <c r="B519" s="21">
        <v>3</v>
      </c>
      <c r="C519" s="16"/>
      <c r="D519" s="149"/>
      <c r="E519" s="149"/>
      <c r="F519" s="97"/>
      <c r="G519" s="97"/>
      <c r="H519" s="97"/>
      <c r="I519" s="97"/>
      <c r="J519" s="149"/>
      <c r="K519" s="97"/>
      <c r="L519" s="149"/>
      <c r="M519" s="239"/>
      <c r="N519" s="93"/>
      <c r="O519" s="93"/>
      <c r="P519" s="93"/>
      <c r="Q519" s="240"/>
      <c r="S519" s="63"/>
      <c r="T519" s="63"/>
    </row>
    <row r="520" spans="1:20" ht="12.75">
      <c r="A520" s="1211"/>
      <c r="B520" s="21">
        <v>4</v>
      </c>
      <c r="C520" s="16"/>
      <c r="D520" s="149"/>
      <c r="E520" s="149"/>
      <c r="F520" s="97"/>
      <c r="G520" s="97"/>
      <c r="H520" s="97"/>
      <c r="I520" s="97"/>
      <c r="J520" s="149"/>
      <c r="K520" s="97"/>
      <c r="L520" s="149"/>
      <c r="M520" s="239"/>
      <c r="N520" s="93"/>
      <c r="O520" s="93"/>
      <c r="P520" s="93"/>
      <c r="Q520" s="240"/>
      <c r="S520" s="63"/>
      <c r="T520" s="63"/>
    </row>
    <row r="521" spans="1:20" ht="12.75">
      <c r="A521" s="1211"/>
      <c r="B521" s="21">
        <v>5</v>
      </c>
      <c r="C521" s="16"/>
      <c r="D521" s="149"/>
      <c r="E521" s="149"/>
      <c r="F521" s="97"/>
      <c r="G521" s="97"/>
      <c r="H521" s="97"/>
      <c r="I521" s="97"/>
      <c r="J521" s="149"/>
      <c r="K521" s="97"/>
      <c r="L521" s="149"/>
      <c r="M521" s="239"/>
      <c r="N521" s="93"/>
      <c r="O521" s="93"/>
      <c r="P521" s="93"/>
      <c r="Q521" s="240"/>
      <c r="S521" s="63"/>
      <c r="T521" s="63"/>
    </row>
    <row r="522" spans="1:20" ht="12.75">
      <c r="A522" s="1211"/>
      <c r="B522" s="21">
        <v>6</v>
      </c>
      <c r="C522" s="16"/>
      <c r="D522" s="147"/>
      <c r="E522" s="149"/>
      <c r="F522" s="97"/>
      <c r="G522" s="97"/>
      <c r="H522" s="97"/>
      <c r="I522" s="97"/>
      <c r="J522" s="149"/>
      <c r="K522" s="97"/>
      <c r="L522" s="149"/>
      <c r="M522" s="239"/>
      <c r="N522" s="93"/>
      <c r="O522" s="93"/>
      <c r="P522" s="93"/>
      <c r="Q522" s="240"/>
      <c r="S522" s="63"/>
      <c r="T522" s="63"/>
    </row>
    <row r="523" spans="1:20" ht="12.75">
      <c r="A523" s="1211"/>
      <c r="B523" s="21">
        <v>7</v>
      </c>
      <c r="C523" s="16"/>
      <c r="D523" s="147"/>
      <c r="E523" s="149"/>
      <c r="F523" s="97"/>
      <c r="G523" s="97"/>
      <c r="H523" s="97"/>
      <c r="I523" s="97"/>
      <c r="J523" s="149"/>
      <c r="K523" s="97"/>
      <c r="L523" s="149"/>
      <c r="M523" s="239"/>
      <c r="N523" s="93"/>
      <c r="O523" s="93"/>
      <c r="P523" s="93"/>
      <c r="Q523" s="240"/>
      <c r="S523" s="63"/>
      <c r="T523" s="63"/>
    </row>
    <row r="524" spans="1:20" ht="12.75">
      <c r="A524" s="1211"/>
      <c r="B524" s="21">
        <v>8</v>
      </c>
      <c r="C524" s="16"/>
      <c r="D524" s="147"/>
      <c r="E524" s="149"/>
      <c r="F524" s="97"/>
      <c r="G524" s="97"/>
      <c r="H524" s="97"/>
      <c r="I524" s="97"/>
      <c r="J524" s="149"/>
      <c r="K524" s="97"/>
      <c r="L524" s="149"/>
      <c r="M524" s="239"/>
      <c r="N524" s="93"/>
      <c r="O524" s="93"/>
      <c r="P524" s="93"/>
      <c r="Q524" s="240"/>
      <c r="S524" s="63"/>
      <c r="T524" s="63"/>
    </row>
    <row r="525" spans="1:20" ht="12.75">
      <c r="A525" s="1211"/>
      <c r="B525" s="21">
        <v>9</v>
      </c>
      <c r="C525" s="16"/>
      <c r="D525" s="147"/>
      <c r="E525" s="149"/>
      <c r="F525" s="97"/>
      <c r="G525" s="97"/>
      <c r="H525" s="97"/>
      <c r="I525" s="97"/>
      <c r="J525" s="149"/>
      <c r="K525" s="97"/>
      <c r="L525" s="149"/>
      <c r="M525" s="239"/>
      <c r="N525" s="93"/>
      <c r="O525" s="93"/>
      <c r="P525" s="93"/>
      <c r="Q525" s="240"/>
      <c r="S525" s="63"/>
      <c r="T525" s="63"/>
    </row>
    <row r="526" spans="1:20" ht="13.5" thickBot="1">
      <c r="A526" s="1212"/>
      <c r="B526" s="47" t="s">
        <v>43</v>
      </c>
      <c r="C526" s="48"/>
      <c r="D526" s="199"/>
      <c r="E526" s="199"/>
      <c r="F526" s="195"/>
      <c r="G526" s="195"/>
      <c r="H526" s="195"/>
      <c r="I526" s="195"/>
      <c r="J526" s="277"/>
      <c r="K526" s="195"/>
      <c r="L526" s="277"/>
      <c r="M526" s="241"/>
      <c r="N526" s="94"/>
      <c r="O526" s="94"/>
      <c r="P526" s="342"/>
      <c r="Q526" s="95"/>
      <c r="S526" s="63"/>
      <c r="T526" s="63"/>
    </row>
    <row r="527" spans="1:20" ht="11.25" customHeight="1">
      <c r="A527" s="1242" t="s">
        <v>29</v>
      </c>
      <c r="B527" s="404">
        <v>1</v>
      </c>
      <c r="C527" s="429" t="s">
        <v>342</v>
      </c>
      <c r="D527" s="404">
        <v>12</v>
      </c>
      <c r="E527" s="404">
        <v>1979</v>
      </c>
      <c r="F527" s="430">
        <f aca="true" t="shared" si="77" ref="F527:F555">SUM(G527:I527)</f>
        <v>13.599998</v>
      </c>
      <c r="G527" s="430">
        <v>0.7518</v>
      </c>
      <c r="H527" s="430">
        <v>1.84</v>
      </c>
      <c r="I527" s="430">
        <v>11.008198</v>
      </c>
      <c r="J527" s="431">
        <v>715.63</v>
      </c>
      <c r="K527" s="430">
        <v>11.008198</v>
      </c>
      <c r="L527" s="431">
        <v>715.63</v>
      </c>
      <c r="M527" s="445">
        <f aca="true" t="shared" si="78" ref="M527:M555">K527/L527</f>
        <v>0.015382527283652168</v>
      </c>
      <c r="N527" s="420">
        <v>285.3</v>
      </c>
      <c r="O527" s="432">
        <f aca="true" t="shared" si="79" ref="O527:O555">M527*N527*1.09</f>
        <v>4.7836121870883</v>
      </c>
      <c r="P527" s="382">
        <f aca="true" t="shared" si="80" ref="P527:P555">M527*60*1000</f>
        <v>922.9516370191301</v>
      </c>
      <c r="Q527" s="974">
        <v>287.01673122529803</v>
      </c>
      <c r="S527" s="63"/>
      <c r="T527" s="63"/>
    </row>
    <row r="528" spans="1:20" ht="12.75" customHeight="1">
      <c r="A528" s="1243"/>
      <c r="B528" s="377">
        <v>2</v>
      </c>
      <c r="C528" s="414" t="s">
        <v>344</v>
      </c>
      <c r="D528" s="377">
        <v>13</v>
      </c>
      <c r="E528" s="377">
        <v>1981</v>
      </c>
      <c r="F528" s="379">
        <f t="shared" si="77"/>
        <v>16.409999</v>
      </c>
      <c r="G528" s="379">
        <v>2.5239</v>
      </c>
      <c r="H528" s="379">
        <v>1.92</v>
      </c>
      <c r="I528" s="379">
        <v>11.966099</v>
      </c>
      <c r="J528" s="380">
        <v>729.29</v>
      </c>
      <c r="K528" s="379">
        <v>11.966099</v>
      </c>
      <c r="L528" s="380">
        <v>729.29</v>
      </c>
      <c r="M528" s="381">
        <f t="shared" si="78"/>
        <v>0.016407874782322533</v>
      </c>
      <c r="N528" s="420">
        <v>285.3</v>
      </c>
      <c r="O528" s="382">
        <f t="shared" si="79"/>
        <v>5.102471676182315</v>
      </c>
      <c r="P528" s="382">
        <f t="shared" si="80"/>
        <v>984.4724869393519</v>
      </c>
      <c r="Q528" s="815">
        <v>306.1483005709389</v>
      </c>
      <c r="S528" s="63"/>
      <c r="T528" s="63"/>
    </row>
    <row r="529" spans="1:20" ht="12.75" customHeight="1">
      <c r="A529" s="1243"/>
      <c r="B529" s="377">
        <v>3</v>
      </c>
      <c r="C529" s="414" t="s">
        <v>345</v>
      </c>
      <c r="D529" s="377">
        <v>36</v>
      </c>
      <c r="E529" s="377">
        <v>1984</v>
      </c>
      <c r="F529" s="379">
        <f t="shared" si="77"/>
        <v>44.58</v>
      </c>
      <c r="G529" s="379">
        <v>3.957905</v>
      </c>
      <c r="H529" s="379">
        <v>5.76</v>
      </c>
      <c r="I529" s="379">
        <v>34.862095</v>
      </c>
      <c r="J529" s="380">
        <v>2108.99</v>
      </c>
      <c r="K529" s="379">
        <v>34.862095</v>
      </c>
      <c r="L529" s="380">
        <v>2108.99</v>
      </c>
      <c r="M529" s="381">
        <f t="shared" si="78"/>
        <v>0.016530232480950598</v>
      </c>
      <c r="N529" s="420">
        <v>285.3</v>
      </c>
      <c r="O529" s="382">
        <f t="shared" si="79"/>
        <v>5.140522106228575</v>
      </c>
      <c r="P529" s="382">
        <f t="shared" si="80"/>
        <v>991.8139488570359</v>
      </c>
      <c r="Q529" s="815">
        <v>308.4313263737145</v>
      </c>
      <c r="S529" s="63"/>
      <c r="T529" s="63"/>
    </row>
    <row r="530" spans="1:20" ht="12.75" customHeight="1">
      <c r="A530" s="1243"/>
      <c r="B530" s="377">
        <v>4</v>
      </c>
      <c r="C530" s="414" t="s">
        <v>352</v>
      </c>
      <c r="D530" s="377">
        <v>13</v>
      </c>
      <c r="E530" s="377">
        <v>1981</v>
      </c>
      <c r="F530" s="379">
        <f t="shared" si="77"/>
        <v>16.449999</v>
      </c>
      <c r="G530" s="379">
        <v>1.3425</v>
      </c>
      <c r="H530" s="379">
        <v>2.05</v>
      </c>
      <c r="I530" s="379">
        <v>13.057499</v>
      </c>
      <c r="J530" s="380">
        <v>779.03</v>
      </c>
      <c r="K530" s="379">
        <v>13.057499</v>
      </c>
      <c r="L530" s="380">
        <v>779.03</v>
      </c>
      <c r="M530" s="381">
        <f t="shared" si="78"/>
        <v>0.016761227423847606</v>
      </c>
      <c r="N530" s="420">
        <v>285.3</v>
      </c>
      <c r="O530" s="382">
        <f t="shared" si="79"/>
        <v>5.212356220585858</v>
      </c>
      <c r="P530" s="382">
        <f t="shared" si="80"/>
        <v>1005.6736454308564</v>
      </c>
      <c r="Q530" s="815">
        <v>312.74137323515146</v>
      </c>
      <c r="S530" s="63"/>
      <c r="T530" s="63"/>
    </row>
    <row r="531" spans="1:20" ht="12.75" customHeight="1">
      <c r="A531" s="1243"/>
      <c r="B531" s="377">
        <v>5</v>
      </c>
      <c r="C531" s="414" t="s">
        <v>346</v>
      </c>
      <c r="D531" s="377">
        <v>32</v>
      </c>
      <c r="E531" s="377">
        <v>1974</v>
      </c>
      <c r="F531" s="379">
        <f t="shared" si="77"/>
        <v>38.126002</v>
      </c>
      <c r="G531" s="379">
        <v>2.0943</v>
      </c>
      <c r="H531" s="379">
        <v>4.96</v>
      </c>
      <c r="I531" s="379">
        <v>31.071702</v>
      </c>
      <c r="J531" s="380">
        <v>1820.68</v>
      </c>
      <c r="K531" s="379">
        <v>31.071702</v>
      </c>
      <c r="L531" s="380">
        <v>1820.68</v>
      </c>
      <c r="M531" s="381">
        <f t="shared" si="78"/>
        <v>0.01706598743326669</v>
      </c>
      <c r="N531" s="420">
        <v>285.3</v>
      </c>
      <c r="O531" s="382">
        <f t="shared" si="79"/>
        <v>5.307129574034976</v>
      </c>
      <c r="P531" s="382">
        <f t="shared" si="80"/>
        <v>1023.9592459960014</v>
      </c>
      <c r="Q531" s="815">
        <v>318.42777444209855</v>
      </c>
      <c r="S531" s="63"/>
      <c r="T531" s="63"/>
    </row>
    <row r="532" spans="1:20" ht="12.75" customHeight="1">
      <c r="A532" s="1243"/>
      <c r="B532" s="371">
        <v>6</v>
      </c>
      <c r="C532" s="414" t="s">
        <v>349</v>
      </c>
      <c r="D532" s="377">
        <v>13</v>
      </c>
      <c r="E532" s="377">
        <v>1980</v>
      </c>
      <c r="F532" s="379">
        <f t="shared" si="77"/>
        <v>14.469999999999999</v>
      </c>
      <c r="G532" s="379">
        <v>0.537</v>
      </c>
      <c r="H532" s="379">
        <v>1.92</v>
      </c>
      <c r="I532" s="379">
        <v>12.013</v>
      </c>
      <c r="J532" s="380">
        <v>703.82</v>
      </c>
      <c r="K532" s="379">
        <v>12.013</v>
      </c>
      <c r="L532" s="380">
        <v>703.82</v>
      </c>
      <c r="M532" s="381">
        <f t="shared" si="78"/>
        <v>0.017068284504560823</v>
      </c>
      <c r="N532" s="420">
        <v>285.3</v>
      </c>
      <c r="O532" s="382">
        <f t="shared" si="79"/>
        <v>5.307843910374811</v>
      </c>
      <c r="P532" s="382">
        <f t="shared" si="80"/>
        <v>1024.0970702736495</v>
      </c>
      <c r="Q532" s="815">
        <v>318.47063462248866</v>
      </c>
      <c r="S532" s="63"/>
      <c r="T532" s="63"/>
    </row>
    <row r="533" spans="1:20" ht="12.75" customHeight="1">
      <c r="A533" s="1243"/>
      <c r="B533" s="371">
        <v>7</v>
      </c>
      <c r="C533" s="414" t="s">
        <v>343</v>
      </c>
      <c r="D533" s="377">
        <v>26</v>
      </c>
      <c r="E533" s="377">
        <v>1978</v>
      </c>
      <c r="F533" s="379">
        <f t="shared" si="77"/>
        <v>30.502001</v>
      </c>
      <c r="G533" s="379">
        <v>3.0609</v>
      </c>
      <c r="H533" s="379">
        <v>3.785</v>
      </c>
      <c r="I533" s="379">
        <v>23.656101</v>
      </c>
      <c r="J533" s="380">
        <v>1331.23</v>
      </c>
      <c r="K533" s="379">
        <v>23.656101</v>
      </c>
      <c r="L533" s="380">
        <v>1331.23</v>
      </c>
      <c r="M533" s="381">
        <f t="shared" si="78"/>
        <v>0.017770108095520685</v>
      </c>
      <c r="N533" s="420">
        <v>285.3</v>
      </c>
      <c r="O533" s="382">
        <f t="shared" si="79"/>
        <v>5.526094905220736</v>
      </c>
      <c r="P533" s="382">
        <f t="shared" si="80"/>
        <v>1066.206485731241</v>
      </c>
      <c r="Q533" s="815">
        <v>331.5656943132442</v>
      </c>
      <c r="S533" s="63"/>
      <c r="T533" s="63"/>
    </row>
    <row r="534" spans="1:20" ht="12.75" customHeight="1">
      <c r="A534" s="1243"/>
      <c r="B534" s="371">
        <v>8</v>
      </c>
      <c r="C534" s="414" t="s">
        <v>333</v>
      </c>
      <c r="D534" s="377">
        <v>22</v>
      </c>
      <c r="E534" s="377">
        <v>1974</v>
      </c>
      <c r="F534" s="379">
        <f t="shared" si="77"/>
        <v>23.655999</v>
      </c>
      <c r="G534" s="379">
        <v>0.8592</v>
      </c>
      <c r="H534" s="379">
        <v>3.1984</v>
      </c>
      <c r="I534" s="379">
        <v>19.598399</v>
      </c>
      <c r="J534" s="380">
        <v>1064.69</v>
      </c>
      <c r="K534" s="379">
        <v>19.598399</v>
      </c>
      <c r="L534" s="380">
        <v>1064.69</v>
      </c>
      <c r="M534" s="381">
        <f t="shared" si="78"/>
        <v>0.01840761066601546</v>
      </c>
      <c r="N534" s="420">
        <v>285.3</v>
      </c>
      <c r="O534" s="382">
        <f t="shared" si="79"/>
        <v>5.7243435420854905</v>
      </c>
      <c r="P534" s="382">
        <f t="shared" si="80"/>
        <v>1104.4566399609275</v>
      </c>
      <c r="Q534" s="815">
        <v>343.4606125251294</v>
      </c>
      <c r="S534" s="63"/>
      <c r="T534" s="63"/>
    </row>
    <row r="535" spans="1:20" ht="13.5" customHeight="1">
      <c r="A535" s="1243"/>
      <c r="B535" s="371">
        <v>9</v>
      </c>
      <c r="C535" s="414" t="s">
        <v>351</v>
      </c>
      <c r="D535" s="377">
        <v>12</v>
      </c>
      <c r="E535" s="377">
        <v>1986</v>
      </c>
      <c r="F535" s="379">
        <f t="shared" si="77"/>
        <v>16.960001000000002</v>
      </c>
      <c r="G535" s="379">
        <v>1.9332</v>
      </c>
      <c r="H535" s="379">
        <v>1.945</v>
      </c>
      <c r="I535" s="379">
        <v>13.081801</v>
      </c>
      <c r="J535" s="380">
        <v>706.88</v>
      </c>
      <c r="K535" s="379">
        <v>13.081801</v>
      </c>
      <c r="L535" s="380">
        <v>706.88</v>
      </c>
      <c r="M535" s="381">
        <f t="shared" si="78"/>
        <v>0.01850639571072884</v>
      </c>
      <c r="N535" s="420">
        <v>285.3</v>
      </c>
      <c r="O535" s="382">
        <f t="shared" si="79"/>
        <v>5.755063418935323</v>
      </c>
      <c r="P535" s="382">
        <f t="shared" si="80"/>
        <v>1110.3837426437303</v>
      </c>
      <c r="Q535" s="815">
        <v>345.30380513611937</v>
      </c>
      <c r="S535" s="63"/>
      <c r="T535" s="63"/>
    </row>
    <row r="536" spans="1:20" ht="13.5" customHeight="1" thickBot="1">
      <c r="A536" s="1244"/>
      <c r="B536" s="386"/>
      <c r="C536" s="422" t="s">
        <v>350</v>
      </c>
      <c r="D536" s="388">
        <v>54</v>
      </c>
      <c r="E536" s="388">
        <v>1992</v>
      </c>
      <c r="F536" s="389">
        <f t="shared" si="77"/>
        <v>79.760002</v>
      </c>
      <c r="G536" s="389">
        <v>10.3641</v>
      </c>
      <c r="H536" s="389">
        <v>8.45</v>
      </c>
      <c r="I536" s="389">
        <v>60.945902</v>
      </c>
      <c r="J536" s="390">
        <v>3243.5</v>
      </c>
      <c r="K536" s="389">
        <v>60.945902</v>
      </c>
      <c r="L536" s="390">
        <v>3243.5</v>
      </c>
      <c r="M536" s="391">
        <f t="shared" si="78"/>
        <v>0.018790165561893016</v>
      </c>
      <c r="N536" s="392">
        <v>285.3</v>
      </c>
      <c r="O536" s="392">
        <f t="shared" si="79"/>
        <v>5.843309315940805</v>
      </c>
      <c r="P536" s="382">
        <f t="shared" si="80"/>
        <v>1127.409933713581</v>
      </c>
      <c r="Q536" s="816">
        <v>350.5985589564483</v>
      </c>
      <c r="S536" s="63"/>
      <c r="T536" s="63"/>
    </row>
    <row r="537" spans="1:20" ht="12.75">
      <c r="A537" s="1187" t="s">
        <v>30</v>
      </c>
      <c r="B537" s="477">
        <v>1</v>
      </c>
      <c r="C537" s="544" t="s">
        <v>347</v>
      </c>
      <c r="D537" s="539">
        <v>27</v>
      </c>
      <c r="E537" s="539">
        <v>1978</v>
      </c>
      <c r="F537" s="551">
        <f t="shared" si="77"/>
        <v>33.711998</v>
      </c>
      <c r="G537" s="551">
        <v>2.8998</v>
      </c>
      <c r="H537" s="551">
        <v>3.865</v>
      </c>
      <c r="I537" s="551">
        <v>26.947198</v>
      </c>
      <c r="J537" s="739">
        <v>1371.74</v>
      </c>
      <c r="K537" s="551">
        <v>26.947198</v>
      </c>
      <c r="L537" s="739">
        <v>1371.74</v>
      </c>
      <c r="M537" s="740">
        <f t="shared" si="78"/>
        <v>0.019644537594587896</v>
      </c>
      <c r="N537" s="552">
        <v>285.3</v>
      </c>
      <c r="O537" s="552">
        <f t="shared" si="79"/>
        <v>6.108999367552161</v>
      </c>
      <c r="P537" s="550">
        <f t="shared" si="80"/>
        <v>1178.6722556752738</v>
      </c>
      <c r="Q537" s="817">
        <v>366.53996205312967</v>
      </c>
      <c r="S537" s="63"/>
      <c r="T537" s="63"/>
    </row>
    <row r="538" spans="1:20" ht="12.75">
      <c r="A538" s="1188"/>
      <c r="B538" s="480">
        <v>2</v>
      </c>
      <c r="C538" s="479" t="s">
        <v>348</v>
      </c>
      <c r="D538" s="480">
        <v>13</v>
      </c>
      <c r="E538" s="480">
        <v>1959</v>
      </c>
      <c r="F538" s="607">
        <f t="shared" si="77"/>
        <v>11.347</v>
      </c>
      <c r="G538" s="607"/>
      <c r="H538" s="607"/>
      <c r="I538" s="607">
        <v>11.347</v>
      </c>
      <c r="J538" s="590">
        <v>562.28</v>
      </c>
      <c r="K538" s="607">
        <v>11.347</v>
      </c>
      <c r="L538" s="590">
        <v>562.28</v>
      </c>
      <c r="M538" s="581">
        <f t="shared" si="78"/>
        <v>0.020180337198548767</v>
      </c>
      <c r="N538" s="552">
        <v>285.3</v>
      </c>
      <c r="O538" s="550">
        <f t="shared" si="79"/>
        <v>6.275620720993101</v>
      </c>
      <c r="P538" s="550">
        <f t="shared" si="80"/>
        <v>1210.820231912926</v>
      </c>
      <c r="Q538" s="818">
        <v>376.53724325958603</v>
      </c>
      <c r="S538" s="63"/>
      <c r="T538" s="63"/>
    </row>
    <row r="539" spans="1:20" ht="12.75">
      <c r="A539" s="1188"/>
      <c r="B539" s="480">
        <v>3</v>
      </c>
      <c r="C539" s="479" t="s">
        <v>334</v>
      </c>
      <c r="D539" s="480">
        <v>24</v>
      </c>
      <c r="E539" s="480">
        <v>1964</v>
      </c>
      <c r="F539" s="607">
        <f t="shared" si="77"/>
        <v>22.354</v>
      </c>
      <c r="G539" s="607"/>
      <c r="H539" s="607"/>
      <c r="I539" s="607">
        <v>22.354</v>
      </c>
      <c r="J539" s="590">
        <v>1103</v>
      </c>
      <c r="K539" s="607">
        <v>22.354</v>
      </c>
      <c r="L539" s="590">
        <v>1103</v>
      </c>
      <c r="M539" s="581">
        <f t="shared" si="78"/>
        <v>0.02026654578422484</v>
      </c>
      <c r="N539" s="552">
        <v>285.3</v>
      </c>
      <c r="O539" s="550">
        <f t="shared" si="79"/>
        <v>6.30242960834089</v>
      </c>
      <c r="P539" s="550">
        <f t="shared" si="80"/>
        <v>1215.9927470534906</v>
      </c>
      <c r="Q539" s="818">
        <v>378.1457765004534</v>
      </c>
      <c r="S539" s="63"/>
      <c r="T539" s="63"/>
    </row>
    <row r="540" spans="1:20" ht="12.75">
      <c r="A540" s="1188"/>
      <c r="B540" s="480">
        <v>4</v>
      </c>
      <c r="C540" s="479" t="s">
        <v>336</v>
      </c>
      <c r="D540" s="480">
        <v>5</v>
      </c>
      <c r="E540" s="480">
        <v>1825</v>
      </c>
      <c r="F540" s="607">
        <f t="shared" si="77"/>
        <v>4.908</v>
      </c>
      <c r="G540" s="607"/>
      <c r="H540" s="607"/>
      <c r="I540" s="607">
        <v>4.908</v>
      </c>
      <c r="J540" s="590">
        <v>230.53</v>
      </c>
      <c r="K540" s="607">
        <v>4.908</v>
      </c>
      <c r="L540" s="590">
        <v>230.53</v>
      </c>
      <c r="M540" s="581">
        <f t="shared" si="78"/>
        <v>0.021290070706632545</v>
      </c>
      <c r="N540" s="552">
        <v>285.3</v>
      </c>
      <c r="O540" s="550">
        <f t="shared" si="79"/>
        <v>6.62072231813647</v>
      </c>
      <c r="P540" s="550">
        <f t="shared" si="80"/>
        <v>1277.4042423979529</v>
      </c>
      <c r="Q540" s="818">
        <v>397.2433390881882</v>
      </c>
      <c r="S540" s="63"/>
      <c r="T540" s="63"/>
    </row>
    <row r="541" spans="1:20" ht="12.75">
      <c r="A541" s="1188"/>
      <c r="B541" s="480">
        <v>5</v>
      </c>
      <c r="C541" s="479" t="s">
        <v>147</v>
      </c>
      <c r="D541" s="480">
        <v>43</v>
      </c>
      <c r="E541" s="480">
        <v>1986</v>
      </c>
      <c r="F541" s="607">
        <f t="shared" si="77"/>
        <v>38.839999</v>
      </c>
      <c r="G541" s="607">
        <v>2.730752</v>
      </c>
      <c r="H541" s="607">
        <v>4.67</v>
      </c>
      <c r="I541" s="607">
        <v>31.439247</v>
      </c>
      <c r="J541" s="590">
        <v>1472.24</v>
      </c>
      <c r="K541" s="607">
        <v>31.439247</v>
      </c>
      <c r="L541" s="590">
        <v>1472.24</v>
      </c>
      <c r="M541" s="581">
        <f t="shared" si="78"/>
        <v>0.021354702358311144</v>
      </c>
      <c r="N541" s="552">
        <v>285.3</v>
      </c>
      <c r="O541" s="550">
        <f t="shared" si="79"/>
        <v>6.640821275280526</v>
      </c>
      <c r="P541" s="550">
        <f t="shared" si="80"/>
        <v>1281.2821414986686</v>
      </c>
      <c r="Q541" s="818">
        <v>398.44927651683156</v>
      </c>
      <c r="S541" s="63"/>
      <c r="T541" s="63"/>
    </row>
    <row r="542" spans="1:20" ht="12.75">
      <c r="A542" s="1188"/>
      <c r="B542" s="480">
        <v>6</v>
      </c>
      <c r="C542" s="479" t="s">
        <v>337</v>
      </c>
      <c r="D542" s="480">
        <v>47</v>
      </c>
      <c r="E542" s="480">
        <v>1969</v>
      </c>
      <c r="F542" s="607">
        <f t="shared" si="77"/>
        <v>52.717999</v>
      </c>
      <c r="G542" s="607">
        <v>4.1349</v>
      </c>
      <c r="H542" s="607">
        <v>7.44</v>
      </c>
      <c r="I542" s="607">
        <v>41.143099</v>
      </c>
      <c r="J542" s="590">
        <v>1893.25</v>
      </c>
      <c r="K542" s="607">
        <v>41.143099</v>
      </c>
      <c r="L542" s="590">
        <v>1893.25</v>
      </c>
      <c r="M542" s="581">
        <f t="shared" si="78"/>
        <v>0.021731466525815396</v>
      </c>
      <c r="N542" s="552">
        <v>285.3</v>
      </c>
      <c r="O542" s="550">
        <f t="shared" si="79"/>
        <v>6.757986265798496</v>
      </c>
      <c r="P542" s="550">
        <f t="shared" si="80"/>
        <v>1303.8879915489238</v>
      </c>
      <c r="Q542" s="818">
        <v>405.47917594790977</v>
      </c>
      <c r="S542" s="63"/>
      <c r="T542" s="63"/>
    </row>
    <row r="543" spans="1:20" ht="12.75">
      <c r="A543" s="1188"/>
      <c r="B543" s="480">
        <v>7</v>
      </c>
      <c r="C543" s="479" t="s">
        <v>339</v>
      </c>
      <c r="D543" s="480">
        <v>11</v>
      </c>
      <c r="E543" s="480">
        <v>1966</v>
      </c>
      <c r="F543" s="607">
        <f t="shared" si="77"/>
        <v>10.201</v>
      </c>
      <c r="G543" s="607"/>
      <c r="H543" s="607"/>
      <c r="I543" s="607">
        <v>10.201</v>
      </c>
      <c r="J543" s="590">
        <v>445.12</v>
      </c>
      <c r="K543" s="607">
        <v>10.201</v>
      </c>
      <c r="L543" s="590">
        <v>445.12</v>
      </c>
      <c r="M543" s="581">
        <f t="shared" si="78"/>
        <v>0.022917415528396837</v>
      </c>
      <c r="N543" s="552">
        <v>285.3</v>
      </c>
      <c r="O543" s="550">
        <f t="shared" si="79"/>
        <v>7.126789128774264</v>
      </c>
      <c r="P543" s="550">
        <f t="shared" si="80"/>
        <v>1375.0449317038103</v>
      </c>
      <c r="Q543" s="818">
        <v>427.6073477264558</v>
      </c>
      <c r="S543" s="63"/>
      <c r="T543" s="63"/>
    </row>
    <row r="544" spans="1:20" ht="12.75">
      <c r="A544" s="1188"/>
      <c r="B544" s="480">
        <v>8</v>
      </c>
      <c r="C544" s="479" t="s">
        <v>338</v>
      </c>
      <c r="D544" s="480">
        <v>24</v>
      </c>
      <c r="E544" s="480">
        <v>1968</v>
      </c>
      <c r="F544" s="607">
        <f t="shared" si="77"/>
        <v>28.113998000000002</v>
      </c>
      <c r="G544" s="607">
        <v>0.83235</v>
      </c>
      <c r="H544" s="607">
        <v>3.84</v>
      </c>
      <c r="I544" s="607">
        <v>23.441648</v>
      </c>
      <c r="J544" s="590">
        <v>1012.02</v>
      </c>
      <c r="K544" s="607">
        <v>23.441648</v>
      </c>
      <c r="L544" s="590">
        <v>1012.02</v>
      </c>
      <c r="M544" s="581">
        <f t="shared" si="78"/>
        <v>0.023163226023201124</v>
      </c>
      <c r="N544" s="552">
        <v>285.3</v>
      </c>
      <c r="O544" s="550">
        <f t="shared" si="79"/>
        <v>7.203230539017016</v>
      </c>
      <c r="P544" s="550">
        <f t="shared" si="80"/>
        <v>1389.7935613920674</v>
      </c>
      <c r="Q544" s="818">
        <v>432.193832341021</v>
      </c>
      <c r="S544" s="63"/>
      <c r="T544" s="63"/>
    </row>
    <row r="545" spans="1:20" ht="12.75">
      <c r="A545" s="1286"/>
      <c r="B545" s="483">
        <v>9</v>
      </c>
      <c r="C545" s="479" t="s">
        <v>335</v>
      </c>
      <c r="D545" s="480">
        <v>24</v>
      </c>
      <c r="E545" s="480">
        <v>1966</v>
      </c>
      <c r="F545" s="607">
        <f t="shared" si="77"/>
        <v>25.667</v>
      </c>
      <c r="G545" s="607"/>
      <c r="H545" s="607"/>
      <c r="I545" s="607">
        <v>25.667</v>
      </c>
      <c r="J545" s="590">
        <v>1087.21</v>
      </c>
      <c r="K545" s="607">
        <v>25.667</v>
      </c>
      <c r="L545" s="590">
        <v>1087.21</v>
      </c>
      <c r="M545" s="581">
        <f t="shared" si="78"/>
        <v>0.023608134583015243</v>
      </c>
      <c r="N545" s="552">
        <v>285.3</v>
      </c>
      <c r="O545" s="550">
        <f t="shared" si="79"/>
        <v>7.341586868222333</v>
      </c>
      <c r="P545" s="550">
        <f t="shared" si="80"/>
        <v>1416.4880749809145</v>
      </c>
      <c r="Q545" s="818">
        <v>440.49521209333994</v>
      </c>
      <c r="S545" s="63"/>
      <c r="T545" s="63"/>
    </row>
    <row r="546" spans="1:20" ht="13.5" thickBot="1">
      <c r="A546" s="1189"/>
      <c r="B546" s="489">
        <v>10</v>
      </c>
      <c r="C546" s="482" t="s">
        <v>340</v>
      </c>
      <c r="D546" s="483">
        <v>7</v>
      </c>
      <c r="E546" s="483">
        <v>1938</v>
      </c>
      <c r="F546" s="608">
        <f t="shared" si="77"/>
        <v>5.457</v>
      </c>
      <c r="G546" s="608"/>
      <c r="H546" s="608"/>
      <c r="I546" s="608">
        <v>5.457</v>
      </c>
      <c r="J546" s="591">
        <v>220.85</v>
      </c>
      <c r="K546" s="608">
        <v>5.457</v>
      </c>
      <c r="L546" s="591">
        <v>220.85</v>
      </c>
      <c r="M546" s="582">
        <f t="shared" si="78"/>
        <v>0.02470907856010867</v>
      </c>
      <c r="N546" s="535">
        <v>285.3</v>
      </c>
      <c r="O546" s="554">
        <f t="shared" si="79"/>
        <v>7.683955123386915</v>
      </c>
      <c r="P546" s="550">
        <f t="shared" si="80"/>
        <v>1482.5447136065202</v>
      </c>
      <c r="Q546" s="819">
        <v>461.0373074032149</v>
      </c>
      <c r="S546" s="63"/>
      <c r="T546" s="63"/>
    </row>
    <row r="547" spans="1:20" ht="12.75">
      <c r="A547" s="1253" t="s">
        <v>12</v>
      </c>
      <c r="B547" s="27">
        <v>1</v>
      </c>
      <c r="C547" s="467" t="s">
        <v>353</v>
      </c>
      <c r="D547" s="468">
        <v>12</v>
      </c>
      <c r="E547" s="468">
        <v>1925</v>
      </c>
      <c r="F547" s="556">
        <f t="shared" si="77"/>
        <v>13.32</v>
      </c>
      <c r="G547" s="556"/>
      <c r="H547" s="556"/>
      <c r="I547" s="556">
        <v>13.32</v>
      </c>
      <c r="J547" s="592">
        <v>512.15</v>
      </c>
      <c r="K547" s="556">
        <v>13.32</v>
      </c>
      <c r="L547" s="592">
        <v>512.15</v>
      </c>
      <c r="M547" s="583">
        <f t="shared" si="78"/>
        <v>0.026008005467148296</v>
      </c>
      <c r="N547" s="560">
        <v>285.3</v>
      </c>
      <c r="O547" s="555">
        <f t="shared" si="79"/>
        <v>8.087891516157377</v>
      </c>
      <c r="P547" s="558">
        <f t="shared" si="80"/>
        <v>1560.4803280288977</v>
      </c>
      <c r="Q547" s="820">
        <v>485.2734909694426</v>
      </c>
      <c r="S547" s="63"/>
      <c r="T547" s="63"/>
    </row>
    <row r="548" spans="1:20" ht="12.75">
      <c r="A548" s="1191"/>
      <c r="B548" s="29">
        <v>2</v>
      </c>
      <c r="C548" s="469" t="s">
        <v>354</v>
      </c>
      <c r="D548" s="470">
        <v>12</v>
      </c>
      <c r="E548" s="470">
        <v>1962</v>
      </c>
      <c r="F548" s="609">
        <f t="shared" si="77"/>
        <v>13.91</v>
      </c>
      <c r="G548" s="609"/>
      <c r="H548" s="609"/>
      <c r="I548" s="609">
        <v>13.91</v>
      </c>
      <c r="J548" s="593">
        <v>529.97</v>
      </c>
      <c r="K548" s="609">
        <v>13.6817</v>
      </c>
      <c r="L548" s="593">
        <v>486.49</v>
      </c>
      <c r="M548" s="584">
        <f t="shared" si="78"/>
        <v>0.028123291331784823</v>
      </c>
      <c r="N548" s="560">
        <v>285.3</v>
      </c>
      <c r="O548" s="558">
        <f t="shared" si="79"/>
        <v>8.74569676848445</v>
      </c>
      <c r="P548" s="558">
        <f t="shared" si="80"/>
        <v>1687.3974799070895</v>
      </c>
      <c r="Q548" s="821">
        <v>524.741806109067</v>
      </c>
      <c r="S548" s="63"/>
      <c r="T548" s="63"/>
    </row>
    <row r="549" spans="1:20" ht="12.75">
      <c r="A549" s="1191"/>
      <c r="B549" s="29">
        <v>3</v>
      </c>
      <c r="C549" s="469" t="s">
        <v>341</v>
      </c>
      <c r="D549" s="470">
        <v>12</v>
      </c>
      <c r="E549" s="470">
        <v>1963</v>
      </c>
      <c r="F549" s="609">
        <f t="shared" si="77"/>
        <v>16.015001</v>
      </c>
      <c r="G549" s="609">
        <v>0.2685</v>
      </c>
      <c r="H549" s="609">
        <v>0.705</v>
      </c>
      <c r="I549" s="609">
        <v>15.041501</v>
      </c>
      <c r="J549" s="593">
        <v>534.54</v>
      </c>
      <c r="K549" s="609">
        <v>15.041501</v>
      </c>
      <c r="L549" s="593">
        <v>534.54</v>
      </c>
      <c r="M549" s="584">
        <f t="shared" si="78"/>
        <v>0.02813914954914506</v>
      </c>
      <c r="N549" s="560">
        <v>285.3</v>
      </c>
      <c r="O549" s="558">
        <f t="shared" si="79"/>
        <v>8.750628309344483</v>
      </c>
      <c r="P549" s="558">
        <f t="shared" si="80"/>
        <v>1688.3489729487037</v>
      </c>
      <c r="Q549" s="821">
        <v>525.037698560669</v>
      </c>
      <c r="S549" s="63"/>
      <c r="T549" s="63"/>
    </row>
    <row r="550" spans="1:20" ht="12.75">
      <c r="A550" s="1191"/>
      <c r="B550" s="29">
        <v>4</v>
      </c>
      <c r="C550" s="469" t="s">
        <v>355</v>
      </c>
      <c r="D550" s="470">
        <v>12</v>
      </c>
      <c r="E550" s="470">
        <v>1968</v>
      </c>
      <c r="F550" s="609">
        <f t="shared" si="77"/>
        <v>21.913</v>
      </c>
      <c r="G550" s="609">
        <v>0.4296</v>
      </c>
      <c r="H550" s="609">
        <v>0.25</v>
      </c>
      <c r="I550" s="609">
        <v>21.2334</v>
      </c>
      <c r="J550" s="593">
        <v>725.5</v>
      </c>
      <c r="K550" s="609">
        <v>21.2334</v>
      </c>
      <c r="L550" s="593">
        <v>725.5</v>
      </c>
      <c r="M550" s="584">
        <f t="shared" si="78"/>
        <v>0.02926726395589249</v>
      </c>
      <c r="N550" s="560">
        <v>285.3</v>
      </c>
      <c r="O550" s="558">
        <f t="shared" si="79"/>
        <v>9.10144594321158</v>
      </c>
      <c r="P550" s="558">
        <f t="shared" si="80"/>
        <v>1756.0358373535494</v>
      </c>
      <c r="Q550" s="821">
        <v>546.0867565926948</v>
      </c>
      <c r="S550" s="63"/>
      <c r="T550" s="63"/>
    </row>
    <row r="551" spans="1:20" ht="12.75">
      <c r="A551" s="1191"/>
      <c r="B551" s="29">
        <v>5</v>
      </c>
      <c r="C551" s="469" t="s">
        <v>356</v>
      </c>
      <c r="D551" s="470">
        <v>8</v>
      </c>
      <c r="E551" s="470">
        <v>1958</v>
      </c>
      <c r="F551" s="609">
        <f t="shared" si="77"/>
        <v>6.358201</v>
      </c>
      <c r="G551" s="609"/>
      <c r="H551" s="609"/>
      <c r="I551" s="609">
        <v>6.358201</v>
      </c>
      <c r="J551" s="593">
        <v>214.11</v>
      </c>
      <c r="K551" s="609">
        <v>4.2854</v>
      </c>
      <c r="L551" s="593">
        <v>144.31</v>
      </c>
      <c r="M551" s="584">
        <f t="shared" si="78"/>
        <v>0.029695793777285012</v>
      </c>
      <c r="N551" s="560">
        <v>285.3</v>
      </c>
      <c r="O551" s="558">
        <f t="shared" si="79"/>
        <v>9.234708861478763</v>
      </c>
      <c r="P551" s="558">
        <f t="shared" si="80"/>
        <v>1781.7476266371007</v>
      </c>
      <c r="Q551" s="821">
        <v>554.0825316887258</v>
      </c>
      <c r="S551" s="63"/>
      <c r="T551" s="63"/>
    </row>
    <row r="552" spans="1:20" ht="12.75">
      <c r="A552" s="1191"/>
      <c r="B552" s="29">
        <v>6</v>
      </c>
      <c r="C552" s="36" t="s">
        <v>357</v>
      </c>
      <c r="D552" s="29">
        <v>17</v>
      </c>
      <c r="E552" s="29">
        <v>1968</v>
      </c>
      <c r="F552" s="162">
        <f t="shared" si="77"/>
        <v>17.51</v>
      </c>
      <c r="G552" s="162"/>
      <c r="H552" s="162"/>
      <c r="I552" s="162">
        <v>17.51</v>
      </c>
      <c r="J552" s="286">
        <v>569.32</v>
      </c>
      <c r="K552" s="162">
        <v>17.51</v>
      </c>
      <c r="L552" s="286">
        <v>569.32</v>
      </c>
      <c r="M552" s="232">
        <f t="shared" si="78"/>
        <v>0.030755989601630014</v>
      </c>
      <c r="N552" s="152">
        <v>285.3</v>
      </c>
      <c r="O552" s="144">
        <f t="shared" si="79"/>
        <v>9.564405378346098</v>
      </c>
      <c r="P552" s="144">
        <f t="shared" si="80"/>
        <v>1845.3593760978008</v>
      </c>
      <c r="Q552" s="821">
        <v>573.8643227007659</v>
      </c>
      <c r="S552" s="63"/>
      <c r="T552" s="63"/>
    </row>
    <row r="553" spans="1:20" ht="12.75">
      <c r="A553" s="1191"/>
      <c r="B553" s="29">
        <v>7</v>
      </c>
      <c r="C553" s="36" t="s">
        <v>358</v>
      </c>
      <c r="D553" s="29">
        <v>4</v>
      </c>
      <c r="E553" s="29">
        <v>1961</v>
      </c>
      <c r="F553" s="162">
        <f t="shared" si="77"/>
        <v>3.78</v>
      </c>
      <c r="G553" s="162"/>
      <c r="H553" s="162"/>
      <c r="I553" s="162">
        <v>3.78</v>
      </c>
      <c r="J553" s="286">
        <v>120.27</v>
      </c>
      <c r="K553" s="162">
        <v>3.78</v>
      </c>
      <c r="L553" s="286">
        <v>120.27</v>
      </c>
      <c r="M553" s="232">
        <f t="shared" si="78"/>
        <v>0.03142928411075081</v>
      </c>
      <c r="N553" s="152">
        <v>285.3</v>
      </c>
      <c r="O553" s="144">
        <f t="shared" si="79"/>
        <v>9.773784484908957</v>
      </c>
      <c r="P553" s="144">
        <f t="shared" si="80"/>
        <v>1885.7570466450488</v>
      </c>
      <c r="Q553" s="821">
        <v>586.4270690945374</v>
      </c>
      <c r="S553" s="63"/>
      <c r="T553" s="63"/>
    </row>
    <row r="554" spans="1:20" ht="12.75">
      <c r="A554" s="1191"/>
      <c r="B554" s="29">
        <v>8</v>
      </c>
      <c r="C554" s="36" t="s">
        <v>360</v>
      </c>
      <c r="D554" s="29">
        <v>5</v>
      </c>
      <c r="E554" s="29">
        <v>1961</v>
      </c>
      <c r="F554" s="609">
        <f t="shared" si="77"/>
        <v>6.29</v>
      </c>
      <c r="G554" s="609"/>
      <c r="H554" s="609"/>
      <c r="I554" s="609">
        <v>6.29</v>
      </c>
      <c r="J554" s="593">
        <v>186.3</v>
      </c>
      <c r="K554" s="609">
        <v>6.29</v>
      </c>
      <c r="L554" s="593">
        <v>186.3</v>
      </c>
      <c r="M554" s="232">
        <f t="shared" si="78"/>
        <v>0.03376274825550188</v>
      </c>
      <c r="N554" s="152">
        <v>285.3</v>
      </c>
      <c r="O554" s="144">
        <f t="shared" si="79"/>
        <v>10.49943816425121</v>
      </c>
      <c r="P554" s="144">
        <f t="shared" si="80"/>
        <v>2025.7648953301127</v>
      </c>
      <c r="Q554" s="821">
        <v>629.9662898550725</v>
      </c>
      <c r="S554" s="63"/>
      <c r="T554" s="63"/>
    </row>
    <row r="555" spans="1:20" ht="12.75">
      <c r="A555" s="1191"/>
      <c r="B555" s="29">
        <v>9</v>
      </c>
      <c r="C555" s="36" t="s">
        <v>359</v>
      </c>
      <c r="D555" s="29">
        <v>13</v>
      </c>
      <c r="E555" s="29">
        <v>1958</v>
      </c>
      <c r="F555" s="162">
        <f t="shared" si="77"/>
        <v>19.5</v>
      </c>
      <c r="G555" s="162"/>
      <c r="H555" s="162"/>
      <c r="I555" s="162">
        <v>19.5</v>
      </c>
      <c r="J555" s="286">
        <v>653.78</v>
      </c>
      <c r="K555" s="162">
        <v>18.3754</v>
      </c>
      <c r="L555" s="286">
        <v>444.31</v>
      </c>
      <c r="M555" s="232">
        <f t="shared" si="78"/>
        <v>0.04135716054106367</v>
      </c>
      <c r="N555" s="152">
        <v>285.3</v>
      </c>
      <c r="O555" s="144">
        <f t="shared" si="79"/>
        <v>12.861125713578359</v>
      </c>
      <c r="P555" s="144">
        <f t="shared" si="80"/>
        <v>2481.4296324638203</v>
      </c>
      <c r="Q555" s="821">
        <v>771.6675428147015</v>
      </c>
      <c r="S555" s="63"/>
      <c r="T555" s="63"/>
    </row>
    <row r="556" spans="1:20" ht="13.5" thickBot="1">
      <c r="A556" s="1192"/>
      <c r="B556" s="33">
        <v>10</v>
      </c>
      <c r="C556" s="37"/>
      <c r="D556" s="33"/>
      <c r="E556" s="33"/>
      <c r="F556" s="289"/>
      <c r="G556" s="289"/>
      <c r="H556" s="289"/>
      <c r="I556" s="289"/>
      <c r="J556" s="292"/>
      <c r="K556" s="245"/>
      <c r="L556" s="292"/>
      <c r="M556" s="245"/>
      <c r="N556" s="246"/>
      <c r="O556" s="246"/>
      <c r="P556" s="563"/>
      <c r="Q556" s="218"/>
      <c r="S556" s="63"/>
      <c r="T556" s="63"/>
    </row>
    <row r="557" spans="19:20" ht="12.75">
      <c r="S557" s="63"/>
      <c r="T557" s="63"/>
    </row>
    <row r="558" spans="19:20" ht="12.75">
      <c r="S558" s="63"/>
      <c r="T558" s="63"/>
    </row>
    <row r="559" spans="19:20" ht="12.75">
      <c r="S559" s="63"/>
      <c r="T559" s="63"/>
    </row>
    <row r="560" spans="1:20" ht="15">
      <c r="A560" s="1199" t="s">
        <v>60</v>
      </c>
      <c r="B560" s="1199"/>
      <c r="C560" s="1199"/>
      <c r="D560" s="1199"/>
      <c r="E560" s="1199"/>
      <c r="F560" s="1199"/>
      <c r="G560" s="1199"/>
      <c r="H560" s="1199"/>
      <c r="I560" s="1199"/>
      <c r="J560" s="1199"/>
      <c r="K560" s="1199"/>
      <c r="L560" s="1199"/>
      <c r="M560" s="1199"/>
      <c r="N560" s="1199"/>
      <c r="O560" s="1199"/>
      <c r="P560" s="1199"/>
      <c r="Q560" s="1199"/>
      <c r="S560" s="63"/>
      <c r="T560" s="63"/>
    </row>
    <row r="561" spans="1:20" ht="13.5" thickBot="1">
      <c r="A561" s="1200" t="s">
        <v>749</v>
      </c>
      <c r="B561" s="1255"/>
      <c r="C561" s="1255"/>
      <c r="D561" s="1255"/>
      <c r="E561" s="1255"/>
      <c r="F561" s="1255"/>
      <c r="G561" s="1255"/>
      <c r="H561" s="1255"/>
      <c r="I561" s="1255"/>
      <c r="J561" s="1255"/>
      <c r="K561" s="1255"/>
      <c r="L561" s="1255"/>
      <c r="M561" s="1255"/>
      <c r="N561" s="1255"/>
      <c r="O561" s="1255"/>
      <c r="P561" s="1255"/>
      <c r="Q561" s="1255"/>
      <c r="S561" s="63"/>
      <c r="T561" s="63"/>
    </row>
    <row r="562" spans="1:20" ht="12.75" customHeight="1">
      <c r="A562" s="1201" t="s">
        <v>1</v>
      </c>
      <c r="B562" s="1203" t="s">
        <v>0</v>
      </c>
      <c r="C562" s="1193" t="s">
        <v>2</v>
      </c>
      <c r="D562" s="1193" t="s">
        <v>3</v>
      </c>
      <c r="E562" s="1193" t="s">
        <v>13</v>
      </c>
      <c r="F562" s="1207" t="s">
        <v>14</v>
      </c>
      <c r="G562" s="1208"/>
      <c r="H562" s="1208"/>
      <c r="I562" s="1209"/>
      <c r="J562" s="1193" t="s">
        <v>4</v>
      </c>
      <c r="K562" s="1193" t="s">
        <v>15</v>
      </c>
      <c r="L562" s="1193" t="s">
        <v>5</v>
      </c>
      <c r="M562" s="1193" t="s">
        <v>6</v>
      </c>
      <c r="N562" s="1193" t="s">
        <v>16</v>
      </c>
      <c r="O562" s="1195" t="s">
        <v>17</v>
      </c>
      <c r="P562" s="1193" t="s">
        <v>25</v>
      </c>
      <c r="Q562" s="1197" t="s">
        <v>26</v>
      </c>
      <c r="S562" s="63"/>
      <c r="T562" s="63"/>
    </row>
    <row r="563" spans="1:20" s="2" customFormat="1" ht="33.75">
      <c r="A563" s="1202"/>
      <c r="B563" s="1204"/>
      <c r="C563" s="1205"/>
      <c r="D563" s="1194"/>
      <c r="E563" s="1194"/>
      <c r="F563" s="26" t="s">
        <v>18</v>
      </c>
      <c r="G563" s="26" t="s">
        <v>19</v>
      </c>
      <c r="H563" s="26" t="s">
        <v>20</v>
      </c>
      <c r="I563" s="26" t="s">
        <v>21</v>
      </c>
      <c r="J563" s="1194"/>
      <c r="K563" s="1194"/>
      <c r="L563" s="1194"/>
      <c r="M563" s="1194"/>
      <c r="N563" s="1194"/>
      <c r="O563" s="1196"/>
      <c r="P563" s="1194"/>
      <c r="Q563" s="1198"/>
      <c r="S563" s="63"/>
      <c r="T563" s="63"/>
    </row>
    <row r="564" spans="1:20" s="3" customFormat="1" ht="13.5" customHeight="1" thickBot="1">
      <c r="A564" s="1259"/>
      <c r="B564" s="1256"/>
      <c r="C564" s="1206"/>
      <c r="D564" s="42" t="s">
        <v>7</v>
      </c>
      <c r="E564" s="42" t="s">
        <v>8</v>
      </c>
      <c r="F564" s="42" t="s">
        <v>9</v>
      </c>
      <c r="G564" s="42" t="s">
        <v>9</v>
      </c>
      <c r="H564" s="42" t="s">
        <v>9</v>
      </c>
      <c r="I564" s="42" t="s">
        <v>9</v>
      </c>
      <c r="J564" s="42" t="s">
        <v>22</v>
      </c>
      <c r="K564" s="42" t="s">
        <v>9</v>
      </c>
      <c r="L564" s="42" t="s">
        <v>22</v>
      </c>
      <c r="M564" s="42" t="s">
        <v>131</v>
      </c>
      <c r="N564" s="42" t="s">
        <v>10</v>
      </c>
      <c r="O564" s="42" t="s">
        <v>132</v>
      </c>
      <c r="P564" s="43" t="s">
        <v>27</v>
      </c>
      <c r="Q564" s="44" t="s">
        <v>28</v>
      </c>
      <c r="S564" s="63"/>
      <c r="T564" s="63"/>
    </row>
    <row r="565" spans="1:20" ht="12.75">
      <c r="A565" s="1341" t="s">
        <v>11</v>
      </c>
      <c r="B565" s="45">
        <v>1</v>
      </c>
      <c r="C565" s="163" t="s">
        <v>366</v>
      </c>
      <c r="D565" s="126">
        <v>13</v>
      </c>
      <c r="E565" s="126">
        <v>2009</v>
      </c>
      <c r="F565" s="207">
        <v>20.016</v>
      </c>
      <c r="G565" s="207">
        <v>1.734</v>
      </c>
      <c r="H565" s="207">
        <v>4.32</v>
      </c>
      <c r="I565" s="207">
        <v>13.962</v>
      </c>
      <c r="J565" s="219">
        <v>3676.91</v>
      </c>
      <c r="K565" s="207">
        <v>6.25</v>
      </c>
      <c r="L565" s="219">
        <v>1573.91</v>
      </c>
      <c r="M565" s="139">
        <f aca="true" t="shared" si="81" ref="M565:M604">K565/L565</f>
        <v>0.003971002153871568</v>
      </c>
      <c r="N565" s="127">
        <v>328.526</v>
      </c>
      <c r="O565" s="460">
        <f aca="true" t="shared" si="82" ref="O565:O604">M565*N565</f>
        <v>1.3045774536028107</v>
      </c>
      <c r="P565" s="460">
        <f aca="true" t="shared" si="83" ref="P565:P604">M565*60*1000</f>
        <v>238.26012923229405</v>
      </c>
      <c r="Q565" s="461">
        <f aca="true" t="shared" si="84" ref="Q565:Q604">P565*N565/1000</f>
        <v>78.27464721616865</v>
      </c>
      <c r="R565" s="6"/>
      <c r="S565" s="63"/>
      <c r="T565" s="63"/>
    </row>
    <row r="566" spans="1:20" ht="12.75">
      <c r="A566" s="1342"/>
      <c r="B566" s="21">
        <v>2</v>
      </c>
      <c r="C566" s="125" t="s">
        <v>362</v>
      </c>
      <c r="D566" s="525">
        <v>23</v>
      </c>
      <c r="E566" s="126">
        <v>2007</v>
      </c>
      <c r="F566" s="723">
        <v>20.512</v>
      </c>
      <c r="G566" s="202">
        <v>2.93709</v>
      </c>
      <c r="H566" s="202">
        <v>3.02801</v>
      </c>
      <c r="I566" s="723">
        <v>14.5469</v>
      </c>
      <c r="J566" s="726">
        <v>2693.44</v>
      </c>
      <c r="K566" s="723">
        <v>12.05</v>
      </c>
      <c r="L566" s="726">
        <v>2155.86</v>
      </c>
      <c r="M566" s="734">
        <f t="shared" si="81"/>
        <v>0.005589416752479289</v>
      </c>
      <c r="N566" s="127">
        <v>328.526</v>
      </c>
      <c r="O566" s="462">
        <f t="shared" si="82"/>
        <v>1.836268728025011</v>
      </c>
      <c r="P566" s="460">
        <f t="shared" si="83"/>
        <v>335.36500514875735</v>
      </c>
      <c r="Q566" s="463">
        <f t="shared" si="84"/>
        <v>110.17612368150066</v>
      </c>
      <c r="S566" s="63"/>
      <c r="T566" s="63"/>
    </row>
    <row r="567" spans="1:20" ht="12.75">
      <c r="A567" s="1342"/>
      <c r="B567" s="21">
        <v>3</v>
      </c>
      <c r="C567" s="125" t="s">
        <v>363</v>
      </c>
      <c r="D567" s="525">
        <v>38</v>
      </c>
      <c r="E567" s="126">
        <v>2007</v>
      </c>
      <c r="F567" s="723">
        <v>21.515</v>
      </c>
      <c r="G567" s="202">
        <v>2.193</v>
      </c>
      <c r="H567" s="202">
        <v>2.959</v>
      </c>
      <c r="I567" s="723">
        <v>16.363</v>
      </c>
      <c r="J567" s="726">
        <v>2880.8</v>
      </c>
      <c r="K567" s="723">
        <v>14.86</v>
      </c>
      <c r="L567" s="726">
        <v>2457.74</v>
      </c>
      <c r="M567" s="734">
        <f t="shared" si="81"/>
        <v>0.0060462050501680405</v>
      </c>
      <c r="N567" s="127">
        <v>328.526</v>
      </c>
      <c r="O567" s="462">
        <f t="shared" si="82"/>
        <v>1.9863355603115058</v>
      </c>
      <c r="P567" s="460">
        <f t="shared" si="83"/>
        <v>362.77230301008245</v>
      </c>
      <c r="Q567" s="463">
        <f t="shared" si="84"/>
        <v>119.18013361869035</v>
      </c>
      <c r="S567" s="63"/>
      <c r="T567" s="63"/>
    </row>
    <row r="568" spans="1:20" ht="12.75">
      <c r="A568" s="1342"/>
      <c r="B568" s="21">
        <v>4</v>
      </c>
      <c r="C568" s="125" t="s">
        <v>361</v>
      </c>
      <c r="D568" s="525">
        <v>43</v>
      </c>
      <c r="E568" s="525">
        <v>2008</v>
      </c>
      <c r="F568" s="723">
        <v>31.167</v>
      </c>
      <c r="G568" s="202">
        <v>2.448</v>
      </c>
      <c r="H568" s="202">
        <v>4.56</v>
      </c>
      <c r="I568" s="723">
        <v>24.159</v>
      </c>
      <c r="J568" s="726">
        <v>3748.17</v>
      </c>
      <c r="K568" s="723">
        <v>19.66</v>
      </c>
      <c r="L568" s="726">
        <v>2936.08</v>
      </c>
      <c r="M568" s="734">
        <f t="shared" si="81"/>
        <v>0.006696002833710253</v>
      </c>
      <c r="N568" s="127">
        <v>328.526</v>
      </c>
      <c r="O568" s="462">
        <f t="shared" si="82"/>
        <v>2.199811026947495</v>
      </c>
      <c r="P568" s="460">
        <f t="shared" si="83"/>
        <v>401.7601700226152</v>
      </c>
      <c r="Q568" s="463">
        <f t="shared" si="84"/>
        <v>131.9886616168497</v>
      </c>
      <c r="S568" s="63"/>
      <c r="T568" s="63"/>
    </row>
    <row r="569" spans="1:20" ht="12.75">
      <c r="A569" s="1342"/>
      <c r="B569" s="21">
        <v>5</v>
      </c>
      <c r="C569" s="125" t="s">
        <v>365</v>
      </c>
      <c r="D569" s="525">
        <v>80</v>
      </c>
      <c r="E569" s="525">
        <v>2007</v>
      </c>
      <c r="F569" s="723">
        <v>67.334</v>
      </c>
      <c r="G569" s="202">
        <v>4.488</v>
      </c>
      <c r="H569" s="202">
        <v>8.08</v>
      </c>
      <c r="I569" s="723">
        <v>54.766</v>
      </c>
      <c r="J569" s="726">
        <v>6753.68</v>
      </c>
      <c r="K569" s="723">
        <v>44.35</v>
      </c>
      <c r="L569" s="726">
        <v>5312.08</v>
      </c>
      <c r="M569" s="734">
        <f t="shared" si="81"/>
        <v>0.008348895347961627</v>
      </c>
      <c r="N569" s="127">
        <v>328.526</v>
      </c>
      <c r="O569" s="462">
        <f t="shared" si="82"/>
        <v>2.7428291930844413</v>
      </c>
      <c r="P569" s="460">
        <f t="shared" si="83"/>
        <v>500.9337208776976</v>
      </c>
      <c r="Q569" s="463">
        <f t="shared" si="84"/>
        <v>164.56975158506648</v>
      </c>
      <c r="S569" s="63"/>
      <c r="T569" s="63"/>
    </row>
    <row r="570" spans="1:20" ht="12.75">
      <c r="A570" s="1342"/>
      <c r="B570" s="21">
        <v>6</v>
      </c>
      <c r="C570" s="125" t="s">
        <v>367</v>
      </c>
      <c r="D570" s="525">
        <v>20</v>
      </c>
      <c r="E570" s="525">
        <v>1975</v>
      </c>
      <c r="F570" s="723">
        <v>14.647</v>
      </c>
      <c r="G570" s="202">
        <v>1.836</v>
      </c>
      <c r="H570" s="202">
        <v>3.2</v>
      </c>
      <c r="I570" s="723">
        <v>9.611</v>
      </c>
      <c r="J570" s="726">
        <v>1127.03</v>
      </c>
      <c r="K570" s="723">
        <v>9.61</v>
      </c>
      <c r="L570" s="726">
        <v>1127.03</v>
      </c>
      <c r="M570" s="734">
        <f t="shared" si="81"/>
        <v>0.008526836020336636</v>
      </c>
      <c r="N570" s="127">
        <v>328.526</v>
      </c>
      <c r="O570" s="462">
        <f t="shared" si="82"/>
        <v>2.801287330417114</v>
      </c>
      <c r="P570" s="460">
        <f t="shared" si="83"/>
        <v>511.6101612201982</v>
      </c>
      <c r="Q570" s="463">
        <f t="shared" si="84"/>
        <v>168.07723982502685</v>
      </c>
      <c r="S570" s="63"/>
      <c r="T570" s="63"/>
    </row>
    <row r="571" spans="1:20" ht="12.75">
      <c r="A571" s="1342"/>
      <c r="B571" s="21">
        <v>7</v>
      </c>
      <c r="C571" s="125" t="s">
        <v>365</v>
      </c>
      <c r="D571" s="525">
        <v>37</v>
      </c>
      <c r="E571" s="525">
        <v>2007</v>
      </c>
      <c r="F571" s="723">
        <v>49.429</v>
      </c>
      <c r="G571" s="202">
        <v>3.111</v>
      </c>
      <c r="H571" s="202">
        <v>4.48</v>
      </c>
      <c r="I571" s="723">
        <v>41.838</v>
      </c>
      <c r="J571" s="726">
        <v>4058.88</v>
      </c>
      <c r="K571" s="723">
        <v>23.53</v>
      </c>
      <c r="L571" s="726">
        <v>2663.94</v>
      </c>
      <c r="M571" s="734">
        <f t="shared" si="81"/>
        <v>0.008832781519103283</v>
      </c>
      <c r="N571" s="127">
        <v>328.526</v>
      </c>
      <c r="O571" s="462">
        <f t="shared" si="82"/>
        <v>2.9017983813449253</v>
      </c>
      <c r="P571" s="460">
        <f t="shared" si="83"/>
        <v>529.966891146197</v>
      </c>
      <c r="Q571" s="463">
        <f t="shared" si="84"/>
        <v>174.1079028806955</v>
      </c>
      <c r="S571" s="63"/>
      <c r="T571" s="63"/>
    </row>
    <row r="572" spans="1:20" ht="12.75">
      <c r="A572" s="1342"/>
      <c r="B572" s="21">
        <v>8</v>
      </c>
      <c r="C572" s="125" t="s">
        <v>364</v>
      </c>
      <c r="D572" s="525">
        <v>20</v>
      </c>
      <c r="E572" s="525">
        <v>1975</v>
      </c>
      <c r="F572" s="723">
        <v>15.369</v>
      </c>
      <c r="G572" s="202">
        <v>2.0145</v>
      </c>
      <c r="H572" s="202">
        <v>3.2</v>
      </c>
      <c r="I572" s="723">
        <v>10.1545</v>
      </c>
      <c r="J572" s="726">
        <v>1147.92</v>
      </c>
      <c r="K572" s="723">
        <v>10.15</v>
      </c>
      <c r="L572" s="726">
        <v>1147.92</v>
      </c>
      <c r="M572" s="734">
        <f t="shared" si="81"/>
        <v>0.008842079587427694</v>
      </c>
      <c r="N572" s="127">
        <v>328.526</v>
      </c>
      <c r="O572" s="462">
        <f t="shared" si="82"/>
        <v>2.9048530385392706</v>
      </c>
      <c r="P572" s="460">
        <f t="shared" si="83"/>
        <v>530.5247752456617</v>
      </c>
      <c r="Q572" s="463">
        <f t="shared" si="84"/>
        <v>174.29118231235626</v>
      </c>
      <c r="S572" s="63"/>
      <c r="T572" s="63"/>
    </row>
    <row r="573" spans="1:20" ht="12.75">
      <c r="A573" s="1342"/>
      <c r="B573" s="21">
        <v>9</v>
      </c>
      <c r="C573" s="125" t="s">
        <v>368</v>
      </c>
      <c r="D573" s="525">
        <v>12</v>
      </c>
      <c r="E573" s="525">
        <v>2007</v>
      </c>
      <c r="F573" s="723">
        <v>7.919</v>
      </c>
      <c r="G573" s="202">
        <v>0.357</v>
      </c>
      <c r="H573" s="202" t="s">
        <v>369</v>
      </c>
      <c r="I573" s="723">
        <v>7.562</v>
      </c>
      <c r="J573" s="726">
        <v>1168.64</v>
      </c>
      <c r="K573" s="723">
        <v>7.43</v>
      </c>
      <c r="L573" s="726">
        <v>833</v>
      </c>
      <c r="M573" s="734">
        <f t="shared" si="81"/>
        <v>0.008919567827130851</v>
      </c>
      <c r="N573" s="127">
        <v>328.526</v>
      </c>
      <c r="O573" s="462">
        <f t="shared" si="82"/>
        <v>2.93030993997599</v>
      </c>
      <c r="P573" s="460">
        <f t="shared" si="83"/>
        <v>535.174069627851</v>
      </c>
      <c r="Q573" s="463">
        <f t="shared" si="84"/>
        <v>175.8185963985594</v>
      </c>
      <c r="S573" s="63"/>
      <c r="T573" s="63"/>
    </row>
    <row r="574" spans="1:20" ht="13.5" thickBot="1">
      <c r="A574" s="1343"/>
      <c r="B574" s="47">
        <v>10</v>
      </c>
      <c r="C574" s="879" t="s">
        <v>370</v>
      </c>
      <c r="D574" s="526">
        <v>50</v>
      </c>
      <c r="E574" s="526">
        <v>1971</v>
      </c>
      <c r="F574" s="724">
        <v>36.6</v>
      </c>
      <c r="G574" s="203">
        <v>3.774</v>
      </c>
      <c r="H574" s="203">
        <v>8</v>
      </c>
      <c r="I574" s="724">
        <v>24.826</v>
      </c>
      <c r="J574" s="727">
        <v>2592.75</v>
      </c>
      <c r="K574" s="724">
        <v>24.83</v>
      </c>
      <c r="L574" s="727">
        <v>2592.75</v>
      </c>
      <c r="M574" s="735">
        <f t="shared" si="81"/>
        <v>0.009576704271526371</v>
      </c>
      <c r="N574" s="721">
        <v>326.455</v>
      </c>
      <c r="O574" s="741">
        <f t="shared" si="82"/>
        <v>3.126362992961141</v>
      </c>
      <c r="P574" s="541">
        <f t="shared" si="83"/>
        <v>574.6022562915822</v>
      </c>
      <c r="Q574" s="542">
        <f t="shared" si="84"/>
        <v>187.58177957766847</v>
      </c>
      <c r="S574" s="63"/>
      <c r="T574" s="63"/>
    </row>
    <row r="575" spans="1:20" ht="11.25" customHeight="1">
      <c r="A575" s="1348" t="s">
        <v>29</v>
      </c>
      <c r="B575" s="395">
        <v>1</v>
      </c>
      <c r="C575" s="362" t="s">
        <v>373</v>
      </c>
      <c r="D575" s="363">
        <v>24</v>
      </c>
      <c r="E575" s="363">
        <v>2010</v>
      </c>
      <c r="F575" s="365">
        <v>12.0433</v>
      </c>
      <c r="G575" s="365" t="s">
        <v>369</v>
      </c>
      <c r="H575" s="365">
        <v>1.92</v>
      </c>
      <c r="I575" s="364">
        <v>10.1233</v>
      </c>
      <c r="J575" s="366">
        <v>1016.52</v>
      </c>
      <c r="K575" s="365">
        <v>10.12</v>
      </c>
      <c r="L575" s="366">
        <v>1016.52</v>
      </c>
      <c r="M575" s="367">
        <f t="shared" si="81"/>
        <v>0.009955534568921417</v>
      </c>
      <c r="N575" s="368">
        <v>328.526</v>
      </c>
      <c r="O575" s="369">
        <f t="shared" si="82"/>
        <v>3.2706519497894777</v>
      </c>
      <c r="P575" s="369">
        <f t="shared" si="83"/>
        <v>597.332074135285</v>
      </c>
      <c r="Q575" s="370">
        <f t="shared" si="84"/>
        <v>196.23911698736865</v>
      </c>
      <c r="S575" s="63"/>
      <c r="T575" s="63"/>
    </row>
    <row r="576" spans="1:20" ht="12.75" customHeight="1">
      <c r="A576" s="1349"/>
      <c r="B576" s="377">
        <v>2</v>
      </c>
      <c r="C576" s="362" t="s">
        <v>371</v>
      </c>
      <c r="D576" s="363">
        <v>50</v>
      </c>
      <c r="E576" s="363">
        <v>1970</v>
      </c>
      <c r="F576" s="364">
        <v>39.031</v>
      </c>
      <c r="G576" s="364">
        <v>5.304</v>
      </c>
      <c r="H576" s="364">
        <v>8</v>
      </c>
      <c r="I576" s="364">
        <v>25.727</v>
      </c>
      <c r="J576" s="372">
        <v>2565.91</v>
      </c>
      <c r="K576" s="364">
        <v>25.73</v>
      </c>
      <c r="L576" s="372">
        <v>2565.91</v>
      </c>
      <c r="M576" s="367">
        <f t="shared" si="81"/>
        <v>0.010027631522539762</v>
      </c>
      <c r="N576" s="368">
        <v>328.526</v>
      </c>
      <c r="O576" s="369">
        <f t="shared" si="82"/>
        <v>3.294337673573898</v>
      </c>
      <c r="P576" s="369">
        <f t="shared" si="83"/>
        <v>601.6578913523857</v>
      </c>
      <c r="Q576" s="370">
        <f t="shared" si="84"/>
        <v>197.66026041443388</v>
      </c>
      <c r="S576" s="63"/>
      <c r="T576" s="63"/>
    </row>
    <row r="577" spans="1:20" ht="12.75" customHeight="1">
      <c r="A577" s="1349"/>
      <c r="B577" s="377">
        <v>3</v>
      </c>
      <c r="C577" s="362" t="s">
        <v>375</v>
      </c>
      <c r="D577" s="363">
        <v>50</v>
      </c>
      <c r="E577" s="363">
        <v>1972</v>
      </c>
      <c r="F577" s="364">
        <v>30.355</v>
      </c>
      <c r="G577" s="364">
        <v>7.23945</v>
      </c>
      <c r="H577" s="364">
        <v>0.5</v>
      </c>
      <c r="I577" s="364">
        <v>22.61555</v>
      </c>
      <c r="J577" s="372">
        <v>2114.27</v>
      </c>
      <c r="K577" s="364">
        <v>22.62</v>
      </c>
      <c r="L577" s="372">
        <v>2114.27</v>
      </c>
      <c r="M577" s="374">
        <f t="shared" si="81"/>
        <v>0.010698728166222858</v>
      </c>
      <c r="N577" s="368">
        <v>328.526</v>
      </c>
      <c r="O577" s="369">
        <f t="shared" si="82"/>
        <v>3.5148103695365305</v>
      </c>
      <c r="P577" s="369">
        <f t="shared" si="83"/>
        <v>641.9236899733714</v>
      </c>
      <c r="Q577" s="375">
        <f t="shared" si="84"/>
        <v>210.88862217219182</v>
      </c>
      <c r="S577" s="63"/>
      <c r="T577" s="63"/>
    </row>
    <row r="578" spans="1:20" ht="12.75" customHeight="1">
      <c r="A578" s="1349"/>
      <c r="B578" s="377">
        <v>4</v>
      </c>
      <c r="C578" s="362" t="s">
        <v>750</v>
      </c>
      <c r="D578" s="363">
        <v>50</v>
      </c>
      <c r="E578" s="363">
        <v>1971</v>
      </c>
      <c r="F578" s="364">
        <v>40.456</v>
      </c>
      <c r="G578" s="364">
        <v>4.692</v>
      </c>
      <c r="H578" s="364">
        <v>8</v>
      </c>
      <c r="I578" s="364">
        <v>27.764</v>
      </c>
      <c r="J578" s="372">
        <v>2573.72</v>
      </c>
      <c r="K578" s="364">
        <v>27.76</v>
      </c>
      <c r="L578" s="372">
        <v>2573.72</v>
      </c>
      <c r="M578" s="374">
        <f t="shared" si="81"/>
        <v>0.010785944080941207</v>
      </c>
      <c r="N578" s="368">
        <v>328.526</v>
      </c>
      <c r="O578" s="376">
        <f t="shared" si="82"/>
        <v>3.543463065135291</v>
      </c>
      <c r="P578" s="369">
        <f t="shared" si="83"/>
        <v>647.1566448564724</v>
      </c>
      <c r="Q578" s="375">
        <f t="shared" si="84"/>
        <v>212.60778390811748</v>
      </c>
      <c r="S578" s="63"/>
      <c r="T578" s="63"/>
    </row>
    <row r="579" spans="1:20" ht="12.75" customHeight="1">
      <c r="A579" s="1349"/>
      <c r="B579" s="377">
        <v>5</v>
      </c>
      <c r="C579" s="362" t="s">
        <v>751</v>
      </c>
      <c r="D579" s="363">
        <v>32</v>
      </c>
      <c r="E579" s="363">
        <v>1966</v>
      </c>
      <c r="F579" s="364">
        <v>31.349</v>
      </c>
      <c r="G579" s="364">
        <v>3.825</v>
      </c>
      <c r="H579" s="364">
        <v>5.12</v>
      </c>
      <c r="I579" s="364">
        <v>22.404</v>
      </c>
      <c r="J579" s="372">
        <v>2036.77</v>
      </c>
      <c r="K579" s="364">
        <v>22.4</v>
      </c>
      <c r="L579" s="372">
        <v>2036.77</v>
      </c>
      <c r="M579" s="374">
        <f t="shared" si="81"/>
        <v>0.010997805348664798</v>
      </c>
      <c r="N579" s="368">
        <v>328.526</v>
      </c>
      <c r="O579" s="376">
        <f t="shared" si="82"/>
        <v>3.6130649999754514</v>
      </c>
      <c r="P579" s="369">
        <f t="shared" si="83"/>
        <v>659.8683209198879</v>
      </c>
      <c r="Q579" s="375">
        <f t="shared" si="84"/>
        <v>216.7838999985271</v>
      </c>
      <c r="S579" s="63"/>
      <c r="T579" s="63"/>
    </row>
    <row r="580" spans="1:20" ht="12.75" customHeight="1">
      <c r="A580" s="1349"/>
      <c r="B580" s="377">
        <v>6</v>
      </c>
      <c r="C580" s="362" t="s">
        <v>372</v>
      </c>
      <c r="D580" s="363">
        <v>50</v>
      </c>
      <c r="E580" s="363">
        <v>1970</v>
      </c>
      <c r="F580" s="364">
        <v>42.12</v>
      </c>
      <c r="G580" s="364">
        <v>4.794</v>
      </c>
      <c r="H580" s="364">
        <v>8</v>
      </c>
      <c r="I580" s="364">
        <v>29.326</v>
      </c>
      <c r="J580" s="372">
        <v>2665.28</v>
      </c>
      <c r="K580" s="364">
        <v>29.33</v>
      </c>
      <c r="L580" s="372">
        <v>2665.28</v>
      </c>
      <c r="M580" s="374">
        <f t="shared" si="81"/>
        <v>0.011004472325609315</v>
      </c>
      <c r="N580" s="368">
        <v>328.526</v>
      </c>
      <c r="O580" s="376">
        <f t="shared" si="82"/>
        <v>3.615255275243126</v>
      </c>
      <c r="P580" s="369">
        <f t="shared" si="83"/>
        <v>660.268339536559</v>
      </c>
      <c r="Q580" s="375">
        <f t="shared" si="84"/>
        <v>216.91531651458757</v>
      </c>
      <c r="S580" s="63"/>
      <c r="T580" s="63"/>
    </row>
    <row r="581" spans="1:20" ht="12.75" customHeight="1">
      <c r="A581" s="1349"/>
      <c r="B581" s="377">
        <v>7</v>
      </c>
      <c r="C581" s="362" t="s">
        <v>374</v>
      </c>
      <c r="D581" s="363">
        <v>55</v>
      </c>
      <c r="E581" s="363">
        <v>1968</v>
      </c>
      <c r="F581" s="364">
        <v>41.163</v>
      </c>
      <c r="G581" s="364">
        <v>4.029</v>
      </c>
      <c r="H581" s="364">
        <v>8.8</v>
      </c>
      <c r="I581" s="364">
        <v>28.334</v>
      </c>
      <c r="J581" s="372">
        <v>2555.52</v>
      </c>
      <c r="K581" s="364">
        <v>28.33</v>
      </c>
      <c r="L581" s="372">
        <v>2555.52</v>
      </c>
      <c r="M581" s="374">
        <f t="shared" si="81"/>
        <v>0.011085806411219633</v>
      </c>
      <c r="N581" s="368">
        <v>328.526</v>
      </c>
      <c r="O581" s="376">
        <f t="shared" si="82"/>
        <v>3.6419756370523415</v>
      </c>
      <c r="P581" s="369">
        <f t="shared" si="83"/>
        <v>665.1483846731779</v>
      </c>
      <c r="Q581" s="375">
        <f t="shared" si="84"/>
        <v>218.51853822314047</v>
      </c>
      <c r="S581" s="63"/>
      <c r="T581" s="63"/>
    </row>
    <row r="582" spans="1:20" ht="12.75" customHeight="1">
      <c r="A582" s="1349"/>
      <c r="B582" s="377">
        <v>8</v>
      </c>
      <c r="C582" s="362" t="s">
        <v>752</v>
      </c>
      <c r="D582" s="363">
        <v>61</v>
      </c>
      <c r="E582" s="363">
        <v>1965</v>
      </c>
      <c r="F582" s="364">
        <v>44.91</v>
      </c>
      <c r="G582" s="364">
        <v>4.421904</v>
      </c>
      <c r="H582" s="364">
        <v>9.6</v>
      </c>
      <c r="I582" s="364">
        <v>30.888096</v>
      </c>
      <c r="J582" s="372">
        <v>2763.12</v>
      </c>
      <c r="K582" s="364">
        <v>30.89</v>
      </c>
      <c r="L582" s="372">
        <v>2763.12</v>
      </c>
      <c r="M582" s="374">
        <f t="shared" si="81"/>
        <v>0.01117939141260604</v>
      </c>
      <c r="N582" s="368">
        <v>328.526</v>
      </c>
      <c r="O582" s="376">
        <f t="shared" si="82"/>
        <v>3.672720743217812</v>
      </c>
      <c r="P582" s="369">
        <f t="shared" si="83"/>
        <v>670.7634847563623</v>
      </c>
      <c r="Q582" s="375">
        <f t="shared" si="84"/>
        <v>220.36324459306869</v>
      </c>
      <c r="S582" s="63"/>
      <c r="T582" s="63"/>
    </row>
    <row r="583" spans="1:20" ht="13.5" customHeight="1">
      <c r="A583" s="1349"/>
      <c r="B583" s="377">
        <v>9</v>
      </c>
      <c r="C583" s="362" t="s">
        <v>753</v>
      </c>
      <c r="D583" s="363">
        <v>50</v>
      </c>
      <c r="E583" s="363">
        <v>1971</v>
      </c>
      <c r="F583" s="364">
        <v>42.981</v>
      </c>
      <c r="G583" s="364">
        <v>4.7736</v>
      </c>
      <c r="H583" s="364">
        <v>8</v>
      </c>
      <c r="I583" s="364">
        <v>30.2074</v>
      </c>
      <c r="J583" s="372">
        <v>2635.3</v>
      </c>
      <c r="K583" s="364">
        <v>30.21</v>
      </c>
      <c r="L583" s="372">
        <v>2635.3</v>
      </c>
      <c r="M583" s="374">
        <f t="shared" si="81"/>
        <v>0.011463590483056956</v>
      </c>
      <c r="N583" s="368">
        <v>328.526</v>
      </c>
      <c r="O583" s="376">
        <f t="shared" si="82"/>
        <v>3.76608752703677</v>
      </c>
      <c r="P583" s="369">
        <f t="shared" si="83"/>
        <v>687.8154289834174</v>
      </c>
      <c r="Q583" s="375">
        <f t="shared" si="84"/>
        <v>225.96525162220618</v>
      </c>
      <c r="S583" s="63"/>
      <c r="T583" s="63"/>
    </row>
    <row r="584" spans="1:20" ht="13.5" customHeight="1" thickBot="1">
      <c r="A584" s="1350"/>
      <c r="B584" s="386">
        <v>10</v>
      </c>
      <c r="C584" s="880" t="s">
        <v>754</v>
      </c>
      <c r="D584" s="398">
        <v>42</v>
      </c>
      <c r="E584" s="398">
        <v>2005</v>
      </c>
      <c r="F584" s="399">
        <v>33.935</v>
      </c>
      <c r="G584" s="399">
        <v>0.9945</v>
      </c>
      <c r="H584" s="399">
        <v>7.44</v>
      </c>
      <c r="I584" s="399">
        <v>25.5005</v>
      </c>
      <c r="J584" s="400">
        <v>2222.7</v>
      </c>
      <c r="K584" s="399">
        <v>24.68</v>
      </c>
      <c r="L584" s="400">
        <v>2150.09</v>
      </c>
      <c r="M584" s="401">
        <f t="shared" si="81"/>
        <v>0.011478589268356208</v>
      </c>
      <c r="N584" s="409">
        <v>328.526</v>
      </c>
      <c r="O584" s="402">
        <f t="shared" si="82"/>
        <v>3.7710150179759916</v>
      </c>
      <c r="P584" s="402">
        <f t="shared" si="83"/>
        <v>688.7153561013724</v>
      </c>
      <c r="Q584" s="403">
        <f t="shared" si="84"/>
        <v>226.2609010785595</v>
      </c>
      <c r="S584" s="63"/>
      <c r="T584" s="63"/>
    </row>
    <row r="585" spans="1:20" ht="12.75">
      <c r="A585" s="1361" t="s">
        <v>46</v>
      </c>
      <c r="B585" s="61">
        <v>1</v>
      </c>
      <c r="C585" s="521" t="s">
        <v>379</v>
      </c>
      <c r="D585" s="492">
        <v>10</v>
      </c>
      <c r="E585" s="492">
        <v>1940</v>
      </c>
      <c r="F585" s="703">
        <v>7.743</v>
      </c>
      <c r="G585" s="703" t="s">
        <v>369</v>
      </c>
      <c r="H585" s="703" t="s">
        <v>369</v>
      </c>
      <c r="I585" s="703">
        <v>7.743</v>
      </c>
      <c r="J585" s="709">
        <v>339.31</v>
      </c>
      <c r="K585" s="703">
        <v>7.74</v>
      </c>
      <c r="L585" s="715">
        <v>339.31</v>
      </c>
      <c r="M585" s="684">
        <f t="shared" si="81"/>
        <v>0.02281099879166544</v>
      </c>
      <c r="N585" s="717">
        <v>328.526</v>
      </c>
      <c r="O585" s="685">
        <f t="shared" si="82"/>
        <v>7.494006189030681</v>
      </c>
      <c r="P585" s="685">
        <f t="shared" si="83"/>
        <v>1368.6599274999264</v>
      </c>
      <c r="Q585" s="686">
        <f t="shared" si="84"/>
        <v>449.6403713418408</v>
      </c>
      <c r="S585" s="63"/>
      <c r="T585" s="63"/>
    </row>
    <row r="586" spans="1:20" ht="12.75">
      <c r="A586" s="1188"/>
      <c r="B586" s="24">
        <v>2</v>
      </c>
      <c r="C586" s="522" t="s">
        <v>755</v>
      </c>
      <c r="D586" s="493">
        <v>6</v>
      </c>
      <c r="E586" s="493">
        <v>1961</v>
      </c>
      <c r="F586" s="704">
        <v>5.87</v>
      </c>
      <c r="G586" s="704" t="s">
        <v>369</v>
      </c>
      <c r="H586" s="704" t="s">
        <v>369</v>
      </c>
      <c r="I586" s="704">
        <v>5.87</v>
      </c>
      <c r="J586" s="710">
        <v>256.56</v>
      </c>
      <c r="K586" s="704">
        <v>5.87</v>
      </c>
      <c r="L586" s="710">
        <v>256.56</v>
      </c>
      <c r="M586" s="650">
        <f t="shared" si="81"/>
        <v>0.022879638291237916</v>
      </c>
      <c r="N586" s="717">
        <v>328.526</v>
      </c>
      <c r="O586" s="508">
        <f t="shared" si="82"/>
        <v>7.516556049267228</v>
      </c>
      <c r="P586" s="685">
        <f t="shared" si="83"/>
        <v>1372.778297474275</v>
      </c>
      <c r="Q586" s="509">
        <f t="shared" si="84"/>
        <v>450.99336295603365</v>
      </c>
      <c r="S586" s="63"/>
      <c r="T586" s="63"/>
    </row>
    <row r="587" spans="1:20" ht="12.75">
      <c r="A587" s="1188"/>
      <c r="B587" s="24">
        <v>3</v>
      </c>
      <c r="C587" s="522" t="s">
        <v>756</v>
      </c>
      <c r="D587" s="493">
        <v>33</v>
      </c>
      <c r="E587" s="493">
        <v>1985</v>
      </c>
      <c r="F587" s="704">
        <v>57.04</v>
      </c>
      <c r="G587" s="704">
        <v>4.176543</v>
      </c>
      <c r="H587" s="704">
        <v>5.28</v>
      </c>
      <c r="I587" s="704">
        <v>47.583457</v>
      </c>
      <c r="J587" s="710">
        <v>2059.6</v>
      </c>
      <c r="K587" s="704">
        <v>47.58</v>
      </c>
      <c r="L587" s="710">
        <v>2059.6</v>
      </c>
      <c r="M587" s="650">
        <f t="shared" si="81"/>
        <v>0.023101573120994368</v>
      </c>
      <c r="N587" s="717">
        <v>328.526</v>
      </c>
      <c r="O587" s="508">
        <f t="shared" si="82"/>
        <v>7.589467411147796</v>
      </c>
      <c r="P587" s="685">
        <f t="shared" si="83"/>
        <v>1386.094387259662</v>
      </c>
      <c r="Q587" s="509">
        <f t="shared" si="84"/>
        <v>455.3680446688677</v>
      </c>
      <c r="S587" s="63"/>
      <c r="T587" s="63"/>
    </row>
    <row r="588" spans="1:20" ht="12.75">
      <c r="A588" s="1188"/>
      <c r="B588" s="24">
        <v>4</v>
      </c>
      <c r="C588" s="522" t="s">
        <v>757</v>
      </c>
      <c r="D588" s="493">
        <v>8</v>
      </c>
      <c r="E588" s="493">
        <v>1970</v>
      </c>
      <c r="F588" s="704">
        <v>9.4163</v>
      </c>
      <c r="G588" s="704">
        <v>0.408</v>
      </c>
      <c r="H588" s="704" t="s">
        <v>369</v>
      </c>
      <c r="I588" s="704">
        <v>9.0083</v>
      </c>
      <c r="J588" s="710">
        <v>389.07</v>
      </c>
      <c r="K588" s="704">
        <v>9.01</v>
      </c>
      <c r="L588" s="710">
        <v>389.07</v>
      </c>
      <c r="M588" s="650">
        <f t="shared" si="81"/>
        <v>0.02315778651656514</v>
      </c>
      <c r="N588" s="717">
        <v>328.526</v>
      </c>
      <c r="O588" s="508">
        <f t="shared" si="82"/>
        <v>7.60793497314108</v>
      </c>
      <c r="P588" s="685">
        <f t="shared" si="83"/>
        <v>1389.4671909939084</v>
      </c>
      <c r="Q588" s="509">
        <f t="shared" si="84"/>
        <v>456.4760983884648</v>
      </c>
      <c r="S588" s="63"/>
      <c r="T588" s="63"/>
    </row>
    <row r="589" spans="1:20" ht="12.75">
      <c r="A589" s="1188"/>
      <c r="B589" s="24">
        <v>5</v>
      </c>
      <c r="C589" s="522" t="s">
        <v>758</v>
      </c>
      <c r="D589" s="493">
        <v>45</v>
      </c>
      <c r="E589" s="493">
        <v>1973</v>
      </c>
      <c r="F589" s="704">
        <v>27.332</v>
      </c>
      <c r="G589" s="704" t="s">
        <v>369</v>
      </c>
      <c r="H589" s="704" t="s">
        <v>369</v>
      </c>
      <c r="I589" s="704">
        <v>27.332</v>
      </c>
      <c r="J589" s="710">
        <v>1179.28</v>
      </c>
      <c r="K589" s="704">
        <v>27.33</v>
      </c>
      <c r="L589" s="710">
        <v>1179.28</v>
      </c>
      <c r="M589" s="650">
        <f t="shared" si="81"/>
        <v>0.023175157723356623</v>
      </c>
      <c r="N589" s="717">
        <v>328.526</v>
      </c>
      <c r="O589" s="508">
        <f t="shared" si="82"/>
        <v>7.613641866223458</v>
      </c>
      <c r="P589" s="685">
        <f t="shared" si="83"/>
        <v>1390.5094634013974</v>
      </c>
      <c r="Q589" s="509">
        <f t="shared" si="84"/>
        <v>456.81851197340745</v>
      </c>
      <c r="S589" s="63"/>
      <c r="T589" s="63"/>
    </row>
    <row r="590" spans="1:20" ht="12.75">
      <c r="A590" s="1188"/>
      <c r="B590" s="24">
        <v>6</v>
      </c>
      <c r="C590" s="522" t="s">
        <v>759</v>
      </c>
      <c r="D590" s="493">
        <v>27</v>
      </c>
      <c r="E590" s="493">
        <v>1977</v>
      </c>
      <c r="F590" s="704">
        <v>12.088</v>
      </c>
      <c r="G590" s="704" t="s">
        <v>369</v>
      </c>
      <c r="H590" s="704" t="s">
        <v>369</v>
      </c>
      <c r="I590" s="704">
        <v>12.088</v>
      </c>
      <c r="J590" s="710">
        <v>574.25</v>
      </c>
      <c r="K590" s="704">
        <v>10.95</v>
      </c>
      <c r="L590" s="710">
        <v>471.37</v>
      </c>
      <c r="M590" s="650">
        <f t="shared" si="81"/>
        <v>0.023230158898529817</v>
      </c>
      <c r="N590" s="717">
        <v>328.526</v>
      </c>
      <c r="O590" s="508">
        <f t="shared" si="82"/>
        <v>7.631711182298407</v>
      </c>
      <c r="P590" s="685">
        <f t="shared" si="83"/>
        <v>1393.809533911789</v>
      </c>
      <c r="Q590" s="509">
        <f t="shared" si="84"/>
        <v>457.9026709379044</v>
      </c>
      <c r="S590" s="63"/>
      <c r="T590" s="63"/>
    </row>
    <row r="591" spans="1:20" ht="12.75">
      <c r="A591" s="1188"/>
      <c r="B591" s="24">
        <v>7</v>
      </c>
      <c r="C591" s="522" t="s">
        <v>376</v>
      </c>
      <c r="D591" s="493">
        <v>8</v>
      </c>
      <c r="E591" s="493">
        <v>1940</v>
      </c>
      <c r="F591" s="704">
        <v>7.223</v>
      </c>
      <c r="G591" s="704" t="s">
        <v>369</v>
      </c>
      <c r="H591" s="704" t="s">
        <v>369</v>
      </c>
      <c r="I591" s="704">
        <v>7.223</v>
      </c>
      <c r="J591" s="710">
        <v>310.83</v>
      </c>
      <c r="K591" s="704">
        <v>7.22</v>
      </c>
      <c r="L591" s="710">
        <v>310.8</v>
      </c>
      <c r="M591" s="650">
        <f t="shared" si="81"/>
        <v>0.02323037323037323</v>
      </c>
      <c r="N591" s="717">
        <v>328.526</v>
      </c>
      <c r="O591" s="508">
        <f t="shared" si="82"/>
        <v>7.631781595881596</v>
      </c>
      <c r="P591" s="685">
        <f t="shared" si="83"/>
        <v>1393.8223938223937</v>
      </c>
      <c r="Q591" s="509">
        <f t="shared" si="84"/>
        <v>457.90689575289576</v>
      </c>
      <c r="S591" s="63"/>
      <c r="T591" s="63"/>
    </row>
    <row r="592" spans="1:20" ht="12.75">
      <c r="A592" s="1188"/>
      <c r="B592" s="24">
        <v>8</v>
      </c>
      <c r="C592" s="522" t="s">
        <v>760</v>
      </c>
      <c r="D592" s="493">
        <v>12</v>
      </c>
      <c r="E592" s="493">
        <v>1979</v>
      </c>
      <c r="F592" s="704">
        <v>12.2667</v>
      </c>
      <c r="G592" s="704" t="s">
        <v>369</v>
      </c>
      <c r="H592" s="704" t="s">
        <v>369</v>
      </c>
      <c r="I592" s="704">
        <v>12.2667</v>
      </c>
      <c r="J592" s="710">
        <v>774.03</v>
      </c>
      <c r="K592" s="704">
        <v>12.27</v>
      </c>
      <c r="L592" s="710">
        <v>527.17</v>
      </c>
      <c r="M592" s="650">
        <f t="shared" si="81"/>
        <v>0.02327522431094334</v>
      </c>
      <c r="N592" s="717">
        <v>328.526</v>
      </c>
      <c r="O592" s="508">
        <f t="shared" si="82"/>
        <v>7.646516341976972</v>
      </c>
      <c r="P592" s="685">
        <f t="shared" si="83"/>
        <v>1396.5134586566003</v>
      </c>
      <c r="Q592" s="509">
        <f t="shared" si="84"/>
        <v>458.79098051861826</v>
      </c>
      <c r="S592" s="63"/>
      <c r="T592" s="63"/>
    </row>
    <row r="593" spans="1:20" ht="12.75">
      <c r="A593" s="1254"/>
      <c r="B593" s="58">
        <v>9</v>
      </c>
      <c r="C593" s="522" t="s">
        <v>384</v>
      </c>
      <c r="D593" s="493">
        <v>7</v>
      </c>
      <c r="E593" s="493">
        <v>1962</v>
      </c>
      <c r="F593" s="704">
        <v>5.771</v>
      </c>
      <c r="G593" s="704" t="s">
        <v>369</v>
      </c>
      <c r="H593" s="704" t="s">
        <v>369</v>
      </c>
      <c r="I593" s="704">
        <v>5.771</v>
      </c>
      <c r="J593" s="710">
        <v>246.96</v>
      </c>
      <c r="K593" s="704">
        <v>5.77</v>
      </c>
      <c r="L593" s="710">
        <v>246.96</v>
      </c>
      <c r="M593" s="650">
        <f t="shared" si="81"/>
        <v>0.023364107547781014</v>
      </c>
      <c r="N593" s="717">
        <v>328.526</v>
      </c>
      <c r="O593" s="508">
        <f t="shared" si="82"/>
        <v>7.675716796242305</v>
      </c>
      <c r="P593" s="685">
        <f t="shared" si="83"/>
        <v>1401.8464528668608</v>
      </c>
      <c r="Q593" s="509">
        <f t="shared" si="84"/>
        <v>460.5430077745383</v>
      </c>
      <c r="S593" s="63"/>
      <c r="T593" s="63"/>
    </row>
    <row r="594" spans="1:20" ht="13.5" thickBot="1">
      <c r="A594" s="1189"/>
      <c r="B594" s="25">
        <v>10</v>
      </c>
      <c r="C594" s="523" t="s">
        <v>761</v>
      </c>
      <c r="D594" s="494">
        <v>45</v>
      </c>
      <c r="E594" s="494">
        <v>1970</v>
      </c>
      <c r="F594" s="705">
        <v>35.4454</v>
      </c>
      <c r="G594" s="705">
        <v>1.791477</v>
      </c>
      <c r="H594" s="705" t="s">
        <v>369</v>
      </c>
      <c r="I594" s="705">
        <v>33.653923</v>
      </c>
      <c r="J594" s="711">
        <v>1450.96</v>
      </c>
      <c r="K594" s="705">
        <v>31.89</v>
      </c>
      <c r="L594" s="711">
        <v>1350.75</v>
      </c>
      <c r="M594" s="687">
        <f t="shared" si="81"/>
        <v>0.023609106052193227</v>
      </c>
      <c r="N594" s="688">
        <v>328.526</v>
      </c>
      <c r="O594" s="689">
        <f t="shared" si="82"/>
        <v>7.756205174902832</v>
      </c>
      <c r="P594" s="689">
        <f t="shared" si="83"/>
        <v>1416.5463631315936</v>
      </c>
      <c r="Q594" s="690">
        <f t="shared" si="84"/>
        <v>465.37231049416994</v>
      </c>
      <c r="S594" s="63"/>
      <c r="T594" s="63"/>
    </row>
    <row r="595" spans="1:20" ht="12.75">
      <c r="A595" s="1354" t="s">
        <v>12</v>
      </c>
      <c r="B595" s="59">
        <v>1</v>
      </c>
      <c r="C595" s="132" t="s">
        <v>381</v>
      </c>
      <c r="D595" s="516">
        <v>8</v>
      </c>
      <c r="E595" s="516">
        <v>1987</v>
      </c>
      <c r="F595" s="706">
        <v>13.414</v>
      </c>
      <c r="G595" s="204">
        <v>1.1373</v>
      </c>
      <c r="H595" s="204">
        <v>1.28</v>
      </c>
      <c r="I595" s="706">
        <v>10.9967</v>
      </c>
      <c r="J595" s="712">
        <v>462.29</v>
      </c>
      <c r="K595" s="706">
        <v>11</v>
      </c>
      <c r="L595" s="299">
        <v>462.29</v>
      </c>
      <c r="M595" s="136">
        <f t="shared" si="81"/>
        <v>0.02379458781284475</v>
      </c>
      <c r="N595" s="134">
        <v>328.526</v>
      </c>
      <c r="O595" s="137">
        <f t="shared" si="82"/>
        <v>7.817140755802634</v>
      </c>
      <c r="P595" s="137">
        <f t="shared" si="83"/>
        <v>1427.6752687706849</v>
      </c>
      <c r="Q595" s="138">
        <f t="shared" si="84"/>
        <v>469.028445348158</v>
      </c>
      <c r="S595" s="63"/>
      <c r="T595" s="63"/>
    </row>
    <row r="596" spans="1:20" ht="12.75">
      <c r="A596" s="1355"/>
      <c r="B596" s="29">
        <v>2</v>
      </c>
      <c r="C596" s="517" t="s">
        <v>762</v>
      </c>
      <c r="D596" s="518">
        <v>18</v>
      </c>
      <c r="E596" s="518">
        <v>1983</v>
      </c>
      <c r="F596" s="707">
        <v>22.377</v>
      </c>
      <c r="G596" s="179">
        <v>0.765</v>
      </c>
      <c r="H596" s="179">
        <v>3.05</v>
      </c>
      <c r="I596" s="707">
        <v>18.562</v>
      </c>
      <c r="J596" s="713">
        <v>773.56</v>
      </c>
      <c r="K596" s="707">
        <v>15.26</v>
      </c>
      <c r="L596" s="713">
        <v>636.06</v>
      </c>
      <c r="M596" s="695">
        <f t="shared" si="81"/>
        <v>0.023991447347734493</v>
      </c>
      <c r="N596" s="134">
        <v>328.526</v>
      </c>
      <c r="O596" s="696">
        <f t="shared" si="82"/>
        <v>7.8818142313618225</v>
      </c>
      <c r="P596" s="137">
        <f t="shared" si="83"/>
        <v>1439.4868408640696</v>
      </c>
      <c r="Q596" s="697">
        <f t="shared" si="84"/>
        <v>472.9088538817093</v>
      </c>
      <c r="S596" s="63"/>
      <c r="T596" s="63"/>
    </row>
    <row r="597" spans="1:20" ht="12.75">
      <c r="A597" s="1355"/>
      <c r="B597" s="29">
        <v>3</v>
      </c>
      <c r="C597" s="517" t="s">
        <v>763</v>
      </c>
      <c r="D597" s="518">
        <v>20</v>
      </c>
      <c r="E597" s="518">
        <v>1990</v>
      </c>
      <c r="F597" s="707">
        <v>23.24</v>
      </c>
      <c r="G597" s="179">
        <v>1.543821</v>
      </c>
      <c r="H597" s="179">
        <v>3.21</v>
      </c>
      <c r="I597" s="707">
        <v>18.486179</v>
      </c>
      <c r="J597" s="713">
        <v>766.34</v>
      </c>
      <c r="K597" s="707">
        <v>16.59</v>
      </c>
      <c r="L597" s="713">
        <v>687.87</v>
      </c>
      <c r="M597" s="695">
        <f t="shared" si="81"/>
        <v>0.024117929259889224</v>
      </c>
      <c r="N597" s="134">
        <v>328.526</v>
      </c>
      <c r="O597" s="696">
        <f t="shared" si="82"/>
        <v>7.923366828034368</v>
      </c>
      <c r="P597" s="137">
        <f t="shared" si="83"/>
        <v>1447.0757555933535</v>
      </c>
      <c r="Q597" s="697">
        <f t="shared" si="84"/>
        <v>475.4020096820621</v>
      </c>
      <c r="S597" s="63"/>
      <c r="T597" s="63"/>
    </row>
    <row r="598" spans="1:20" ht="12.75">
      <c r="A598" s="1355"/>
      <c r="B598" s="29">
        <v>4</v>
      </c>
      <c r="C598" s="517" t="s">
        <v>382</v>
      </c>
      <c r="D598" s="518">
        <v>12</v>
      </c>
      <c r="E598" s="518">
        <v>1973</v>
      </c>
      <c r="F598" s="707">
        <v>14.2901</v>
      </c>
      <c r="G598" s="179">
        <v>0.867</v>
      </c>
      <c r="H598" s="179" t="s">
        <v>369</v>
      </c>
      <c r="I598" s="707">
        <v>13.4231</v>
      </c>
      <c r="J598" s="713">
        <v>556.26</v>
      </c>
      <c r="K598" s="707">
        <v>13.42</v>
      </c>
      <c r="L598" s="713">
        <v>556.26</v>
      </c>
      <c r="M598" s="695">
        <f t="shared" si="81"/>
        <v>0.02412540898141157</v>
      </c>
      <c r="N598" s="134">
        <v>328.526</v>
      </c>
      <c r="O598" s="696">
        <f t="shared" si="82"/>
        <v>7.925824111027218</v>
      </c>
      <c r="P598" s="137">
        <f t="shared" si="83"/>
        <v>1447.5245388846943</v>
      </c>
      <c r="Q598" s="697">
        <f t="shared" si="84"/>
        <v>475.5494466616331</v>
      </c>
      <c r="S598" s="63"/>
      <c r="T598" s="63"/>
    </row>
    <row r="599" spans="1:20" ht="12.75">
      <c r="A599" s="1355"/>
      <c r="B599" s="29">
        <v>5</v>
      </c>
      <c r="C599" s="517" t="s">
        <v>764</v>
      </c>
      <c r="D599" s="518">
        <v>10</v>
      </c>
      <c r="E599" s="518">
        <v>1958</v>
      </c>
      <c r="F599" s="707">
        <v>11.1319</v>
      </c>
      <c r="G599" s="179" t="s">
        <v>369</v>
      </c>
      <c r="H599" s="179" t="s">
        <v>369</v>
      </c>
      <c r="I599" s="707">
        <v>11.1319</v>
      </c>
      <c r="J599" s="713">
        <v>439.06</v>
      </c>
      <c r="K599" s="707">
        <v>11.13</v>
      </c>
      <c r="L599" s="713">
        <v>439.06</v>
      </c>
      <c r="M599" s="695">
        <f t="shared" si="81"/>
        <v>0.025349610531590218</v>
      </c>
      <c r="N599" s="134">
        <v>328.526</v>
      </c>
      <c r="O599" s="696">
        <f t="shared" si="82"/>
        <v>8.328006149501208</v>
      </c>
      <c r="P599" s="137">
        <f t="shared" si="83"/>
        <v>1520.976631895413</v>
      </c>
      <c r="Q599" s="697">
        <f t="shared" si="84"/>
        <v>499.6803689700725</v>
      </c>
      <c r="S599" s="63"/>
      <c r="T599" s="63"/>
    </row>
    <row r="600" spans="1:20" ht="12.75">
      <c r="A600" s="1355"/>
      <c r="B600" s="29">
        <v>6</v>
      </c>
      <c r="C600" s="517" t="s">
        <v>380</v>
      </c>
      <c r="D600" s="518">
        <v>18</v>
      </c>
      <c r="E600" s="518">
        <v>1974</v>
      </c>
      <c r="F600" s="707">
        <v>21.751</v>
      </c>
      <c r="G600" s="179">
        <v>1.326</v>
      </c>
      <c r="H600" s="179" t="s">
        <v>369</v>
      </c>
      <c r="I600" s="707">
        <v>20.425</v>
      </c>
      <c r="J600" s="713">
        <v>799.56</v>
      </c>
      <c r="K600" s="707">
        <v>20.42</v>
      </c>
      <c r="L600" s="713">
        <v>799.56</v>
      </c>
      <c r="M600" s="695">
        <f t="shared" si="81"/>
        <v>0.02553904647556156</v>
      </c>
      <c r="N600" s="134">
        <v>328.526</v>
      </c>
      <c r="O600" s="696">
        <f t="shared" si="82"/>
        <v>8.390240782430338</v>
      </c>
      <c r="P600" s="137">
        <f t="shared" si="83"/>
        <v>1532.3427885336937</v>
      </c>
      <c r="Q600" s="697">
        <f t="shared" si="84"/>
        <v>503.4144469458203</v>
      </c>
      <c r="S600" s="63"/>
      <c r="T600" s="63"/>
    </row>
    <row r="601" spans="1:20" ht="12.75">
      <c r="A601" s="1355"/>
      <c r="B601" s="29">
        <v>7</v>
      </c>
      <c r="C601" s="517" t="s">
        <v>383</v>
      </c>
      <c r="D601" s="518">
        <v>11</v>
      </c>
      <c r="E601" s="518">
        <v>1966</v>
      </c>
      <c r="F601" s="707">
        <v>10.955</v>
      </c>
      <c r="G601" s="179">
        <v>1.120164</v>
      </c>
      <c r="H601" s="179" t="s">
        <v>369</v>
      </c>
      <c r="I601" s="707">
        <v>9.834836</v>
      </c>
      <c r="J601" s="713">
        <v>517.52</v>
      </c>
      <c r="K601" s="707">
        <v>9.23</v>
      </c>
      <c r="L601" s="713">
        <v>340.38</v>
      </c>
      <c r="M601" s="695">
        <f t="shared" si="81"/>
        <v>0.02711675186556202</v>
      </c>
      <c r="N601" s="134">
        <v>328.526</v>
      </c>
      <c r="O601" s="696">
        <f t="shared" si="82"/>
        <v>8.908558023385629</v>
      </c>
      <c r="P601" s="137">
        <f t="shared" si="83"/>
        <v>1627.0051119337213</v>
      </c>
      <c r="Q601" s="697">
        <f t="shared" si="84"/>
        <v>534.5134814031378</v>
      </c>
      <c r="S601" s="63"/>
      <c r="T601" s="63"/>
    </row>
    <row r="602" spans="1:20" ht="12.75">
      <c r="A602" s="1355"/>
      <c r="B602" s="29">
        <v>8</v>
      </c>
      <c r="C602" s="517" t="s">
        <v>377</v>
      </c>
      <c r="D602" s="518">
        <v>12</v>
      </c>
      <c r="E602" s="518">
        <v>1969</v>
      </c>
      <c r="F602" s="707">
        <v>15.598</v>
      </c>
      <c r="G602" s="179">
        <v>0.663</v>
      </c>
      <c r="H602" s="179" t="s">
        <v>369</v>
      </c>
      <c r="I602" s="707">
        <v>14.935</v>
      </c>
      <c r="J602" s="713">
        <v>534.97</v>
      </c>
      <c r="K602" s="707">
        <v>14.93</v>
      </c>
      <c r="L602" s="713">
        <v>534.97</v>
      </c>
      <c r="M602" s="695">
        <f t="shared" si="81"/>
        <v>0.027908106996654015</v>
      </c>
      <c r="N602" s="134">
        <v>328.526</v>
      </c>
      <c r="O602" s="696">
        <f t="shared" si="82"/>
        <v>9.168538759182757</v>
      </c>
      <c r="P602" s="137">
        <f t="shared" si="83"/>
        <v>1674.4864197992408</v>
      </c>
      <c r="Q602" s="697">
        <f t="shared" si="84"/>
        <v>550.1123255509654</v>
      </c>
      <c r="S602" s="63"/>
      <c r="T602" s="63"/>
    </row>
    <row r="603" spans="1:20" ht="12.75">
      <c r="A603" s="1355"/>
      <c r="B603" s="29">
        <v>9</v>
      </c>
      <c r="C603" s="517" t="s">
        <v>385</v>
      </c>
      <c r="D603" s="518">
        <v>13</v>
      </c>
      <c r="E603" s="518">
        <v>1940</v>
      </c>
      <c r="F603" s="707">
        <v>11.998</v>
      </c>
      <c r="G603" s="179" t="s">
        <v>369</v>
      </c>
      <c r="H603" s="179" t="s">
        <v>369</v>
      </c>
      <c r="I603" s="707">
        <v>11.998</v>
      </c>
      <c r="J603" s="713">
        <v>414.47</v>
      </c>
      <c r="K603" s="707">
        <v>12</v>
      </c>
      <c r="L603" s="713">
        <v>414.47</v>
      </c>
      <c r="M603" s="695">
        <f t="shared" si="81"/>
        <v>0.02895263830916592</v>
      </c>
      <c r="N603" s="134">
        <v>328.526</v>
      </c>
      <c r="O603" s="696">
        <f t="shared" si="82"/>
        <v>9.511694453157045</v>
      </c>
      <c r="P603" s="137">
        <f t="shared" si="83"/>
        <v>1737.1582985499551</v>
      </c>
      <c r="Q603" s="697">
        <f t="shared" si="84"/>
        <v>570.7016671894226</v>
      </c>
      <c r="S603" s="63"/>
      <c r="T603" s="63"/>
    </row>
    <row r="604" spans="1:20" ht="13.5" thickBot="1">
      <c r="A604" s="1356"/>
      <c r="B604" s="33">
        <v>10</v>
      </c>
      <c r="C604" s="519" t="s">
        <v>378</v>
      </c>
      <c r="D604" s="520">
        <v>12</v>
      </c>
      <c r="E604" s="520">
        <v>1960</v>
      </c>
      <c r="F604" s="708">
        <v>15.8918</v>
      </c>
      <c r="G604" s="205" t="s">
        <v>369</v>
      </c>
      <c r="H604" s="205" t="s">
        <v>369</v>
      </c>
      <c r="I604" s="708">
        <v>15.8919</v>
      </c>
      <c r="J604" s="714">
        <v>545.77</v>
      </c>
      <c r="K604" s="707">
        <v>15.89</v>
      </c>
      <c r="L604" s="714">
        <v>545.77</v>
      </c>
      <c r="M604" s="698">
        <f t="shared" si="81"/>
        <v>0.029114828590798322</v>
      </c>
      <c r="N604" s="134">
        <v>328.526</v>
      </c>
      <c r="O604" s="699">
        <f t="shared" si="82"/>
        <v>9.56497817762061</v>
      </c>
      <c r="P604" s="699">
        <f t="shared" si="83"/>
        <v>1746.8897154478993</v>
      </c>
      <c r="Q604" s="700">
        <f t="shared" si="84"/>
        <v>573.8986906572366</v>
      </c>
      <c r="S604" s="63"/>
      <c r="T604" s="63"/>
    </row>
    <row r="605" spans="19:20" ht="12.75">
      <c r="S605" s="63"/>
      <c r="T605" s="63"/>
    </row>
    <row r="606" spans="19:20" ht="12.75">
      <c r="S606" s="63"/>
      <c r="T606" s="63"/>
    </row>
    <row r="607" spans="19:20" ht="12.75">
      <c r="S607" s="63"/>
      <c r="T607" s="63"/>
    </row>
    <row r="608" spans="1:20" s="17" customFormat="1" ht="15">
      <c r="A608" s="1233" t="s">
        <v>39</v>
      </c>
      <c r="B608" s="1233"/>
      <c r="C608" s="1233"/>
      <c r="D608" s="1233"/>
      <c r="E608" s="1233"/>
      <c r="F608" s="1233"/>
      <c r="G608" s="1233"/>
      <c r="H608" s="1233"/>
      <c r="I608" s="1233"/>
      <c r="J608" s="1233"/>
      <c r="K608" s="1233"/>
      <c r="L608" s="1233"/>
      <c r="M608" s="1233"/>
      <c r="N608" s="1233"/>
      <c r="O608" s="1233"/>
      <c r="P608" s="1233"/>
      <c r="Q608" s="1233"/>
      <c r="S608" s="63"/>
      <c r="T608" s="63"/>
    </row>
    <row r="609" spans="1:20" s="17" customFormat="1" ht="13.5" customHeight="1" thickBot="1">
      <c r="A609" s="1234" t="s">
        <v>765</v>
      </c>
      <c r="B609" s="1234"/>
      <c r="C609" s="1234"/>
      <c r="D609" s="1234"/>
      <c r="E609" s="1234"/>
      <c r="F609" s="1234"/>
      <c r="G609" s="1234"/>
      <c r="H609" s="1234"/>
      <c r="I609" s="1234"/>
      <c r="J609" s="1234"/>
      <c r="K609" s="1234"/>
      <c r="L609" s="1234"/>
      <c r="M609" s="1234"/>
      <c r="N609" s="1234"/>
      <c r="O609" s="1234"/>
      <c r="P609" s="1234"/>
      <c r="Q609" s="1234"/>
      <c r="S609" s="63"/>
      <c r="T609" s="63"/>
    </row>
    <row r="610" spans="1:20" ht="12.75" customHeight="1">
      <c r="A610" s="1201" t="s">
        <v>1</v>
      </c>
      <c r="B610" s="1203" t="s">
        <v>0</v>
      </c>
      <c r="C610" s="1193" t="s">
        <v>2</v>
      </c>
      <c r="D610" s="1193" t="s">
        <v>3</v>
      </c>
      <c r="E610" s="1193" t="s">
        <v>13</v>
      </c>
      <c r="F610" s="1207" t="s">
        <v>14</v>
      </c>
      <c r="G610" s="1208"/>
      <c r="H610" s="1208"/>
      <c r="I610" s="1209"/>
      <c r="J610" s="1193" t="s">
        <v>4</v>
      </c>
      <c r="K610" s="1193" t="s">
        <v>15</v>
      </c>
      <c r="L610" s="1193" t="s">
        <v>5</v>
      </c>
      <c r="M610" s="1193" t="s">
        <v>6</v>
      </c>
      <c r="N610" s="1193" t="s">
        <v>16</v>
      </c>
      <c r="O610" s="1195" t="s">
        <v>17</v>
      </c>
      <c r="P610" s="1193" t="s">
        <v>25</v>
      </c>
      <c r="Q610" s="1197" t="s">
        <v>26</v>
      </c>
      <c r="S610" s="63"/>
      <c r="T610" s="63"/>
    </row>
    <row r="611" spans="1:20" s="2" customFormat="1" ht="33.75">
      <c r="A611" s="1202"/>
      <c r="B611" s="1204"/>
      <c r="C611" s="1205"/>
      <c r="D611" s="1194"/>
      <c r="E611" s="1194"/>
      <c r="F611" s="26" t="s">
        <v>18</v>
      </c>
      <c r="G611" s="26" t="s">
        <v>19</v>
      </c>
      <c r="H611" s="26" t="s">
        <v>20</v>
      </c>
      <c r="I611" s="26" t="s">
        <v>21</v>
      </c>
      <c r="J611" s="1194"/>
      <c r="K611" s="1194"/>
      <c r="L611" s="1194"/>
      <c r="M611" s="1194"/>
      <c r="N611" s="1194"/>
      <c r="O611" s="1196"/>
      <c r="P611" s="1194"/>
      <c r="Q611" s="1198"/>
      <c r="S611" s="63"/>
      <c r="T611" s="63"/>
    </row>
    <row r="612" spans="1:20" s="3" customFormat="1" ht="13.5" customHeight="1" thickBot="1">
      <c r="A612" s="1259"/>
      <c r="B612" s="1256"/>
      <c r="C612" s="1206"/>
      <c r="D612" s="42" t="s">
        <v>7</v>
      </c>
      <c r="E612" s="42" t="s">
        <v>8</v>
      </c>
      <c r="F612" s="42" t="s">
        <v>9</v>
      </c>
      <c r="G612" s="42" t="s">
        <v>9</v>
      </c>
      <c r="H612" s="42" t="s">
        <v>9</v>
      </c>
      <c r="I612" s="42" t="s">
        <v>9</v>
      </c>
      <c r="J612" s="42" t="s">
        <v>22</v>
      </c>
      <c r="K612" s="42" t="s">
        <v>9</v>
      </c>
      <c r="L612" s="42" t="s">
        <v>22</v>
      </c>
      <c r="M612" s="42" t="s">
        <v>131</v>
      </c>
      <c r="N612" s="42" t="s">
        <v>10</v>
      </c>
      <c r="O612" s="42" t="s">
        <v>132</v>
      </c>
      <c r="P612" s="43" t="s">
        <v>27</v>
      </c>
      <c r="Q612" s="44" t="s">
        <v>28</v>
      </c>
      <c r="S612" s="63"/>
      <c r="T612" s="63"/>
    </row>
    <row r="613" spans="1:20" s="67" customFormat="1" ht="12.75">
      <c r="A613" s="1260" t="s">
        <v>11</v>
      </c>
      <c r="B613" s="71">
        <v>1</v>
      </c>
      <c r="C613" s="163" t="s">
        <v>766</v>
      </c>
      <c r="D613" s="126">
        <v>100</v>
      </c>
      <c r="E613" s="126" t="s">
        <v>64</v>
      </c>
      <c r="F613" s="207">
        <v>34.77</v>
      </c>
      <c r="G613" s="207">
        <v>7.96</v>
      </c>
      <c r="H613" s="207">
        <v>16</v>
      </c>
      <c r="I613" s="207">
        <v>10.81</v>
      </c>
      <c r="J613" s="219">
        <v>4378</v>
      </c>
      <c r="K613" s="207">
        <v>10.81</v>
      </c>
      <c r="L613" s="219">
        <v>4378</v>
      </c>
      <c r="M613" s="139">
        <f>K613/L613</f>
        <v>0.0024691640018273185</v>
      </c>
      <c r="N613" s="127">
        <v>234.2</v>
      </c>
      <c r="O613" s="460">
        <f>M613*N613</f>
        <v>0.5782782092279579</v>
      </c>
      <c r="P613" s="460">
        <f>M613*60*1000</f>
        <v>148.14984010963911</v>
      </c>
      <c r="Q613" s="461">
        <f>P613*N613/1000</f>
        <v>34.69669255367748</v>
      </c>
      <c r="S613" s="63"/>
      <c r="T613" s="63"/>
    </row>
    <row r="614" spans="1:20" s="67" customFormat="1" ht="12.75">
      <c r="A614" s="1211"/>
      <c r="B614" s="66">
        <v>2</v>
      </c>
      <c r="C614" s="125" t="s">
        <v>767</v>
      </c>
      <c r="D614" s="99">
        <v>28</v>
      </c>
      <c r="E614" s="99" t="s">
        <v>64</v>
      </c>
      <c r="F614" s="202">
        <v>12.98</v>
      </c>
      <c r="G614" s="202">
        <v>2.06</v>
      </c>
      <c r="H614" s="202">
        <v>4.08</v>
      </c>
      <c r="I614" s="202">
        <v>6.84</v>
      </c>
      <c r="J614" s="220">
        <v>1538</v>
      </c>
      <c r="K614" s="202">
        <v>6.84</v>
      </c>
      <c r="L614" s="220">
        <v>1538</v>
      </c>
      <c r="M614" s="108">
        <f aca="true" t="shared" si="85" ref="M614:M622">K614/L614</f>
        <v>0.004447334200260078</v>
      </c>
      <c r="N614" s="109">
        <v>234.2</v>
      </c>
      <c r="O614" s="462">
        <f aca="true" t="shared" si="86" ref="O614:O632">M614*N614</f>
        <v>1.0415656697009104</v>
      </c>
      <c r="P614" s="460">
        <f aca="true" t="shared" si="87" ref="P614:P632">M614*60*1000</f>
        <v>266.84005201560467</v>
      </c>
      <c r="Q614" s="463">
        <f aca="true" t="shared" si="88" ref="Q614:Q632">P614*N614/1000</f>
        <v>62.493940182054615</v>
      </c>
      <c r="S614" s="63"/>
      <c r="T614" s="63"/>
    </row>
    <row r="615" spans="1:20" ht="12.75">
      <c r="A615" s="1211"/>
      <c r="B615" s="21">
        <v>3</v>
      </c>
      <c r="C615" s="125" t="s">
        <v>386</v>
      </c>
      <c r="D615" s="99">
        <v>55</v>
      </c>
      <c r="E615" s="99" t="s">
        <v>64</v>
      </c>
      <c r="F615" s="202">
        <v>26.3</v>
      </c>
      <c r="G615" s="202">
        <v>3.16</v>
      </c>
      <c r="H615" s="202">
        <v>8.4</v>
      </c>
      <c r="I615" s="202">
        <v>14.74</v>
      </c>
      <c r="J615" s="220">
        <v>2538</v>
      </c>
      <c r="K615" s="202">
        <v>14.74</v>
      </c>
      <c r="L615" s="220">
        <v>2538</v>
      </c>
      <c r="M615" s="108">
        <f t="shared" si="85"/>
        <v>0.005807722616233255</v>
      </c>
      <c r="N615" s="109">
        <v>234.2</v>
      </c>
      <c r="O615" s="462">
        <f t="shared" si="86"/>
        <v>1.3601686367218282</v>
      </c>
      <c r="P615" s="460">
        <f t="shared" si="87"/>
        <v>348.4633569739953</v>
      </c>
      <c r="Q615" s="463">
        <f t="shared" si="88"/>
        <v>81.6101182033097</v>
      </c>
      <c r="S615" s="63"/>
      <c r="T615" s="63"/>
    </row>
    <row r="616" spans="1:20" ht="12.75">
      <c r="A616" s="1211"/>
      <c r="B616" s="21">
        <v>4</v>
      </c>
      <c r="C616" s="125" t="s">
        <v>768</v>
      </c>
      <c r="D616" s="99">
        <v>15</v>
      </c>
      <c r="E616" s="99" t="s">
        <v>64</v>
      </c>
      <c r="F616" s="202">
        <v>5.52</v>
      </c>
      <c r="G616" s="202">
        <v>0</v>
      </c>
      <c r="H616" s="202">
        <v>0</v>
      </c>
      <c r="I616" s="202">
        <v>5.52</v>
      </c>
      <c r="J616" s="220">
        <v>847</v>
      </c>
      <c r="K616" s="202">
        <v>5.52</v>
      </c>
      <c r="L616" s="220">
        <v>847</v>
      </c>
      <c r="M616" s="108">
        <f t="shared" si="85"/>
        <v>0.006517119244391971</v>
      </c>
      <c r="N616" s="109">
        <v>234.2</v>
      </c>
      <c r="O616" s="462">
        <f t="shared" si="86"/>
        <v>1.5263093270365995</v>
      </c>
      <c r="P616" s="460">
        <f t="shared" si="87"/>
        <v>391.0271546635183</v>
      </c>
      <c r="Q616" s="463">
        <f t="shared" si="88"/>
        <v>91.57855962219597</v>
      </c>
      <c r="S616" s="63"/>
      <c r="T616" s="63"/>
    </row>
    <row r="617" spans="1:20" ht="12.75">
      <c r="A617" s="1211"/>
      <c r="B617" s="21">
        <v>5</v>
      </c>
      <c r="C617" s="125" t="s">
        <v>769</v>
      </c>
      <c r="D617" s="99">
        <v>10</v>
      </c>
      <c r="E617" s="99" t="s">
        <v>64</v>
      </c>
      <c r="F617" s="202">
        <v>7.39</v>
      </c>
      <c r="G617" s="202">
        <v>1.47</v>
      </c>
      <c r="H617" s="202">
        <v>1.6</v>
      </c>
      <c r="I617" s="202">
        <v>4.32</v>
      </c>
      <c r="J617" s="220">
        <v>642</v>
      </c>
      <c r="K617" s="202">
        <v>4.32</v>
      </c>
      <c r="L617" s="220">
        <v>642</v>
      </c>
      <c r="M617" s="108">
        <f t="shared" si="85"/>
        <v>0.0067289719626168224</v>
      </c>
      <c r="N617" s="109">
        <v>234.2</v>
      </c>
      <c r="O617" s="462">
        <f t="shared" si="86"/>
        <v>1.5759252336448597</v>
      </c>
      <c r="P617" s="460">
        <f t="shared" si="87"/>
        <v>403.7383177570094</v>
      </c>
      <c r="Q617" s="463">
        <f t="shared" si="88"/>
        <v>94.5555140186916</v>
      </c>
      <c r="S617" s="63"/>
      <c r="T617" s="63"/>
    </row>
    <row r="618" spans="1:20" ht="12.75">
      <c r="A618" s="1211"/>
      <c r="B618" s="21">
        <v>6</v>
      </c>
      <c r="C618" s="125" t="s">
        <v>770</v>
      </c>
      <c r="D618" s="99">
        <v>75</v>
      </c>
      <c r="E618" s="99" t="s">
        <v>64</v>
      </c>
      <c r="F618" s="202">
        <v>48.6</v>
      </c>
      <c r="G618" s="202">
        <v>6.78</v>
      </c>
      <c r="H618" s="202">
        <v>11.84</v>
      </c>
      <c r="I618" s="202">
        <v>29.98</v>
      </c>
      <c r="J618" s="220">
        <v>3993</v>
      </c>
      <c r="K618" s="202">
        <v>29.98</v>
      </c>
      <c r="L618" s="220">
        <v>3993</v>
      </c>
      <c r="M618" s="108">
        <f t="shared" si="85"/>
        <v>0.007508139243676434</v>
      </c>
      <c r="N618" s="109">
        <v>234.2</v>
      </c>
      <c r="O618" s="462">
        <f t="shared" si="86"/>
        <v>1.7584062108690206</v>
      </c>
      <c r="P618" s="460">
        <f t="shared" si="87"/>
        <v>450.488354620586</v>
      </c>
      <c r="Q618" s="463">
        <f t="shared" si="88"/>
        <v>105.50437265214123</v>
      </c>
      <c r="S618" s="63"/>
      <c r="T618" s="63"/>
    </row>
    <row r="619" spans="1:20" ht="12.75">
      <c r="A619" s="1211"/>
      <c r="B619" s="21">
        <v>7</v>
      </c>
      <c r="C619" s="125" t="s">
        <v>123</v>
      </c>
      <c r="D619" s="99">
        <v>50</v>
      </c>
      <c r="E619" s="99" t="s">
        <v>64</v>
      </c>
      <c r="F619" s="202">
        <v>26.32</v>
      </c>
      <c r="G619" s="202">
        <v>6.94</v>
      </c>
      <c r="H619" s="202">
        <v>0.46</v>
      </c>
      <c r="I619" s="202">
        <v>18.92</v>
      </c>
      <c r="J619" s="220">
        <v>1953</v>
      </c>
      <c r="K619" s="202">
        <v>18.92</v>
      </c>
      <c r="L619" s="220">
        <v>1953</v>
      </c>
      <c r="M619" s="108">
        <f t="shared" si="85"/>
        <v>0.009687660010240656</v>
      </c>
      <c r="N619" s="109">
        <v>234.2</v>
      </c>
      <c r="O619" s="462">
        <f t="shared" si="86"/>
        <v>2.2688499743983614</v>
      </c>
      <c r="P619" s="460">
        <f t="shared" si="87"/>
        <v>581.2596006144394</v>
      </c>
      <c r="Q619" s="463">
        <f t="shared" si="88"/>
        <v>136.1309984639017</v>
      </c>
      <c r="S619" s="63"/>
      <c r="T619" s="63"/>
    </row>
    <row r="620" spans="1:20" ht="12.75">
      <c r="A620" s="1211"/>
      <c r="B620" s="21">
        <v>8</v>
      </c>
      <c r="C620" s="125" t="s">
        <v>771</v>
      </c>
      <c r="D620" s="99">
        <v>48</v>
      </c>
      <c r="E620" s="99" t="s">
        <v>64</v>
      </c>
      <c r="F620" s="202">
        <v>26.74</v>
      </c>
      <c r="G620" s="202">
        <v>6.89</v>
      </c>
      <c r="H620" s="202">
        <v>0.46</v>
      </c>
      <c r="I620" s="202">
        <v>19.39</v>
      </c>
      <c r="J620" s="220">
        <v>1971</v>
      </c>
      <c r="K620" s="202">
        <v>19.39</v>
      </c>
      <c r="L620" s="220">
        <v>1971</v>
      </c>
      <c r="M620" s="108">
        <f t="shared" si="85"/>
        <v>0.009837645865043126</v>
      </c>
      <c r="N620" s="109">
        <v>234.2</v>
      </c>
      <c r="O620" s="462">
        <f t="shared" si="86"/>
        <v>2.3039766615931</v>
      </c>
      <c r="P620" s="460">
        <f t="shared" si="87"/>
        <v>590.2587519025876</v>
      </c>
      <c r="Q620" s="463">
        <f t="shared" si="88"/>
        <v>138.238599695586</v>
      </c>
      <c r="S620" s="63"/>
      <c r="T620" s="63"/>
    </row>
    <row r="621" spans="1:20" ht="12.75">
      <c r="A621" s="1211"/>
      <c r="B621" s="21">
        <v>9</v>
      </c>
      <c r="C621" s="125" t="s">
        <v>389</v>
      </c>
      <c r="D621" s="99">
        <v>45</v>
      </c>
      <c r="E621" s="99" t="s">
        <v>64</v>
      </c>
      <c r="F621" s="202">
        <v>40.76</v>
      </c>
      <c r="G621" s="202">
        <v>4.03</v>
      </c>
      <c r="H621" s="202">
        <v>7.2</v>
      </c>
      <c r="I621" s="202">
        <v>29.53</v>
      </c>
      <c r="J621" s="220">
        <v>2938</v>
      </c>
      <c r="K621" s="202">
        <v>29.53</v>
      </c>
      <c r="L621" s="220">
        <v>2938</v>
      </c>
      <c r="M621" s="108">
        <f t="shared" si="85"/>
        <v>0.010051055139550714</v>
      </c>
      <c r="N621" s="109">
        <v>234.2</v>
      </c>
      <c r="O621" s="462">
        <f t="shared" si="86"/>
        <v>2.3539571136827773</v>
      </c>
      <c r="P621" s="460">
        <f t="shared" si="87"/>
        <v>603.0633083730429</v>
      </c>
      <c r="Q621" s="463">
        <f t="shared" si="88"/>
        <v>141.23742682096665</v>
      </c>
      <c r="S621" s="63"/>
      <c r="T621" s="63"/>
    </row>
    <row r="622" spans="1:20" ht="13.5" thickBot="1">
      <c r="A622" s="1212"/>
      <c r="B622" s="47">
        <v>10</v>
      </c>
      <c r="C622" s="128" t="s">
        <v>772</v>
      </c>
      <c r="D622" s="100">
        <v>75</v>
      </c>
      <c r="E622" s="100" t="s">
        <v>64</v>
      </c>
      <c r="F622" s="203">
        <v>58.32</v>
      </c>
      <c r="G622" s="203">
        <v>6.43</v>
      </c>
      <c r="H622" s="203">
        <v>11.85</v>
      </c>
      <c r="I622" s="203">
        <v>40.04</v>
      </c>
      <c r="J622" s="221">
        <v>3987</v>
      </c>
      <c r="K622" s="203">
        <v>40.04</v>
      </c>
      <c r="L622" s="221">
        <v>3987</v>
      </c>
      <c r="M622" s="140">
        <f t="shared" si="85"/>
        <v>0.010042638575369953</v>
      </c>
      <c r="N622" s="129">
        <v>234.2</v>
      </c>
      <c r="O622" s="741">
        <f t="shared" si="86"/>
        <v>2.3519859543516426</v>
      </c>
      <c r="P622" s="541">
        <f t="shared" si="87"/>
        <v>602.5583145221971</v>
      </c>
      <c r="Q622" s="542">
        <f t="shared" si="88"/>
        <v>141.11915726109856</v>
      </c>
      <c r="S622" s="63"/>
      <c r="T622" s="63"/>
    </row>
    <row r="623" spans="1:20" ht="12.75">
      <c r="A623" s="1324" t="s">
        <v>29</v>
      </c>
      <c r="B623" s="395">
        <v>1</v>
      </c>
      <c r="C623" s="362" t="s">
        <v>388</v>
      </c>
      <c r="D623" s="363">
        <v>11</v>
      </c>
      <c r="E623" s="363" t="s">
        <v>64</v>
      </c>
      <c r="F623" s="365">
        <v>5.75</v>
      </c>
      <c r="G623" s="365">
        <v>0.46</v>
      </c>
      <c r="H623" s="365">
        <v>0.07</v>
      </c>
      <c r="I623" s="364">
        <v>5.22</v>
      </c>
      <c r="J623" s="366">
        <v>512</v>
      </c>
      <c r="K623" s="364">
        <v>5.22</v>
      </c>
      <c r="L623" s="366">
        <v>512</v>
      </c>
      <c r="M623" s="367">
        <f>K623/L623</f>
        <v>0.0101953125</v>
      </c>
      <c r="N623" s="368">
        <v>234.2</v>
      </c>
      <c r="O623" s="369">
        <f t="shared" si="86"/>
        <v>2.3877421875</v>
      </c>
      <c r="P623" s="369">
        <f t="shared" si="87"/>
        <v>611.71875</v>
      </c>
      <c r="Q623" s="370">
        <f t="shared" si="88"/>
        <v>143.26453125</v>
      </c>
      <c r="S623" s="63"/>
      <c r="T623" s="63"/>
    </row>
    <row r="624" spans="1:20" ht="12.75">
      <c r="A624" s="1185"/>
      <c r="B624" s="377">
        <v>2</v>
      </c>
      <c r="C624" s="362" t="s">
        <v>387</v>
      </c>
      <c r="D624" s="363">
        <v>28</v>
      </c>
      <c r="E624" s="363" t="s">
        <v>64</v>
      </c>
      <c r="F624" s="364">
        <v>20.31</v>
      </c>
      <c r="G624" s="364">
        <v>2.24</v>
      </c>
      <c r="H624" s="364">
        <v>3.61</v>
      </c>
      <c r="I624" s="364">
        <v>14.46</v>
      </c>
      <c r="J624" s="372">
        <v>1350</v>
      </c>
      <c r="K624" s="364">
        <v>14.46</v>
      </c>
      <c r="L624" s="372">
        <v>1350</v>
      </c>
      <c r="M624" s="367">
        <f>K624/L624</f>
        <v>0.010711111111111112</v>
      </c>
      <c r="N624" s="373">
        <v>234.2</v>
      </c>
      <c r="O624" s="369">
        <f t="shared" si="86"/>
        <v>2.5085422222222222</v>
      </c>
      <c r="P624" s="369">
        <f t="shared" si="87"/>
        <v>642.6666666666667</v>
      </c>
      <c r="Q624" s="370">
        <f t="shared" si="88"/>
        <v>150.51253333333335</v>
      </c>
      <c r="S624" s="63"/>
      <c r="T624" s="63"/>
    </row>
    <row r="625" spans="1:20" ht="12.75">
      <c r="A625" s="1185"/>
      <c r="B625" s="377">
        <v>3</v>
      </c>
      <c r="C625" s="362" t="s">
        <v>773</v>
      </c>
      <c r="D625" s="363">
        <v>45</v>
      </c>
      <c r="E625" s="363" t="s">
        <v>64</v>
      </c>
      <c r="F625" s="364">
        <v>43.06</v>
      </c>
      <c r="G625" s="364">
        <v>10.66</v>
      </c>
      <c r="H625" s="364">
        <v>7.2</v>
      </c>
      <c r="I625" s="364">
        <v>25.2</v>
      </c>
      <c r="J625" s="372">
        <v>2327</v>
      </c>
      <c r="K625" s="364">
        <v>25.2</v>
      </c>
      <c r="L625" s="372">
        <v>2327</v>
      </c>
      <c r="M625" s="374">
        <f aca="true" t="shared" si="89" ref="M625:M632">K625/L625</f>
        <v>0.010829394069617533</v>
      </c>
      <c r="N625" s="373">
        <v>234.2</v>
      </c>
      <c r="O625" s="369">
        <f t="shared" si="86"/>
        <v>2.536244091104426</v>
      </c>
      <c r="P625" s="369">
        <f t="shared" si="87"/>
        <v>649.763644177052</v>
      </c>
      <c r="Q625" s="375">
        <f t="shared" si="88"/>
        <v>152.1746454662656</v>
      </c>
      <c r="S625" s="63"/>
      <c r="T625" s="63"/>
    </row>
    <row r="626" spans="1:20" ht="12.75">
      <c r="A626" s="1185"/>
      <c r="B626" s="377">
        <v>4</v>
      </c>
      <c r="C626" s="362" t="s">
        <v>774</v>
      </c>
      <c r="D626" s="363">
        <v>45</v>
      </c>
      <c r="E626" s="363" t="s">
        <v>64</v>
      </c>
      <c r="F626" s="364">
        <v>38.92</v>
      </c>
      <c r="G626" s="364">
        <v>5.46</v>
      </c>
      <c r="H626" s="364">
        <v>7.2</v>
      </c>
      <c r="I626" s="364">
        <v>26.26</v>
      </c>
      <c r="J626" s="372">
        <v>2329</v>
      </c>
      <c r="K626" s="364">
        <v>26.26</v>
      </c>
      <c r="L626" s="372">
        <v>2329</v>
      </c>
      <c r="M626" s="374">
        <f t="shared" si="89"/>
        <v>0.011275225418634608</v>
      </c>
      <c r="N626" s="373">
        <v>234.2</v>
      </c>
      <c r="O626" s="376">
        <f t="shared" si="86"/>
        <v>2.640657793044225</v>
      </c>
      <c r="P626" s="369">
        <f t="shared" si="87"/>
        <v>676.5135251180765</v>
      </c>
      <c r="Q626" s="375">
        <f t="shared" si="88"/>
        <v>158.43946758265352</v>
      </c>
      <c r="S626" s="63"/>
      <c r="T626" s="63"/>
    </row>
    <row r="627" spans="1:20" ht="12.75">
      <c r="A627" s="1185"/>
      <c r="B627" s="377">
        <v>5</v>
      </c>
      <c r="C627" s="362" t="s">
        <v>390</v>
      </c>
      <c r="D627" s="363">
        <v>75</v>
      </c>
      <c r="E627" s="363" t="s">
        <v>64</v>
      </c>
      <c r="F627" s="364">
        <v>65.94</v>
      </c>
      <c r="G627" s="364">
        <v>7.85</v>
      </c>
      <c r="H627" s="364">
        <v>11.92</v>
      </c>
      <c r="I627" s="364">
        <v>46.17</v>
      </c>
      <c r="J627" s="372">
        <v>3990</v>
      </c>
      <c r="K627" s="364">
        <v>46.17</v>
      </c>
      <c r="L627" s="372">
        <v>3990</v>
      </c>
      <c r="M627" s="374">
        <f t="shared" si="89"/>
        <v>0.011571428571428571</v>
      </c>
      <c r="N627" s="373">
        <v>234.2</v>
      </c>
      <c r="O627" s="376">
        <f t="shared" si="86"/>
        <v>2.710028571428571</v>
      </c>
      <c r="P627" s="369">
        <f t="shared" si="87"/>
        <v>694.2857142857143</v>
      </c>
      <c r="Q627" s="375">
        <f t="shared" si="88"/>
        <v>162.60171428571428</v>
      </c>
      <c r="S627" s="63"/>
      <c r="T627" s="63"/>
    </row>
    <row r="628" spans="1:20" ht="12.75">
      <c r="A628" s="1185"/>
      <c r="B628" s="377">
        <v>6</v>
      </c>
      <c r="C628" s="362" t="s">
        <v>391</v>
      </c>
      <c r="D628" s="363">
        <v>45</v>
      </c>
      <c r="E628" s="363" t="s">
        <v>64</v>
      </c>
      <c r="F628" s="364">
        <v>38.98</v>
      </c>
      <c r="G628" s="364">
        <v>3.88</v>
      </c>
      <c r="H628" s="364">
        <v>7.2</v>
      </c>
      <c r="I628" s="364">
        <v>27.9</v>
      </c>
      <c r="J628" s="372">
        <v>2334</v>
      </c>
      <c r="K628" s="364">
        <v>27.9</v>
      </c>
      <c r="L628" s="372">
        <v>2334</v>
      </c>
      <c r="M628" s="374">
        <f t="shared" si="89"/>
        <v>0.011953727506426735</v>
      </c>
      <c r="N628" s="373">
        <v>234.2</v>
      </c>
      <c r="O628" s="376">
        <f t="shared" si="86"/>
        <v>2.799562982005141</v>
      </c>
      <c r="P628" s="369">
        <f t="shared" si="87"/>
        <v>717.2236503856041</v>
      </c>
      <c r="Q628" s="375">
        <f t="shared" si="88"/>
        <v>167.97377892030846</v>
      </c>
      <c r="S628" s="63"/>
      <c r="T628" s="63"/>
    </row>
    <row r="629" spans="1:20" ht="12.75">
      <c r="A629" s="1185"/>
      <c r="B629" s="377">
        <v>7</v>
      </c>
      <c r="C629" s="362" t="s">
        <v>775</v>
      </c>
      <c r="D629" s="363">
        <v>45</v>
      </c>
      <c r="E629" s="363" t="s">
        <v>64</v>
      </c>
      <c r="F629" s="364">
        <v>39.52</v>
      </c>
      <c r="G629" s="364">
        <v>3.32</v>
      </c>
      <c r="H629" s="364">
        <v>7.2</v>
      </c>
      <c r="I629" s="364">
        <v>29</v>
      </c>
      <c r="J629" s="372">
        <v>2324</v>
      </c>
      <c r="K629" s="364">
        <v>29</v>
      </c>
      <c r="L629" s="372">
        <v>2324</v>
      </c>
      <c r="M629" s="374">
        <f t="shared" si="89"/>
        <v>0.012478485370051634</v>
      </c>
      <c r="N629" s="373">
        <v>234.2</v>
      </c>
      <c r="O629" s="376">
        <f t="shared" si="86"/>
        <v>2.9224612736660927</v>
      </c>
      <c r="P629" s="369">
        <f t="shared" si="87"/>
        <v>748.709122203098</v>
      </c>
      <c r="Q629" s="375">
        <f t="shared" si="88"/>
        <v>175.34767641996555</v>
      </c>
      <c r="S629" s="63"/>
      <c r="T629" s="63"/>
    </row>
    <row r="630" spans="1:20" ht="12.75">
      <c r="A630" s="1185"/>
      <c r="B630" s="377">
        <v>8</v>
      </c>
      <c r="C630" s="362" t="s">
        <v>776</v>
      </c>
      <c r="D630" s="363">
        <v>54</v>
      </c>
      <c r="E630" s="363" t="s">
        <v>64</v>
      </c>
      <c r="F630" s="364">
        <v>53.44</v>
      </c>
      <c r="G630" s="364">
        <v>6.37</v>
      </c>
      <c r="H630" s="364">
        <v>8.49</v>
      </c>
      <c r="I630" s="364">
        <v>38.58</v>
      </c>
      <c r="J630" s="372">
        <v>3002</v>
      </c>
      <c r="K630" s="364">
        <v>38.58</v>
      </c>
      <c r="L630" s="372">
        <v>3002</v>
      </c>
      <c r="M630" s="374">
        <f t="shared" si="89"/>
        <v>0.01285143237841439</v>
      </c>
      <c r="N630" s="373">
        <v>234.2</v>
      </c>
      <c r="O630" s="376">
        <f t="shared" si="86"/>
        <v>3.00980546302465</v>
      </c>
      <c r="P630" s="369">
        <f t="shared" si="87"/>
        <v>771.0859427048634</v>
      </c>
      <c r="Q630" s="375">
        <f t="shared" si="88"/>
        <v>180.58832778147902</v>
      </c>
      <c r="S630" s="63"/>
      <c r="T630" s="63"/>
    </row>
    <row r="631" spans="1:20" ht="12.75">
      <c r="A631" s="1185"/>
      <c r="B631" s="377">
        <v>9</v>
      </c>
      <c r="C631" s="362" t="s">
        <v>777</v>
      </c>
      <c r="D631" s="363">
        <v>45</v>
      </c>
      <c r="E631" s="363" t="s">
        <v>64</v>
      </c>
      <c r="F631" s="364">
        <v>41.73</v>
      </c>
      <c r="G631" s="364">
        <v>3.52</v>
      </c>
      <c r="H631" s="364">
        <v>7.2</v>
      </c>
      <c r="I631" s="364">
        <v>31.01</v>
      </c>
      <c r="J631" s="372">
        <v>2341</v>
      </c>
      <c r="K631" s="364">
        <v>31.01</v>
      </c>
      <c r="L631" s="372">
        <v>2341</v>
      </c>
      <c r="M631" s="374">
        <f t="shared" si="89"/>
        <v>0.013246475865014951</v>
      </c>
      <c r="N631" s="373">
        <v>234.2</v>
      </c>
      <c r="O631" s="376">
        <f t="shared" si="86"/>
        <v>3.102324647586501</v>
      </c>
      <c r="P631" s="369">
        <f t="shared" si="87"/>
        <v>794.788551900897</v>
      </c>
      <c r="Q631" s="375">
        <f t="shared" si="88"/>
        <v>186.13947885519008</v>
      </c>
      <c r="S631" s="63"/>
      <c r="T631" s="63"/>
    </row>
    <row r="632" spans="1:20" ht="13.5" customHeight="1" thickBot="1">
      <c r="A632" s="1325"/>
      <c r="B632" s="411">
        <v>10</v>
      </c>
      <c r="C632" s="397" t="s">
        <v>778</v>
      </c>
      <c r="D632" s="398">
        <v>55</v>
      </c>
      <c r="E632" s="398" t="s">
        <v>64</v>
      </c>
      <c r="F632" s="399">
        <v>54.46</v>
      </c>
      <c r="G632" s="399">
        <v>4.59</v>
      </c>
      <c r="H632" s="399">
        <v>8.64</v>
      </c>
      <c r="I632" s="399">
        <v>41.22</v>
      </c>
      <c r="J632" s="400">
        <v>2986</v>
      </c>
      <c r="K632" s="399">
        <v>41.22</v>
      </c>
      <c r="L632" s="400">
        <v>2986</v>
      </c>
      <c r="M632" s="401">
        <f t="shared" si="89"/>
        <v>0.013804420629604823</v>
      </c>
      <c r="N632" s="409">
        <v>234.2</v>
      </c>
      <c r="O632" s="402">
        <f t="shared" si="86"/>
        <v>3.232995311453449</v>
      </c>
      <c r="P632" s="402">
        <f t="shared" si="87"/>
        <v>828.2652377762894</v>
      </c>
      <c r="Q632" s="403">
        <f t="shared" si="88"/>
        <v>193.97971868720697</v>
      </c>
      <c r="S632" s="63"/>
      <c r="T632" s="63"/>
    </row>
    <row r="633" spans="1:20" ht="12.75">
      <c r="A633" s="1187" t="s">
        <v>30</v>
      </c>
      <c r="B633" s="22">
        <v>1</v>
      </c>
      <c r="C633" s="176" t="s">
        <v>779</v>
      </c>
      <c r="D633" s="178">
        <v>46</v>
      </c>
      <c r="E633" s="178" t="s">
        <v>64</v>
      </c>
      <c r="F633" s="252">
        <v>44.27</v>
      </c>
      <c r="G633" s="252">
        <v>3.47</v>
      </c>
      <c r="H633" s="252">
        <v>7.2</v>
      </c>
      <c r="I633" s="252">
        <v>33.6</v>
      </c>
      <c r="J633" s="225">
        <v>2361</v>
      </c>
      <c r="K633" s="252">
        <v>33.6</v>
      </c>
      <c r="L633" s="225">
        <v>2361</v>
      </c>
      <c r="M633" s="170">
        <f>K633/L633</f>
        <v>0.014231257941550191</v>
      </c>
      <c r="N633" s="181">
        <v>234.2</v>
      </c>
      <c r="O633" s="169">
        <f>M633*N633</f>
        <v>3.3329606099110545</v>
      </c>
      <c r="P633" s="169">
        <f>M633*60*1000</f>
        <v>853.8754764930114</v>
      </c>
      <c r="Q633" s="171">
        <f>P633*N633/1000</f>
        <v>199.97763659466327</v>
      </c>
      <c r="S633" s="63"/>
      <c r="T633" s="63"/>
    </row>
    <row r="634" spans="1:20" ht="12.75">
      <c r="A634" s="1188"/>
      <c r="B634" s="24">
        <v>2</v>
      </c>
      <c r="C634" s="166" t="s">
        <v>780</v>
      </c>
      <c r="D634" s="102">
        <v>100</v>
      </c>
      <c r="E634" s="102" t="s">
        <v>64</v>
      </c>
      <c r="F634" s="183">
        <v>76.72</v>
      </c>
      <c r="G634" s="183">
        <v>5.41</v>
      </c>
      <c r="H634" s="183">
        <v>15.84</v>
      </c>
      <c r="I634" s="183">
        <v>55.47</v>
      </c>
      <c r="J634" s="226">
        <v>3714</v>
      </c>
      <c r="K634" s="183">
        <v>55.47</v>
      </c>
      <c r="L634" s="226">
        <v>3714</v>
      </c>
      <c r="M634" s="113">
        <f aca="true" t="shared" si="90" ref="M634:M642">K634/L634</f>
        <v>0.014935379644588045</v>
      </c>
      <c r="N634" s="114">
        <v>234.2</v>
      </c>
      <c r="O634" s="115">
        <f aca="true" t="shared" si="91" ref="O634:O642">M634*N634</f>
        <v>3.49786591276252</v>
      </c>
      <c r="P634" s="169">
        <f aca="true" t="shared" si="92" ref="P634:P642">M634*60*1000</f>
        <v>896.1227786752827</v>
      </c>
      <c r="Q634" s="116">
        <f aca="true" t="shared" si="93" ref="Q634:Q642">P634*N634/1000</f>
        <v>209.8719547657512</v>
      </c>
      <c r="S634" s="63"/>
      <c r="T634" s="63"/>
    </row>
    <row r="635" spans="1:20" ht="12.75">
      <c r="A635" s="1188"/>
      <c r="B635" s="24">
        <v>3</v>
      </c>
      <c r="C635" s="166" t="s">
        <v>781</v>
      </c>
      <c r="D635" s="102">
        <v>45</v>
      </c>
      <c r="E635" s="102" t="s">
        <v>64</v>
      </c>
      <c r="F635" s="183">
        <v>47.11</v>
      </c>
      <c r="G635" s="183">
        <v>3.37</v>
      </c>
      <c r="H635" s="183">
        <v>7.2</v>
      </c>
      <c r="I635" s="183">
        <v>36.54</v>
      </c>
      <c r="J635" s="226">
        <v>2332</v>
      </c>
      <c r="K635" s="183">
        <v>36.54</v>
      </c>
      <c r="L635" s="226">
        <v>2332</v>
      </c>
      <c r="M635" s="113">
        <f t="shared" si="90"/>
        <v>0.01566895368782161</v>
      </c>
      <c r="N635" s="114">
        <v>234.2</v>
      </c>
      <c r="O635" s="115">
        <f t="shared" si="91"/>
        <v>3.6696689536878213</v>
      </c>
      <c r="P635" s="169">
        <f t="shared" si="92"/>
        <v>940.1372212692967</v>
      </c>
      <c r="Q635" s="116">
        <f t="shared" si="93"/>
        <v>220.1801372212693</v>
      </c>
      <c r="S635" s="63"/>
      <c r="T635" s="63"/>
    </row>
    <row r="636" spans="1:20" ht="12.75">
      <c r="A636" s="1188"/>
      <c r="B636" s="24">
        <v>4</v>
      </c>
      <c r="C636" s="166" t="s">
        <v>782</v>
      </c>
      <c r="D636" s="102">
        <v>45</v>
      </c>
      <c r="E636" s="102" t="s">
        <v>64</v>
      </c>
      <c r="F636" s="183">
        <v>48.09</v>
      </c>
      <c r="G636" s="183">
        <v>3.37</v>
      </c>
      <c r="H636" s="183">
        <v>7.2</v>
      </c>
      <c r="I636" s="183">
        <v>37.52</v>
      </c>
      <c r="J636" s="226">
        <v>2316</v>
      </c>
      <c r="K636" s="183">
        <v>37.52</v>
      </c>
      <c r="L636" s="226">
        <v>2316</v>
      </c>
      <c r="M636" s="113">
        <f t="shared" si="90"/>
        <v>0.01620034542314335</v>
      </c>
      <c r="N636" s="114">
        <v>234.2</v>
      </c>
      <c r="O636" s="115">
        <f t="shared" si="91"/>
        <v>3.794120898100173</v>
      </c>
      <c r="P636" s="169">
        <f t="shared" si="92"/>
        <v>972.020725388601</v>
      </c>
      <c r="Q636" s="116">
        <f t="shared" si="93"/>
        <v>227.64725388601036</v>
      </c>
      <c r="S636" s="63"/>
      <c r="T636" s="63"/>
    </row>
    <row r="637" spans="1:20" ht="12.75">
      <c r="A637" s="1188"/>
      <c r="B637" s="24">
        <v>5</v>
      </c>
      <c r="C637" s="166" t="s">
        <v>783</v>
      </c>
      <c r="D637" s="102">
        <v>45</v>
      </c>
      <c r="E637" s="102" t="s">
        <v>64</v>
      </c>
      <c r="F637" s="183">
        <v>49.91</v>
      </c>
      <c r="G637" s="183">
        <v>3.47</v>
      </c>
      <c r="H637" s="183">
        <v>7.2</v>
      </c>
      <c r="I637" s="183">
        <v>39.24</v>
      </c>
      <c r="J637" s="226">
        <v>2328</v>
      </c>
      <c r="K637" s="183">
        <v>39.24</v>
      </c>
      <c r="L637" s="226">
        <v>2328</v>
      </c>
      <c r="M637" s="113">
        <f t="shared" si="90"/>
        <v>0.016855670103092784</v>
      </c>
      <c r="N637" s="114">
        <v>234.2</v>
      </c>
      <c r="O637" s="115">
        <f t="shared" si="91"/>
        <v>3.94759793814433</v>
      </c>
      <c r="P637" s="169">
        <f t="shared" si="92"/>
        <v>1011.340206185567</v>
      </c>
      <c r="Q637" s="116">
        <f t="shared" si="93"/>
        <v>236.85587628865977</v>
      </c>
      <c r="S637" s="63"/>
      <c r="T637" s="63"/>
    </row>
    <row r="638" spans="1:20" ht="12.75">
      <c r="A638" s="1188"/>
      <c r="B638" s="24">
        <v>6</v>
      </c>
      <c r="C638" s="166" t="s">
        <v>784</v>
      </c>
      <c r="D638" s="102">
        <v>26</v>
      </c>
      <c r="E638" s="102" t="s">
        <v>64</v>
      </c>
      <c r="F638" s="183">
        <v>32.01</v>
      </c>
      <c r="G638" s="183">
        <v>1.68</v>
      </c>
      <c r="H638" s="183">
        <v>4</v>
      </c>
      <c r="I638" s="183">
        <v>26.33</v>
      </c>
      <c r="J638" s="226">
        <v>1511</v>
      </c>
      <c r="K638" s="183">
        <v>26.33</v>
      </c>
      <c r="L638" s="226">
        <v>1511</v>
      </c>
      <c r="M638" s="113">
        <f t="shared" si="90"/>
        <v>0.017425545996029117</v>
      </c>
      <c r="N638" s="114">
        <v>234.2</v>
      </c>
      <c r="O638" s="115">
        <f t="shared" si="91"/>
        <v>4.081062872270019</v>
      </c>
      <c r="P638" s="169">
        <f t="shared" si="92"/>
        <v>1045.532759761747</v>
      </c>
      <c r="Q638" s="116">
        <f t="shared" si="93"/>
        <v>244.86377233620112</v>
      </c>
      <c r="S638" s="63"/>
      <c r="T638" s="63"/>
    </row>
    <row r="639" spans="1:20" ht="12.75">
      <c r="A639" s="1188"/>
      <c r="B639" s="24">
        <v>7</v>
      </c>
      <c r="C639" s="166" t="s">
        <v>395</v>
      </c>
      <c r="D639" s="102">
        <v>24</v>
      </c>
      <c r="E639" s="102" t="s">
        <v>64</v>
      </c>
      <c r="F639" s="183">
        <v>25</v>
      </c>
      <c r="G639" s="183">
        <v>1.73</v>
      </c>
      <c r="H639" s="183">
        <v>3.76</v>
      </c>
      <c r="I639" s="183">
        <v>19.51</v>
      </c>
      <c r="J639" s="226">
        <v>1107</v>
      </c>
      <c r="K639" s="183">
        <v>19.51</v>
      </c>
      <c r="L639" s="226">
        <v>1107</v>
      </c>
      <c r="M639" s="113">
        <f t="shared" si="90"/>
        <v>0.017624209575429088</v>
      </c>
      <c r="N639" s="114">
        <v>234.2</v>
      </c>
      <c r="O639" s="115">
        <f t="shared" si="91"/>
        <v>4.127589882565492</v>
      </c>
      <c r="P639" s="169">
        <f t="shared" si="92"/>
        <v>1057.4525745257451</v>
      </c>
      <c r="Q639" s="116">
        <f t="shared" si="93"/>
        <v>247.6553929539295</v>
      </c>
      <c r="S639" s="63"/>
      <c r="T639" s="63"/>
    </row>
    <row r="640" spans="1:20" ht="12.75">
      <c r="A640" s="1188"/>
      <c r="B640" s="24">
        <v>8</v>
      </c>
      <c r="C640" s="166" t="s">
        <v>392</v>
      </c>
      <c r="D640" s="102">
        <v>109</v>
      </c>
      <c r="E640" s="102" t="s">
        <v>64</v>
      </c>
      <c r="F640" s="183">
        <v>68.28</v>
      </c>
      <c r="G640" s="183">
        <v>4.07</v>
      </c>
      <c r="H640" s="183">
        <v>16.32</v>
      </c>
      <c r="I640" s="183">
        <v>47.89</v>
      </c>
      <c r="J640" s="226">
        <v>2561</v>
      </c>
      <c r="K640" s="183">
        <v>47.89</v>
      </c>
      <c r="L640" s="226">
        <v>2561</v>
      </c>
      <c r="M640" s="113">
        <f t="shared" si="90"/>
        <v>0.018699726669269816</v>
      </c>
      <c r="N640" s="114">
        <v>234.2</v>
      </c>
      <c r="O640" s="115">
        <f t="shared" si="91"/>
        <v>4.379475985942991</v>
      </c>
      <c r="P640" s="169">
        <f t="shared" si="92"/>
        <v>1121.983600156189</v>
      </c>
      <c r="Q640" s="116">
        <f t="shared" si="93"/>
        <v>262.76855915657944</v>
      </c>
      <c r="S640" s="63"/>
      <c r="T640" s="63"/>
    </row>
    <row r="641" spans="1:20" ht="12.75">
      <c r="A641" s="1188"/>
      <c r="B641" s="24">
        <v>9</v>
      </c>
      <c r="C641" s="166" t="s">
        <v>394</v>
      </c>
      <c r="D641" s="102">
        <v>100</v>
      </c>
      <c r="E641" s="102" t="s">
        <v>64</v>
      </c>
      <c r="F641" s="183">
        <v>67.34</v>
      </c>
      <c r="G641" s="183">
        <v>3.37</v>
      </c>
      <c r="H641" s="183">
        <v>0.84</v>
      </c>
      <c r="I641" s="183">
        <v>63.13</v>
      </c>
      <c r="J641" s="226">
        <v>3237</v>
      </c>
      <c r="K641" s="183">
        <v>63.13</v>
      </c>
      <c r="L641" s="226">
        <v>3237</v>
      </c>
      <c r="M641" s="113">
        <f t="shared" si="90"/>
        <v>0.01950262588816806</v>
      </c>
      <c r="N641" s="114">
        <v>234.2</v>
      </c>
      <c r="O641" s="115">
        <f t="shared" si="91"/>
        <v>4.56751498300896</v>
      </c>
      <c r="P641" s="169">
        <f t="shared" si="92"/>
        <v>1170.1575532900836</v>
      </c>
      <c r="Q641" s="116">
        <f t="shared" si="93"/>
        <v>274.05089898053757</v>
      </c>
      <c r="S641" s="63"/>
      <c r="T641" s="63"/>
    </row>
    <row r="642" spans="1:20" ht="13.5" thickBot="1">
      <c r="A642" s="1189"/>
      <c r="B642" s="25">
        <v>10</v>
      </c>
      <c r="C642" s="177" t="s">
        <v>785</v>
      </c>
      <c r="D642" s="103">
        <v>20</v>
      </c>
      <c r="E642" s="103" t="s">
        <v>64</v>
      </c>
      <c r="F642" s="251">
        <v>23.56</v>
      </c>
      <c r="G642" s="251">
        <v>1.48</v>
      </c>
      <c r="H642" s="251">
        <v>3.2</v>
      </c>
      <c r="I642" s="251">
        <v>18.88</v>
      </c>
      <c r="J642" s="227">
        <v>954</v>
      </c>
      <c r="K642" s="251">
        <v>18.88</v>
      </c>
      <c r="L642" s="227">
        <v>954</v>
      </c>
      <c r="M642" s="172">
        <f t="shared" si="90"/>
        <v>0.019790356394129977</v>
      </c>
      <c r="N642" s="182">
        <v>234.2</v>
      </c>
      <c r="O642" s="173">
        <f t="shared" si="91"/>
        <v>4.63490146750524</v>
      </c>
      <c r="P642" s="173">
        <f t="shared" si="92"/>
        <v>1187.4213836477986</v>
      </c>
      <c r="Q642" s="174">
        <f t="shared" si="93"/>
        <v>278.0940880503144</v>
      </c>
      <c r="S642" s="63"/>
      <c r="T642" s="63"/>
    </row>
    <row r="643" spans="1:20" ht="12.75">
      <c r="A643" s="1253" t="s">
        <v>12</v>
      </c>
      <c r="B643" s="27">
        <v>1</v>
      </c>
      <c r="C643" s="132" t="s">
        <v>786</v>
      </c>
      <c r="D643" s="133">
        <v>29</v>
      </c>
      <c r="E643" s="133" t="s">
        <v>64</v>
      </c>
      <c r="F643" s="204">
        <v>27</v>
      </c>
      <c r="G643" s="204">
        <v>0.3</v>
      </c>
      <c r="H643" s="204">
        <v>0.28</v>
      </c>
      <c r="I643" s="204">
        <v>26.42</v>
      </c>
      <c r="J643" s="223">
        <v>1289</v>
      </c>
      <c r="K643" s="204">
        <v>26.42</v>
      </c>
      <c r="L643" s="223">
        <v>1289</v>
      </c>
      <c r="M643" s="136">
        <f>K643/L643</f>
        <v>0.020496508921644688</v>
      </c>
      <c r="N643" s="134">
        <v>234.2</v>
      </c>
      <c r="O643" s="137">
        <f>M643*N643</f>
        <v>4.800282389449186</v>
      </c>
      <c r="P643" s="137">
        <f>M643*60*1000</f>
        <v>1229.7905352986813</v>
      </c>
      <c r="Q643" s="138">
        <f>P643*N643/1000</f>
        <v>288.0169433669511</v>
      </c>
      <c r="S643" s="63"/>
      <c r="T643" s="63"/>
    </row>
    <row r="644" spans="1:20" ht="12.75">
      <c r="A644" s="1191"/>
      <c r="B644" s="29">
        <v>2</v>
      </c>
      <c r="C644" s="135" t="s">
        <v>396</v>
      </c>
      <c r="D644" s="104">
        <v>12</v>
      </c>
      <c r="E644" s="104" t="s">
        <v>64</v>
      </c>
      <c r="F644" s="179">
        <v>13.53</v>
      </c>
      <c r="G644" s="179">
        <v>0.41</v>
      </c>
      <c r="H644" s="179">
        <v>1.92</v>
      </c>
      <c r="I644" s="179">
        <v>11.2</v>
      </c>
      <c r="J644" s="224">
        <v>540</v>
      </c>
      <c r="K644" s="179">
        <v>11.2</v>
      </c>
      <c r="L644" s="224">
        <v>540</v>
      </c>
      <c r="M644" s="117">
        <f aca="true" t="shared" si="94" ref="M644:M652">K644/L644</f>
        <v>0.02074074074074074</v>
      </c>
      <c r="N644" s="118">
        <v>234.2</v>
      </c>
      <c r="O644" s="119">
        <f aca="true" t="shared" si="95" ref="O644:O652">M644*N644</f>
        <v>4.857481481481481</v>
      </c>
      <c r="P644" s="137">
        <f aca="true" t="shared" si="96" ref="P644:P652">M644*60*1000</f>
        <v>1244.4444444444446</v>
      </c>
      <c r="Q644" s="120">
        <f aca="true" t="shared" si="97" ref="Q644:Q652">P644*N644/1000</f>
        <v>291.44888888888886</v>
      </c>
      <c r="S644" s="63"/>
      <c r="T644" s="63"/>
    </row>
    <row r="645" spans="1:20" ht="12.75">
      <c r="A645" s="1191"/>
      <c r="B645" s="29">
        <v>3</v>
      </c>
      <c r="C645" s="135" t="s">
        <v>393</v>
      </c>
      <c r="D645" s="104">
        <v>44</v>
      </c>
      <c r="E645" s="104" t="s">
        <v>64</v>
      </c>
      <c r="F645" s="179">
        <v>38.97</v>
      </c>
      <c r="G645" s="179">
        <v>0</v>
      </c>
      <c r="H645" s="179">
        <v>0</v>
      </c>
      <c r="I645" s="179">
        <v>38.97</v>
      </c>
      <c r="J645" s="224">
        <v>1876</v>
      </c>
      <c r="K645" s="179">
        <v>38.97</v>
      </c>
      <c r="L645" s="224">
        <v>1876</v>
      </c>
      <c r="M645" s="117">
        <f t="shared" si="94"/>
        <v>0.020772921108742005</v>
      </c>
      <c r="N645" s="118">
        <v>234.2</v>
      </c>
      <c r="O645" s="119">
        <f t="shared" si="95"/>
        <v>4.865018123667377</v>
      </c>
      <c r="P645" s="137">
        <f t="shared" si="96"/>
        <v>1246.3752665245202</v>
      </c>
      <c r="Q645" s="120">
        <f t="shared" si="97"/>
        <v>291.9010874200426</v>
      </c>
      <c r="S645" s="63"/>
      <c r="T645" s="63"/>
    </row>
    <row r="646" spans="1:20" ht="12.75">
      <c r="A646" s="1191"/>
      <c r="B646" s="29">
        <v>4</v>
      </c>
      <c r="C646" s="135" t="s">
        <v>397</v>
      </c>
      <c r="D646" s="104">
        <v>8</v>
      </c>
      <c r="E646" s="104" t="s">
        <v>64</v>
      </c>
      <c r="F646" s="179">
        <v>9.4</v>
      </c>
      <c r="G646" s="179">
        <v>0.66</v>
      </c>
      <c r="H646" s="179">
        <v>0.08</v>
      </c>
      <c r="I646" s="179">
        <v>8.66</v>
      </c>
      <c r="J646" s="224">
        <v>397</v>
      </c>
      <c r="K646" s="179">
        <v>8.66</v>
      </c>
      <c r="L646" s="224">
        <v>397</v>
      </c>
      <c r="M646" s="117">
        <f t="shared" si="94"/>
        <v>0.02181360201511335</v>
      </c>
      <c r="N646" s="118">
        <v>234.2</v>
      </c>
      <c r="O646" s="119">
        <f t="shared" si="95"/>
        <v>5.108745591939546</v>
      </c>
      <c r="P646" s="137">
        <f t="shared" si="96"/>
        <v>1308.816120906801</v>
      </c>
      <c r="Q646" s="120">
        <f t="shared" si="97"/>
        <v>306.5247355163728</v>
      </c>
      <c r="S646" s="63"/>
      <c r="T646" s="63"/>
    </row>
    <row r="647" spans="1:20" ht="12.75">
      <c r="A647" s="1191"/>
      <c r="B647" s="29">
        <v>5</v>
      </c>
      <c r="C647" s="135" t="s">
        <v>787</v>
      </c>
      <c r="D647" s="104">
        <v>11</v>
      </c>
      <c r="E647" s="104" t="s">
        <v>64</v>
      </c>
      <c r="F647" s="179">
        <v>13.77</v>
      </c>
      <c r="G647" s="179">
        <v>0.76</v>
      </c>
      <c r="H647" s="179">
        <v>1.68</v>
      </c>
      <c r="I647" s="179">
        <v>11.33</v>
      </c>
      <c r="J647" s="224">
        <v>531</v>
      </c>
      <c r="K647" s="179">
        <v>11.33</v>
      </c>
      <c r="L647" s="224">
        <v>531</v>
      </c>
      <c r="M647" s="117">
        <f t="shared" si="94"/>
        <v>0.021337099811676082</v>
      </c>
      <c r="N647" s="118">
        <v>234.2</v>
      </c>
      <c r="O647" s="119">
        <f t="shared" si="95"/>
        <v>4.997148775894538</v>
      </c>
      <c r="P647" s="137">
        <f t="shared" si="96"/>
        <v>1280.2259887005648</v>
      </c>
      <c r="Q647" s="120">
        <f t="shared" si="97"/>
        <v>299.82892655367226</v>
      </c>
      <c r="S647" s="63"/>
      <c r="T647" s="63"/>
    </row>
    <row r="648" spans="1:20" ht="12.75">
      <c r="A648" s="1191"/>
      <c r="B648" s="29">
        <v>6</v>
      </c>
      <c r="C648" s="135" t="s">
        <v>399</v>
      </c>
      <c r="D648" s="104">
        <v>12</v>
      </c>
      <c r="E648" s="104" t="s">
        <v>64</v>
      </c>
      <c r="F648" s="179">
        <v>13.99</v>
      </c>
      <c r="G648" s="179">
        <v>0.3</v>
      </c>
      <c r="H648" s="179">
        <v>0.12</v>
      </c>
      <c r="I648" s="179">
        <v>13.57</v>
      </c>
      <c r="J648" s="224">
        <v>601</v>
      </c>
      <c r="K648" s="179">
        <v>13.57</v>
      </c>
      <c r="L648" s="224">
        <v>601</v>
      </c>
      <c r="M648" s="117">
        <f t="shared" si="94"/>
        <v>0.022579034941763727</v>
      </c>
      <c r="N648" s="118">
        <v>234.2</v>
      </c>
      <c r="O648" s="119">
        <f t="shared" si="95"/>
        <v>5.288009983361064</v>
      </c>
      <c r="P648" s="137">
        <f t="shared" si="96"/>
        <v>1354.7420965058236</v>
      </c>
      <c r="Q648" s="120">
        <f t="shared" si="97"/>
        <v>317.28059900166386</v>
      </c>
      <c r="S648" s="63"/>
      <c r="T648" s="63"/>
    </row>
    <row r="649" spans="1:20" ht="12.75">
      <c r="A649" s="1191"/>
      <c r="B649" s="29">
        <v>7</v>
      </c>
      <c r="C649" s="135" t="s">
        <v>788</v>
      </c>
      <c r="D649" s="104">
        <v>25</v>
      </c>
      <c r="E649" s="104" t="s">
        <v>64</v>
      </c>
      <c r="F649" s="179">
        <v>26.46</v>
      </c>
      <c r="G649" s="179">
        <v>1.17</v>
      </c>
      <c r="H649" s="179">
        <v>3.92</v>
      </c>
      <c r="I649" s="179">
        <v>21.37</v>
      </c>
      <c r="J649" s="224">
        <v>912</v>
      </c>
      <c r="K649" s="179">
        <v>21.37</v>
      </c>
      <c r="L649" s="224">
        <v>912</v>
      </c>
      <c r="M649" s="117">
        <f t="shared" si="94"/>
        <v>0.02343201754385965</v>
      </c>
      <c r="N649" s="118">
        <v>234.2</v>
      </c>
      <c r="O649" s="119">
        <f t="shared" si="95"/>
        <v>5.48777850877193</v>
      </c>
      <c r="P649" s="137">
        <f t="shared" si="96"/>
        <v>1405.921052631579</v>
      </c>
      <c r="Q649" s="120">
        <f t="shared" si="97"/>
        <v>329.26671052631576</v>
      </c>
      <c r="S649" s="63"/>
      <c r="T649" s="63"/>
    </row>
    <row r="650" spans="1:20" ht="12.75">
      <c r="A650" s="1191"/>
      <c r="B650" s="29">
        <v>8</v>
      </c>
      <c r="C650" s="135" t="s">
        <v>398</v>
      </c>
      <c r="D650" s="104">
        <v>10</v>
      </c>
      <c r="E650" s="104" t="s">
        <v>64</v>
      </c>
      <c r="F650" s="179">
        <v>14.65</v>
      </c>
      <c r="G650" s="179">
        <v>0.41</v>
      </c>
      <c r="H650" s="179">
        <v>1.52</v>
      </c>
      <c r="I650" s="179">
        <v>12.72</v>
      </c>
      <c r="J650" s="224">
        <v>528</v>
      </c>
      <c r="K650" s="179">
        <v>12.72</v>
      </c>
      <c r="L650" s="224">
        <v>528</v>
      </c>
      <c r="M650" s="117">
        <f t="shared" si="94"/>
        <v>0.024090909090909093</v>
      </c>
      <c r="N650" s="118">
        <v>234.2</v>
      </c>
      <c r="O650" s="119">
        <f t="shared" si="95"/>
        <v>5.64209090909091</v>
      </c>
      <c r="P650" s="137">
        <f t="shared" si="96"/>
        <v>1445.4545454545455</v>
      </c>
      <c r="Q650" s="120">
        <f t="shared" si="97"/>
        <v>338.5254545454545</v>
      </c>
      <c r="S650" s="63"/>
      <c r="T650" s="63"/>
    </row>
    <row r="651" spans="1:20" ht="12.75">
      <c r="A651" s="1191"/>
      <c r="B651" s="29">
        <v>9</v>
      </c>
      <c r="C651" s="209" t="s">
        <v>789</v>
      </c>
      <c r="D651" s="104">
        <v>55</v>
      </c>
      <c r="E651" s="104" t="s">
        <v>64</v>
      </c>
      <c r="F651" s="179">
        <v>75.14</v>
      </c>
      <c r="G651" s="179">
        <v>0.61</v>
      </c>
      <c r="H651" s="179">
        <v>8.8</v>
      </c>
      <c r="I651" s="179">
        <v>65.73</v>
      </c>
      <c r="J651" s="224">
        <v>2541</v>
      </c>
      <c r="K651" s="179">
        <v>65.73</v>
      </c>
      <c r="L651" s="224">
        <v>2541</v>
      </c>
      <c r="M651" s="117">
        <f t="shared" si="94"/>
        <v>0.025867768595041325</v>
      </c>
      <c r="N651" s="118">
        <v>234.2</v>
      </c>
      <c r="O651" s="119">
        <f t="shared" si="95"/>
        <v>6.058231404958678</v>
      </c>
      <c r="P651" s="137">
        <f t="shared" si="96"/>
        <v>1552.0661157024795</v>
      </c>
      <c r="Q651" s="120">
        <f t="shared" si="97"/>
        <v>363.49388429752065</v>
      </c>
      <c r="S651" s="63"/>
      <c r="T651" s="63"/>
    </row>
    <row r="652" spans="1:20" ht="13.5" thickBot="1">
      <c r="A652" s="1192"/>
      <c r="B652" s="33">
        <v>10</v>
      </c>
      <c r="C652" s="210" t="s">
        <v>790</v>
      </c>
      <c r="D652" s="105">
        <v>30</v>
      </c>
      <c r="E652" s="105" t="s">
        <v>64</v>
      </c>
      <c r="F652" s="205">
        <v>48.98</v>
      </c>
      <c r="G652" s="205">
        <v>2.04</v>
      </c>
      <c r="H652" s="205">
        <v>4.8</v>
      </c>
      <c r="I652" s="205">
        <v>42.14</v>
      </c>
      <c r="J652" s="278">
        <v>1511</v>
      </c>
      <c r="K652" s="205">
        <v>42.14</v>
      </c>
      <c r="L652" s="278">
        <v>1511</v>
      </c>
      <c r="M652" s="121">
        <f t="shared" si="94"/>
        <v>0.027888815354070152</v>
      </c>
      <c r="N652" s="122">
        <v>234.2</v>
      </c>
      <c r="O652" s="123">
        <f t="shared" si="95"/>
        <v>6.531560555923229</v>
      </c>
      <c r="P652" s="123">
        <f t="shared" si="96"/>
        <v>1673.3289212442091</v>
      </c>
      <c r="Q652" s="124">
        <f t="shared" si="97"/>
        <v>391.8936333553938</v>
      </c>
      <c r="S652" s="63"/>
      <c r="T652" s="63"/>
    </row>
    <row r="653" spans="19:20" ht="12.75">
      <c r="S653" s="63"/>
      <c r="T653" s="63"/>
    </row>
    <row r="654" spans="19:20" ht="12.75">
      <c r="S654" s="63"/>
      <c r="T654" s="63"/>
    </row>
    <row r="655" spans="19:20" ht="12.75">
      <c r="S655" s="63"/>
      <c r="T655" s="63"/>
    </row>
    <row r="656" spans="3:20" ht="12.75">
      <c r="C656" s="1"/>
      <c r="D656" s="1"/>
      <c r="E656" s="1"/>
      <c r="S656" s="63"/>
      <c r="T656" s="63"/>
    </row>
    <row r="657" spans="3:20" ht="12.75">
      <c r="C657" s="1"/>
      <c r="D657" s="1"/>
      <c r="E657" s="1"/>
      <c r="S657" s="63"/>
      <c r="T657" s="63"/>
    </row>
    <row r="658" spans="1:20" s="17" customFormat="1" ht="12.75" customHeight="1">
      <c r="A658" s="1233" t="s">
        <v>40</v>
      </c>
      <c r="B658" s="1233"/>
      <c r="C658" s="1233"/>
      <c r="D658" s="1233"/>
      <c r="E658" s="1233"/>
      <c r="F658" s="1233"/>
      <c r="G658" s="1233"/>
      <c r="H658" s="1233"/>
      <c r="I658" s="1233"/>
      <c r="J658" s="1233"/>
      <c r="K658" s="1233"/>
      <c r="L658" s="1233"/>
      <c r="M658" s="1233"/>
      <c r="N658" s="1233"/>
      <c r="O658" s="1233"/>
      <c r="P658" s="1233"/>
      <c r="Q658" s="1233"/>
      <c r="S658" s="63"/>
      <c r="T658" s="63"/>
    </row>
    <row r="659" spans="1:20" s="17" customFormat="1" ht="15" customHeight="1" thickBot="1">
      <c r="A659" s="1234" t="s">
        <v>791</v>
      </c>
      <c r="B659" s="1234"/>
      <c r="C659" s="1234"/>
      <c r="D659" s="1234"/>
      <c r="E659" s="1234"/>
      <c r="F659" s="1234"/>
      <c r="G659" s="1234"/>
      <c r="H659" s="1234"/>
      <c r="I659" s="1234"/>
      <c r="J659" s="1234"/>
      <c r="K659" s="1234"/>
      <c r="L659" s="1234"/>
      <c r="M659" s="1234"/>
      <c r="N659" s="1234"/>
      <c r="O659" s="1234"/>
      <c r="P659" s="1234"/>
      <c r="Q659" s="1234"/>
      <c r="S659" s="63"/>
      <c r="T659" s="63"/>
    </row>
    <row r="660" spans="1:20" ht="12.75" customHeight="1">
      <c r="A660" s="1235" t="s">
        <v>1</v>
      </c>
      <c r="B660" s="1203" t="s">
        <v>0</v>
      </c>
      <c r="C660" s="1226" t="s">
        <v>2</v>
      </c>
      <c r="D660" s="1226" t="s">
        <v>3</v>
      </c>
      <c r="E660" s="1226" t="s">
        <v>41</v>
      </c>
      <c r="F660" s="1241" t="s">
        <v>14</v>
      </c>
      <c r="G660" s="1241"/>
      <c r="H660" s="1241"/>
      <c r="I660" s="1241"/>
      <c r="J660" s="1226" t="s">
        <v>4</v>
      </c>
      <c r="K660" s="1226" t="s">
        <v>15</v>
      </c>
      <c r="L660" s="1226" t="s">
        <v>5</v>
      </c>
      <c r="M660" s="1226" t="s">
        <v>6</v>
      </c>
      <c r="N660" s="1226" t="s">
        <v>16</v>
      </c>
      <c r="O660" s="1226" t="s">
        <v>17</v>
      </c>
      <c r="P660" s="1239" t="s">
        <v>25</v>
      </c>
      <c r="Q660" s="1197" t="s">
        <v>26</v>
      </c>
      <c r="S660" s="63"/>
      <c r="T660" s="63"/>
    </row>
    <row r="661" spans="1:20" s="2" customFormat="1" ht="33.75">
      <c r="A661" s="1236"/>
      <c r="B661" s="1204"/>
      <c r="C661" s="1227"/>
      <c r="D661" s="1227"/>
      <c r="E661" s="1227"/>
      <c r="F661" s="26" t="s">
        <v>18</v>
      </c>
      <c r="G661" s="26" t="s">
        <v>19</v>
      </c>
      <c r="H661" s="26" t="s">
        <v>32</v>
      </c>
      <c r="I661" s="26" t="s">
        <v>21</v>
      </c>
      <c r="J661" s="1227"/>
      <c r="K661" s="1227"/>
      <c r="L661" s="1227"/>
      <c r="M661" s="1227"/>
      <c r="N661" s="1227"/>
      <c r="O661" s="1227"/>
      <c r="P661" s="1240"/>
      <c r="Q661" s="1198"/>
      <c r="S661" s="63"/>
      <c r="T661" s="63"/>
    </row>
    <row r="662" spans="1:20" s="3" customFormat="1" ht="13.5" customHeight="1" thickBot="1">
      <c r="A662" s="1237"/>
      <c r="B662" s="1204"/>
      <c r="C662" s="1238"/>
      <c r="D662" s="42" t="s">
        <v>7</v>
      </c>
      <c r="E662" s="42" t="s">
        <v>8</v>
      </c>
      <c r="F662" s="42" t="s">
        <v>9</v>
      </c>
      <c r="G662" s="42" t="s">
        <v>9</v>
      </c>
      <c r="H662" s="42" t="s">
        <v>9</v>
      </c>
      <c r="I662" s="42" t="s">
        <v>9</v>
      </c>
      <c r="J662" s="42" t="s">
        <v>22</v>
      </c>
      <c r="K662" s="42" t="s">
        <v>9</v>
      </c>
      <c r="L662" s="42" t="s">
        <v>22</v>
      </c>
      <c r="M662" s="42" t="s">
        <v>23</v>
      </c>
      <c r="N662" s="42" t="s">
        <v>10</v>
      </c>
      <c r="O662" s="42" t="s">
        <v>24</v>
      </c>
      <c r="P662" s="49" t="s">
        <v>27</v>
      </c>
      <c r="Q662" s="44" t="s">
        <v>28</v>
      </c>
      <c r="S662" s="63"/>
      <c r="T662" s="63"/>
    </row>
    <row r="663" spans="1:20" ht="12.75">
      <c r="A663" s="1230" t="s">
        <v>11</v>
      </c>
      <c r="B663" s="20">
        <v>1</v>
      </c>
      <c r="C663" s="46" t="s">
        <v>400</v>
      </c>
      <c r="D663" s="45">
        <v>30</v>
      </c>
      <c r="E663" s="45" t="s">
        <v>401</v>
      </c>
      <c r="F663" s="305">
        <f aca="true" t="shared" si="98" ref="F663:F702">G663+H663+I663</f>
        <v>15.5412</v>
      </c>
      <c r="G663" s="160">
        <v>4.0917</v>
      </c>
      <c r="H663" s="160">
        <v>4.8</v>
      </c>
      <c r="I663" s="160">
        <v>6.6495</v>
      </c>
      <c r="J663" s="331">
        <v>1717.43</v>
      </c>
      <c r="K663" s="160">
        <v>6.6495</v>
      </c>
      <c r="L663" s="331">
        <v>1717.43</v>
      </c>
      <c r="M663" s="256">
        <f aca="true" t="shared" si="99" ref="M663:M702">K663/L663</f>
        <v>0.0038717735220649458</v>
      </c>
      <c r="N663" s="159">
        <v>210</v>
      </c>
      <c r="O663" s="263">
        <f aca="true" t="shared" si="100" ref="O663:O702">M663*N663</f>
        <v>0.8130724396336386</v>
      </c>
      <c r="P663" s="263">
        <f aca="true" t="shared" si="101" ref="P663:P702">M663*1000*60</f>
        <v>232.30641132389673</v>
      </c>
      <c r="Q663" s="264">
        <f aca="true" t="shared" si="102" ref="Q663:Q702">O663*60</f>
        <v>48.78434637801832</v>
      </c>
      <c r="R663" s="6"/>
      <c r="S663" s="63"/>
      <c r="T663" s="63"/>
    </row>
    <row r="664" spans="1:20" ht="12.75">
      <c r="A664" s="1231"/>
      <c r="B664" s="21">
        <v>2</v>
      </c>
      <c r="C664" s="16" t="s">
        <v>402</v>
      </c>
      <c r="D664" s="21">
        <v>22</v>
      </c>
      <c r="E664" s="21">
        <v>2009</v>
      </c>
      <c r="F664" s="97">
        <f t="shared" si="98"/>
        <v>15.9246</v>
      </c>
      <c r="G664" s="97">
        <v>2.8025</v>
      </c>
      <c r="H664" s="97">
        <v>1.76</v>
      </c>
      <c r="I664" s="97">
        <v>11.3621</v>
      </c>
      <c r="J664" s="149">
        <v>2046.35</v>
      </c>
      <c r="K664" s="97">
        <v>11.3621</v>
      </c>
      <c r="L664" s="149">
        <v>2046.35</v>
      </c>
      <c r="M664" s="239">
        <f t="shared" si="99"/>
        <v>0.005552373738607765</v>
      </c>
      <c r="N664" s="93">
        <v>210</v>
      </c>
      <c r="O664" s="228">
        <f t="shared" si="100"/>
        <v>1.1659984851076308</v>
      </c>
      <c r="P664" s="228">
        <f t="shared" si="101"/>
        <v>333.1424243164659</v>
      </c>
      <c r="Q664" s="240">
        <f t="shared" si="102"/>
        <v>69.95990910645784</v>
      </c>
      <c r="S664" s="63"/>
      <c r="T664" s="63"/>
    </row>
    <row r="665" spans="1:20" ht="12.75">
      <c r="A665" s="1231"/>
      <c r="B665" s="21">
        <v>3</v>
      </c>
      <c r="C665" s="16" t="s">
        <v>792</v>
      </c>
      <c r="D665" s="21">
        <v>13</v>
      </c>
      <c r="E665" s="21">
        <v>2007</v>
      </c>
      <c r="F665" s="97">
        <f t="shared" si="98"/>
        <v>11.315</v>
      </c>
      <c r="G665" s="97">
        <v>0.7623</v>
      </c>
      <c r="H665" s="97">
        <v>2</v>
      </c>
      <c r="I665" s="97">
        <v>8.5527</v>
      </c>
      <c r="J665" s="149">
        <v>1052.22</v>
      </c>
      <c r="K665" s="97">
        <v>8.5527</v>
      </c>
      <c r="L665" s="149">
        <v>1052.22</v>
      </c>
      <c r="M665" s="239">
        <f t="shared" si="99"/>
        <v>0.008128243143068939</v>
      </c>
      <c r="N665" s="93">
        <v>210</v>
      </c>
      <c r="O665" s="228">
        <f t="shared" si="100"/>
        <v>1.7069310600444771</v>
      </c>
      <c r="P665" s="228">
        <f t="shared" si="101"/>
        <v>487.69458858413634</v>
      </c>
      <c r="Q665" s="240">
        <f t="shared" si="102"/>
        <v>102.41586360266862</v>
      </c>
      <c r="S665" s="63"/>
      <c r="T665" s="63"/>
    </row>
    <row r="666" spans="1:20" ht="12.75">
      <c r="A666" s="1231"/>
      <c r="B666" s="21">
        <v>4</v>
      </c>
      <c r="C666" s="16" t="s">
        <v>793</v>
      </c>
      <c r="D666" s="45">
        <v>30</v>
      </c>
      <c r="E666" s="45" t="s">
        <v>64</v>
      </c>
      <c r="F666" s="160">
        <f t="shared" si="98"/>
        <v>22.64</v>
      </c>
      <c r="G666" s="744">
        <v>2.7072</v>
      </c>
      <c r="H666" s="160">
        <v>4.8</v>
      </c>
      <c r="I666" s="160">
        <v>15.1328</v>
      </c>
      <c r="J666" s="331">
        <v>1712.83</v>
      </c>
      <c r="K666" s="160">
        <v>15.1328</v>
      </c>
      <c r="L666" s="331">
        <v>1712.83</v>
      </c>
      <c r="M666" s="256">
        <f t="shared" si="99"/>
        <v>0.008834969027866162</v>
      </c>
      <c r="N666" s="159">
        <v>207.1</v>
      </c>
      <c r="O666" s="247">
        <f t="shared" si="100"/>
        <v>1.829722085671082</v>
      </c>
      <c r="P666" s="247">
        <f t="shared" si="101"/>
        <v>530.0981416719698</v>
      </c>
      <c r="Q666" s="151">
        <f t="shared" si="102"/>
        <v>109.78332514026492</v>
      </c>
      <c r="S666" s="63"/>
      <c r="T666" s="63"/>
    </row>
    <row r="667" spans="1:20" ht="12.75">
      <c r="A667" s="1231"/>
      <c r="B667" s="21">
        <v>5</v>
      </c>
      <c r="C667" s="16" t="s">
        <v>406</v>
      </c>
      <c r="D667" s="21">
        <v>100</v>
      </c>
      <c r="E667" s="21" t="s">
        <v>64</v>
      </c>
      <c r="F667" s="304">
        <f t="shared" si="98"/>
        <v>60.931000000000004</v>
      </c>
      <c r="G667" s="975">
        <v>9.7124</v>
      </c>
      <c r="H667" s="304">
        <v>16</v>
      </c>
      <c r="I667" s="304">
        <v>35.2186</v>
      </c>
      <c r="J667" s="303">
        <v>3692.95</v>
      </c>
      <c r="K667" s="304">
        <v>35.2186</v>
      </c>
      <c r="L667" s="303">
        <v>3692.95</v>
      </c>
      <c r="M667" s="265">
        <f t="shared" si="99"/>
        <v>0.009536711842835674</v>
      </c>
      <c r="N667" s="342">
        <v>210</v>
      </c>
      <c r="O667" s="266">
        <f t="shared" si="100"/>
        <v>2.002709486995492</v>
      </c>
      <c r="P667" s="266">
        <f t="shared" si="101"/>
        <v>572.2027105701404</v>
      </c>
      <c r="Q667" s="267">
        <f t="shared" si="102"/>
        <v>120.1625692197295</v>
      </c>
      <c r="S667" s="63"/>
      <c r="T667" s="63"/>
    </row>
    <row r="668" spans="1:20" ht="12.75">
      <c r="A668" s="1231"/>
      <c r="B668" s="21">
        <v>6</v>
      </c>
      <c r="C668" s="16" t="s">
        <v>794</v>
      </c>
      <c r="D668" s="21">
        <v>9</v>
      </c>
      <c r="E668" s="21" t="s">
        <v>64</v>
      </c>
      <c r="F668" s="97">
        <f>G668+H668+I668</f>
        <v>10.396</v>
      </c>
      <c r="G668" s="97">
        <v>2.9707</v>
      </c>
      <c r="H668" s="97">
        <v>1.44</v>
      </c>
      <c r="I668" s="97">
        <v>5.9853</v>
      </c>
      <c r="J668" s="149">
        <v>624.82</v>
      </c>
      <c r="K668" s="97">
        <v>5.9853</v>
      </c>
      <c r="L668" s="149">
        <v>624.82</v>
      </c>
      <c r="M668" s="239">
        <f>K668/L668</f>
        <v>0.009579238820780383</v>
      </c>
      <c r="N668" s="93">
        <v>210</v>
      </c>
      <c r="O668" s="228">
        <f>M668*N668</f>
        <v>2.0116401523638805</v>
      </c>
      <c r="P668" s="228">
        <f>M668*1000*60</f>
        <v>574.754329246823</v>
      </c>
      <c r="Q668" s="240">
        <f>O668*60</f>
        <v>120.69840914183283</v>
      </c>
      <c r="S668" s="63"/>
      <c r="T668" s="63"/>
    </row>
    <row r="669" spans="1:20" ht="12.75">
      <c r="A669" s="1231"/>
      <c r="B669" s="21">
        <v>7</v>
      </c>
      <c r="C669" s="16" t="s">
        <v>404</v>
      </c>
      <c r="D669" s="21">
        <v>51</v>
      </c>
      <c r="E669" s="21" t="s">
        <v>64</v>
      </c>
      <c r="F669" s="97">
        <f t="shared" si="98"/>
        <v>38.425</v>
      </c>
      <c r="G669" s="97">
        <v>4.5401</v>
      </c>
      <c r="H669" s="97">
        <v>7.92</v>
      </c>
      <c r="I669" s="97">
        <v>25.9649</v>
      </c>
      <c r="J669" s="149">
        <v>2596.6</v>
      </c>
      <c r="K669" s="97">
        <v>25.9649</v>
      </c>
      <c r="L669" s="149">
        <v>2596.6</v>
      </c>
      <c r="M669" s="256">
        <f t="shared" si="99"/>
        <v>0.009999576369098052</v>
      </c>
      <c r="N669" s="93">
        <v>210</v>
      </c>
      <c r="O669" s="228">
        <f t="shared" si="100"/>
        <v>2.0999110375105907</v>
      </c>
      <c r="P669" s="228">
        <f t="shared" si="101"/>
        <v>599.9745821458831</v>
      </c>
      <c r="Q669" s="240">
        <f t="shared" si="102"/>
        <v>125.99466225063544</v>
      </c>
      <c r="S669" s="63"/>
      <c r="T669" s="63"/>
    </row>
    <row r="670" spans="1:20" ht="12.75">
      <c r="A670" s="1231"/>
      <c r="B670" s="21">
        <v>8</v>
      </c>
      <c r="C670" s="46" t="s">
        <v>405</v>
      </c>
      <c r="D670" s="45">
        <v>20</v>
      </c>
      <c r="E670" s="45" t="s">
        <v>64</v>
      </c>
      <c r="F670" s="97">
        <f t="shared" si="98"/>
        <v>18.18</v>
      </c>
      <c r="G670" s="160">
        <v>3.7554</v>
      </c>
      <c r="H670" s="160">
        <v>3.2</v>
      </c>
      <c r="I670" s="160">
        <v>11.2246</v>
      </c>
      <c r="J670" s="331">
        <v>1116.28</v>
      </c>
      <c r="K670" s="160">
        <v>11.2246</v>
      </c>
      <c r="L670" s="331">
        <v>1116.28</v>
      </c>
      <c r="M670" s="256">
        <f t="shared" si="99"/>
        <v>0.010055362453864623</v>
      </c>
      <c r="N670" s="159">
        <v>210</v>
      </c>
      <c r="O670" s="228">
        <f t="shared" si="100"/>
        <v>2.1116261153115707</v>
      </c>
      <c r="P670" s="228">
        <f t="shared" si="101"/>
        <v>603.3217472318773</v>
      </c>
      <c r="Q670" s="240">
        <f t="shared" si="102"/>
        <v>126.69756691869425</v>
      </c>
      <c r="S670" s="63"/>
      <c r="T670" s="63"/>
    </row>
    <row r="671" spans="1:20" ht="12.75">
      <c r="A671" s="1231"/>
      <c r="B671" s="21">
        <v>9</v>
      </c>
      <c r="C671" s="16" t="s">
        <v>795</v>
      </c>
      <c r="D671" s="21">
        <v>41</v>
      </c>
      <c r="E671" s="21" t="s">
        <v>64</v>
      </c>
      <c r="F671" s="97">
        <f t="shared" si="98"/>
        <v>36.3721</v>
      </c>
      <c r="G671" s="97">
        <v>6.1655</v>
      </c>
      <c r="H671" s="97">
        <v>6.56</v>
      </c>
      <c r="I671" s="97">
        <v>23.6466</v>
      </c>
      <c r="J671" s="149">
        <v>2326.63</v>
      </c>
      <c r="K671" s="97">
        <v>23.6466</v>
      </c>
      <c r="L671" s="149">
        <v>2326.63</v>
      </c>
      <c r="M671" s="256">
        <f t="shared" si="99"/>
        <v>0.010163455298006129</v>
      </c>
      <c r="N671" s="93">
        <v>210</v>
      </c>
      <c r="O671" s="228">
        <f t="shared" si="100"/>
        <v>2.134325612581287</v>
      </c>
      <c r="P671" s="228">
        <f t="shared" si="101"/>
        <v>609.8073178803677</v>
      </c>
      <c r="Q671" s="240">
        <f t="shared" si="102"/>
        <v>128.05953675487723</v>
      </c>
      <c r="S671" s="63"/>
      <c r="T671" s="63"/>
    </row>
    <row r="672" spans="1:20" s="67" customFormat="1" ht="13.5" thickBot="1">
      <c r="A672" s="1232"/>
      <c r="B672" s="75">
        <v>10</v>
      </c>
      <c r="C672" s="16" t="s">
        <v>796</v>
      </c>
      <c r="D672" s="21">
        <v>55</v>
      </c>
      <c r="E672" s="21" t="s">
        <v>64</v>
      </c>
      <c r="F672" s="97">
        <f t="shared" si="98"/>
        <v>40.439099999999996</v>
      </c>
      <c r="G672" s="745">
        <v>5.6723</v>
      </c>
      <c r="H672" s="97">
        <v>8.8</v>
      </c>
      <c r="I672" s="97">
        <v>25.9668</v>
      </c>
      <c r="J672" s="149">
        <v>2545.12</v>
      </c>
      <c r="K672" s="97">
        <v>25.9668</v>
      </c>
      <c r="L672" s="149">
        <v>2545.12</v>
      </c>
      <c r="M672" s="241">
        <f t="shared" si="99"/>
        <v>0.010202583768152387</v>
      </c>
      <c r="N672" s="93">
        <v>210</v>
      </c>
      <c r="O672" s="263">
        <f t="shared" si="100"/>
        <v>2.1425425913120013</v>
      </c>
      <c r="P672" s="263">
        <f t="shared" si="101"/>
        <v>612.1550260891432</v>
      </c>
      <c r="Q672" s="264">
        <f t="shared" si="102"/>
        <v>128.55255547872008</v>
      </c>
      <c r="S672" s="63"/>
      <c r="T672" s="63"/>
    </row>
    <row r="673" spans="1:20" ht="12.75">
      <c r="A673" s="1218" t="s">
        <v>29</v>
      </c>
      <c r="B673" s="404">
        <v>1</v>
      </c>
      <c r="C673" s="429" t="s">
        <v>407</v>
      </c>
      <c r="D673" s="404">
        <v>60</v>
      </c>
      <c r="E673" s="404" t="s">
        <v>64</v>
      </c>
      <c r="F673" s="439">
        <f t="shared" si="98"/>
        <v>48.824</v>
      </c>
      <c r="G673" s="976">
        <v>7.2338</v>
      </c>
      <c r="H673" s="430">
        <v>9.6</v>
      </c>
      <c r="I673" s="430">
        <v>31.9902</v>
      </c>
      <c r="J673" s="431">
        <v>3130.63</v>
      </c>
      <c r="K673" s="430">
        <v>31.9902</v>
      </c>
      <c r="L673" s="431">
        <v>3130.63</v>
      </c>
      <c r="M673" s="419">
        <f t="shared" si="99"/>
        <v>0.010218454432494419</v>
      </c>
      <c r="N673" s="432">
        <v>210</v>
      </c>
      <c r="O673" s="440">
        <f t="shared" si="100"/>
        <v>2.145875430823828</v>
      </c>
      <c r="P673" s="440">
        <f t="shared" si="101"/>
        <v>613.1072659496651</v>
      </c>
      <c r="Q673" s="441">
        <f t="shared" si="102"/>
        <v>128.75252584942967</v>
      </c>
      <c r="S673" s="63"/>
      <c r="T673" s="63"/>
    </row>
    <row r="674" spans="1:20" ht="12.75">
      <c r="A674" s="1219"/>
      <c r="B674" s="377">
        <v>2</v>
      </c>
      <c r="C674" s="414" t="s">
        <v>409</v>
      </c>
      <c r="D674" s="377">
        <v>100</v>
      </c>
      <c r="E674" s="377" t="s">
        <v>64</v>
      </c>
      <c r="F674" s="379">
        <f t="shared" si="98"/>
        <v>62.4133</v>
      </c>
      <c r="G674" s="379">
        <v>8.2506</v>
      </c>
      <c r="H674" s="379">
        <v>16</v>
      </c>
      <c r="I674" s="379">
        <v>38.1627</v>
      </c>
      <c r="J674" s="380">
        <v>3684.18</v>
      </c>
      <c r="K674" s="379">
        <v>38.1627</v>
      </c>
      <c r="L674" s="380">
        <v>3684.18</v>
      </c>
      <c r="M674" s="419">
        <f t="shared" si="99"/>
        <v>0.010358532970701759</v>
      </c>
      <c r="N674" s="382">
        <v>210</v>
      </c>
      <c r="O674" s="385">
        <f t="shared" si="100"/>
        <v>2.1752919238473694</v>
      </c>
      <c r="P674" s="385">
        <f t="shared" si="101"/>
        <v>621.5119782421056</v>
      </c>
      <c r="Q674" s="383">
        <f t="shared" si="102"/>
        <v>130.51751543084217</v>
      </c>
      <c r="S674" s="63"/>
      <c r="T674" s="63"/>
    </row>
    <row r="675" spans="1:20" s="67" customFormat="1" ht="12.75">
      <c r="A675" s="1219"/>
      <c r="B675" s="407">
        <v>3</v>
      </c>
      <c r="C675" s="414" t="s">
        <v>797</v>
      </c>
      <c r="D675" s="377">
        <v>30</v>
      </c>
      <c r="E675" s="377" t="s">
        <v>64</v>
      </c>
      <c r="F675" s="379">
        <f t="shared" si="98"/>
        <v>24.726100000000002</v>
      </c>
      <c r="G675" s="379">
        <v>4.3887</v>
      </c>
      <c r="H675" s="379">
        <v>4.64</v>
      </c>
      <c r="I675" s="379">
        <v>15.6974</v>
      </c>
      <c r="J675" s="380">
        <v>1490.4</v>
      </c>
      <c r="K675" s="379">
        <v>15.6974</v>
      </c>
      <c r="L675" s="380">
        <v>1490.4</v>
      </c>
      <c r="M675" s="381">
        <f t="shared" si="99"/>
        <v>0.010532340311325819</v>
      </c>
      <c r="N675" s="382">
        <v>210</v>
      </c>
      <c r="O675" s="442">
        <f t="shared" si="100"/>
        <v>2.211791465378422</v>
      </c>
      <c r="P675" s="442">
        <f t="shared" si="101"/>
        <v>631.9404186795491</v>
      </c>
      <c r="Q675" s="437">
        <f t="shared" si="102"/>
        <v>132.7074879227053</v>
      </c>
      <c r="S675" s="63"/>
      <c r="T675" s="63"/>
    </row>
    <row r="676" spans="1:20" ht="12.75">
      <c r="A676" s="1219"/>
      <c r="B676" s="377">
        <v>4</v>
      </c>
      <c r="C676" s="414" t="s">
        <v>408</v>
      </c>
      <c r="D676" s="377">
        <v>30</v>
      </c>
      <c r="E676" s="377">
        <v>1993</v>
      </c>
      <c r="F676" s="379">
        <f t="shared" si="98"/>
        <v>26.479999999999997</v>
      </c>
      <c r="G676" s="379">
        <v>3.1949</v>
      </c>
      <c r="H676" s="379">
        <v>4.8</v>
      </c>
      <c r="I676" s="379">
        <v>18.4851</v>
      </c>
      <c r="J676" s="380">
        <v>1726.08</v>
      </c>
      <c r="K676" s="379">
        <v>18.4851</v>
      </c>
      <c r="L676" s="380">
        <v>1726.08</v>
      </c>
      <c r="M676" s="381">
        <f t="shared" si="99"/>
        <v>0.010709295050055617</v>
      </c>
      <c r="N676" s="382">
        <v>210</v>
      </c>
      <c r="O676" s="385">
        <f t="shared" si="100"/>
        <v>2.2489519605116794</v>
      </c>
      <c r="P676" s="385">
        <f t="shared" si="101"/>
        <v>642.5577030033369</v>
      </c>
      <c r="Q676" s="383">
        <f t="shared" si="102"/>
        <v>134.93711763070075</v>
      </c>
      <c r="S676" s="63"/>
      <c r="T676" s="63"/>
    </row>
    <row r="677" spans="1:20" ht="12.75">
      <c r="A677" s="1219"/>
      <c r="B677" s="377">
        <v>5</v>
      </c>
      <c r="C677" s="414" t="s">
        <v>798</v>
      </c>
      <c r="D677" s="377">
        <v>40</v>
      </c>
      <c r="E677" s="377">
        <v>1992</v>
      </c>
      <c r="F677" s="443">
        <f t="shared" si="98"/>
        <v>35.7659</v>
      </c>
      <c r="G677" s="379">
        <v>5.3528</v>
      </c>
      <c r="H677" s="379">
        <v>6.4</v>
      </c>
      <c r="I677" s="379">
        <v>24.0131</v>
      </c>
      <c r="J677" s="380">
        <v>2229.96</v>
      </c>
      <c r="K677" s="379">
        <v>24.0131</v>
      </c>
      <c r="L677" s="380">
        <v>2229.96</v>
      </c>
      <c r="M677" s="381">
        <f t="shared" si="99"/>
        <v>0.01076839943317369</v>
      </c>
      <c r="N677" s="382">
        <v>210</v>
      </c>
      <c r="O677" s="442">
        <f t="shared" si="100"/>
        <v>2.2613638809664747</v>
      </c>
      <c r="P677" s="442">
        <f t="shared" si="101"/>
        <v>646.1039659904213</v>
      </c>
      <c r="Q677" s="437">
        <f t="shared" si="102"/>
        <v>135.68183285798847</v>
      </c>
      <c r="S677" s="63"/>
      <c r="T677" s="63"/>
    </row>
    <row r="678" spans="1:20" ht="12.75">
      <c r="A678" s="1219"/>
      <c r="B678" s="377">
        <v>6</v>
      </c>
      <c r="C678" s="414" t="s">
        <v>410</v>
      </c>
      <c r="D678" s="377">
        <v>30</v>
      </c>
      <c r="E678" s="377" t="s">
        <v>64</v>
      </c>
      <c r="F678" s="379">
        <f t="shared" si="98"/>
        <v>25.7671</v>
      </c>
      <c r="G678" s="379">
        <v>2.483</v>
      </c>
      <c r="H678" s="379">
        <v>4.8</v>
      </c>
      <c r="I678" s="379">
        <v>18.4841</v>
      </c>
      <c r="J678" s="380">
        <v>1714.66</v>
      </c>
      <c r="K678" s="379">
        <v>18.4841</v>
      </c>
      <c r="L678" s="380">
        <v>1714.66</v>
      </c>
      <c r="M678" s="381">
        <f t="shared" si="99"/>
        <v>0.010780038025031202</v>
      </c>
      <c r="N678" s="382">
        <v>210</v>
      </c>
      <c r="O678" s="385">
        <f t="shared" si="100"/>
        <v>2.2638079852565522</v>
      </c>
      <c r="P678" s="385">
        <f t="shared" si="101"/>
        <v>646.8022815018721</v>
      </c>
      <c r="Q678" s="383">
        <f t="shared" si="102"/>
        <v>135.82847911539312</v>
      </c>
      <c r="S678" s="63"/>
      <c r="T678" s="63"/>
    </row>
    <row r="679" spans="1:20" ht="12.75">
      <c r="A679" s="1219"/>
      <c r="B679" s="377">
        <v>7</v>
      </c>
      <c r="C679" s="414" t="s">
        <v>799</v>
      </c>
      <c r="D679" s="377">
        <v>30</v>
      </c>
      <c r="E679" s="377" t="s">
        <v>64</v>
      </c>
      <c r="F679" s="443">
        <f t="shared" si="98"/>
        <v>25.009099999999997</v>
      </c>
      <c r="G679" s="379">
        <v>3.4191</v>
      </c>
      <c r="H679" s="379">
        <v>4.64</v>
      </c>
      <c r="I679" s="379">
        <v>16.95</v>
      </c>
      <c r="J679" s="380">
        <v>1561.03</v>
      </c>
      <c r="K679" s="379">
        <v>16.95</v>
      </c>
      <c r="L679" s="380">
        <v>1561.03</v>
      </c>
      <c r="M679" s="381">
        <f t="shared" si="99"/>
        <v>0.01085821540905684</v>
      </c>
      <c r="N679" s="382">
        <v>210</v>
      </c>
      <c r="O679" s="442">
        <f t="shared" si="100"/>
        <v>2.2802252359019364</v>
      </c>
      <c r="P679" s="442">
        <f t="shared" si="101"/>
        <v>651.4929245434104</v>
      </c>
      <c r="Q679" s="437">
        <f t="shared" si="102"/>
        <v>136.81351415411618</v>
      </c>
      <c r="S679" s="63"/>
      <c r="T679" s="63"/>
    </row>
    <row r="680" spans="1:20" ht="12.75">
      <c r="A680" s="1219"/>
      <c r="B680" s="377">
        <v>8</v>
      </c>
      <c r="C680" s="414" t="s">
        <v>800</v>
      </c>
      <c r="D680" s="377">
        <v>30</v>
      </c>
      <c r="E680" s="377" t="s">
        <v>64</v>
      </c>
      <c r="F680" s="379">
        <f t="shared" si="98"/>
        <v>27.149</v>
      </c>
      <c r="G680" s="379">
        <v>3.5143</v>
      </c>
      <c r="H680" s="379">
        <v>4.8</v>
      </c>
      <c r="I680" s="379">
        <v>18.8347</v>
      </c>
      <c r="J680" s="380">
        <v>1714.17</v>
      </c>
      <c r="K680" s="379">
        <v>18.8347</v>
      </c>
      <c r="L680" s="380">
        <v>1714.17</v>
      </c>
      <c r="M680" s="381">
        <f t="shared" si="99"/>
        <v>0.010987649999708315</v>
      </c>
      <c r="N680" s="382">
        <v>210</v>
      </c>
      <c r="O680" s="385">
        <f t="shared" si="100"/>
        <v>2.3074064999387462</v>
      </c>
      <c r="P680" s="385">
        <f t="shared" si="101"/>
        <v>659.258999982499</v>
      </c>
      <c r="Q680" s="383">
        <f t="shared" si="102"/>
        <v>138.4443899963248</v>
      </c>
      <c r="S680" s="63"/>
      <c r="T680" s="63"/>
    </row>
    <row r="681" spans="1:20" ht="12.75">
      <c r="A681" s="1219"/>
      <c r="B681" s="377">
        <v>9</v>
      </c>
      <c r="C681" s="414" t="s">
        <v>801</v>
      </c>
      <c r="D681" s="377">
        <v>60</v>
      </c>
      <c r="E681" s="377" t="s">
        <v>64</v>
      </c>
      <c r="F681" s="379">
        <f t="shared" si="98"/>
        <v>48.238299999999995</v>
      </c>
      <c r="G681" s="379">
        <v>5.7732</v>
      </c>
      <c r="H681" s="379">
        <v>9.28</v>
      </c>
      <c r="I681" s="379">
        <v>33.1851</v>
      </c>
      <c r="J681" s="380">
        <v>2977.6</v>
      </c>
      <c r="K681" s="379">
        <v>33.1851</v>
      </c>
      <c r="L681" s="380">
        <v>2977.6</v>
      </c>
      <c r="M681" s="381">
        <f t="shared" si="99"/>
        <v>0.011144915368081676</v>
      </c>
      <c r="N681" s="382">
        <v>210</v>
      </c>
      <c r="O681" s="385">
        <f t="shared" si="100"/>
        <v>2.340432227297152</v>
      </c>
      <c r="P681" s="385">
        <f t="shared" si="101"/>
        <v>668.6949220849006</v>
      </c>
      <c r="Q681" s="383">
        <f t="shared" si="102"/>
        <v>140.42593363782913</v>
      </c>
      <c r="S681" s="63"/>
      <c r="T681" s="63"/>
    </row>
    <row r="682" spans="1:20" ht="13.5" thickBot="1">
      <c r="A682" s="1220"/>
      <c r="B682" s="377">
        <v>10</v>
      </c>
      <c r="C682" s="422" t="s">
        <v>802</v>
      </c>
      <c r="D682" s="388">
        <v>30</v>
      </c>
      <c r="E682" s="388" t="s">
        <v>64</v>
      </c>
      <c r="F682" s="417">
        <f t="shared" si="98"/>
        <v>25.340200000000003</v>
      </c>
      <c r="G682" s="389">
        <v>3.1949</v>
      </c>
      <c r="H682" s="389">
        <v>4.8</v>
      </c>
      <c r="I682" s="389">
        <v>17.3453</v>
      </c>
      <c r="J682" s="390">
        <v>1554.22</v>
      </c>
      <c r="K682" s="389">
        <v>17.3453</v>
      </c>
      <c r="L682" s="390">
        <v>1554.22</v>
      </c>
      <c r="M682" s="391">
        <f t="shared" si="99"/>
        <v>0.011160131770277052</v>
      </c>
      <c r="N682" s="392">
        <v>210</v>
      </c>
      <c r="O682" s="385">
        <f t="shared" si="100"/>
        <v>2.343627671758181</v>
      </c>
      <c r="P682" s="444">
        <f t="shared" si="101"/>
        <v>669.6079062166232</v>
      </c>
      <c r="Q682" s="421">
        <f t="shared" si="102"/>
        <v>140.61766030549086</v>
      </c>
      <c r="S682" s="63"/>
      <c r="T682" s="63"/>
    </row>
    <row r="683" spans="1:20" ht="12.75">
      <c r="A683" s="1221" t="s">
        <v>30</v>
      </c>
      <c r="B683" s="477">
        <v>1</v>
      </c>
      <c r="C683" s="544" t="s">
        <v>803</v>
      </c>
      <c r="D683" s="61">
        <v>3</v>
      </c>
      <c r="E683" s="61" t="s">
        <v>64</v>
      </c>
      <c r="F683" s="747">
        <f t="shared" si="98"/>
        <v>4.221</v>
      </c>
      <c r="G683" s="197">
        <v>0.5045</v>
      </c>
      <c r="H683" s="197">
        <v>0.48</v>
      </c>
      <c r="I683" s="197">
        <v>3.2365</v>
      </c>
      <c r="J683" s="301">
        <v>163.32</v>
      </c>
      <c r="K683" s="197">
        <v>3.2365</v>
      </c>
      <c r="L683" s="301">
        <v>163.32</v>
      </c>
      <c r="M683" s="260">
        <f t="shared" si="99"/>
        <v>0.019816923830516777</v>
      </c>
      <c r="N683" s="196">
        <v>210</v>
      </c>
      <c r="O683" s="258">
        <f t="shared" si="100"/>
        <v>4.161554004408523</v>
      </c>
      <c r="P683" s="258">
        <f t="shared" si="101"/>
        <v>1189.0154298310067</v>
      </c>
      <c r="Q683" s="273">
        <f t="shared" si="102"/>
        <v>249.6932402645114</v>
      </c>
      <c r="S683" s="63"/>
      <c r="T683" s="63"/>
    </row>
    <row r="684" spans="1:20" ht="12.75">
      <c r="A684" s="1222"/>
      <c r="B684" s="483">
        <v>2</v>
      </c>
      <c r="C684" s="23" t="s">
        <v>412</v>
      </c>
      <c r="D684" s="24">
        <v>5</v>
      </c>
      <c r="E684" s="24" t="s">
        <v>64</v>
      </c>
      <c r="F684" s="161">
        <f t="shared" si="98"/>
        <v>6.880000000000001</v>
      </c>
      <c r="G684" s="161">
        <v>0.3195</v>
      </c>
      <c r="H684" s="161">
        <v>0.8</v>
      </c>
      <c r="I684" s="161">
        <v>5.7605</v>
      </c>
      <c r="J684" s="248">
        <v>287.6</v>
      </c>
      <c r="K684" s="161">
        <v>5.7605</v>
      </c>
      <c r="L684" s="248">
        <v>287.6</v>
      </c>
      <c r="M684" s="242">
        <f t="shared" si="99"/>
        <v>0.020029554937413072</v>
      </c>
      <c r="N684" s="142">
        <v>210</v>
      </c>
      <c r="O684" s="262">
        <f t="shared" si="100"/>
        <v>4.206206536856746</v>
      </c>
      <c r="P684" s="262">
        <f t="shared" si="101"/>
        <v>1201.7732962447842</v>
      </c>
      <c r="Q684" s="143">
        <f t="shared" si="102"/>
        <v>252.37239221140473</v>
      </c>
      <c r="S684" s="63"/>
      <c r="T684" s="63"/>
    </row>
    <row r="685" spans="1:20" ht="12.75">
      <c r="A685" s="1222"/>
      <c r="B685" s="480">
        <v>3</v>
      </c>
      <c r="C685" s="23" t="s">
        <v>804</v>
      </c>
      <c r="D685" s="24">
        <v>22</v>
      </c>
      <c r="E685" s="24" t="s">
        <v>64</v>
      </c>
      <c r="F685" s="1174">
        <f t="shared" si="98"/>
        <v>27.912</v>
      </c>
      <c r="G685" s="161">
        <v>2.001</v>
      </c>
      <c r="H685" s="161">
        <v>3.52</v>
      </c>
      <c r="I685" s="161">
        <v>22.391</v>
      </c>
      <c r="J685" s="248">
        <v>1107.86</v>
      </c>
      <c r="K685" s="161">
        <v>22.391</v>
      </c>
      <c r="L685" s="248">
        <v>1107.86</v>
      </c>
      <c r="M685" s="242">
        <f t="shared" si="99"/>
        <v>0.020211037495712455</v>
      </c>
      <c r="N685" s="142">
        <v>210</v>
      </c>
      <c r="O685" s="261">
        <f t="shared" si="100"/>
        <v>4.2443178740996155</v>
      </c>
      <c r="P685" s="261">
        <f t="shared" si="101"/>
        <v>1212.6622497427472</v>
      </c>
      <c r="Q685" s="217">
        <f t="shared" si="102"/>
        <v>254.65907244597693</v>
      </c>
      <c r="S685" s="63"/>
      <c r="T685" s="63"/>
    </row>
    <row r="686" spans="1:20" ht="12.75">
      <c r="A686" s="1223"/>
      <c r="B686" s="480">
        <v>4</v>
      </c>
      <c r="C686" s="23" t="s">
        <v>805</v>
      </c>
      <c r="D686" s="24">
        <v>40</v>
      </c>
      <c r="E686" s="24" t="s">
        <v>64</v>
      </c>
      <c r="F686" s="607">
        <f t="shared" si="98"/>
        <v>42.969800000000006</v>
      </c>
      <c r="G686" s="161">
        <v>2.5055</v>
      </c>
      <c r="H686" s="161">
        <v>6.4</v>
      </c>
      <c r="I686" s="161">
        <v>34.0643</v>
      </c>
      <c r="J686" s="248">
        <v>1664.79</v>
      </c>
      <c r="K686" s="161">
        <v>34.0643</v>
      </c>
      <c r="L686" s="248">
        <v>1664.79</v>
      </c>
      <c r="M686" s="242">
        <f t="shared" si="99"/>
        <v>0.020461619783876648</v>
      </c>
      <c r="N686" s="142">
        <v>210</v>
      </c>
      <c r="O686" s="262">
        <f t="shared" si="100"/>
        <v>4.296940154614096</v>
      </c>
      <c r="P686" s="262">
        <f t="shared" si="101"/>
        <v>1227.697187032599</v>
      </c>
      <c r="Q686" s="143">
        <f t="shared" si="102"/>
        <v>257.8164092768458</v>
      </c>
      <c r="S686" s="63"/>
      <c r="T686" s="63"/>
    </row>
    <row r="687" spans="1:20" ht="12.75">
      <c r="A687" s="1223"/>
      <c r="B687" s="480">
        <v>5</v>
      </c>
      <c r="C687" s="23" t="s">
        <v>419</v>
      </c>
      <c r="D687" s="24">
        <v>6</v>
      </c>
      <c r="E687" s="24" t="s">
        <v>64</v>
      </c>
      <c r="F687" s="1174">
        <f t="shared" si="98"/>
        <v>5.715</v>
      </c>
      <c r="G687" s="161">
        <v>0.7006</v>
      </c>
      <c r="H687" s="161">
        <v>0.64</v>
      </c>
      <c r="I687" s="161">
        <v>4.3744</v>
      </c>
      <c r="J687" s="248">
        <v>212.08</v>
      </c>
      <c r="K687" s="161">
        <v>4.3744</v>
      </c>
      <c r="L687" s="248">
        <v>212.08</v>
      </c>
      <c r="M687" s="242">
        <f t="shared" si="99"/>
        <v>0.020626178800452658</v>
      </c>
      <c r="N687" s="142">
        <v>210</v>
      </c>
      <c r="O687" s="261">
        <f t="shared" si="100"/>
        <v>4.331497548095058</v>
      </c>
      <c r="P687" s="261">
        <f t="shared" si="101"/>
        <v>1237.5707280271595</v>
      </c>
      <c r="Q687" s="217">
        <f t="shared" si="102"/>
        <v>259.8898528857035</v>
      </c>
      <c r="S687" s="63"/>
      <c r="T687" s="63"/>
    </row>
    <row r="688" spans="1:20" ht="12.75">
      <c r="A688" s="1223"/>
      <c r="B688" s="480">
        <v>6</v>
      </c>
      <c r="C688" s="23" t="s">
        <v>413</v>
      </c>
      <c r="D688" s="24">
        <v>5</v>
      </c>
      <c r="E688" s="24" t="s">
        <v>64</v>
      </c>
      <c r="F688" s="607">
        <f t="shared" si="98"/>
        <v>4.003</v>
      </c>
      <c r="G688" s="161">
        <v>0.2298</v>
      </c>
      <c r="H688" s="161">
        <v>0.48</v>
      </c>
      <c r="I688" s="161">
        <v>3.2932</v>
      </c>
      <c r="J688" s="248">
        <v>159.37</v>
      </c>
      <c r="K688" s="161">
        <v>3.2932</v>
      </c>
      <c r="L688" s="248">
        <v>159.37</v>
      </c>
      <c r="M688" s="242">
        <f t="shared" si="99"/>
        <v>0.020663863964359666</v>
      </c>
      <c r="N688" s="142">
        <v>210</v>
      </c>
      <c r="O688" s="262">
        <f t="shared" si="100"/>
        <v>4.33941143251553</v>
      </c>
      <c r="P688" s="262">
        <f t="shared" si="101"/>
        <v>1239.83183786158</v>
      </c>
      <c r="Q688" s="143">
        <f t="shared" si="102"/>
        <v>260.3646859509318</v>
      </c>
      <c r="S688" s="63"/>
      <c r="T688" s="63"/>
    </row>
    <row r="689" spans="1:20" ht="12.75">
      <c r="A689" s="1223"/>
      <c r="B689" s="480">
        <v>7</v>
      </c>
      <c r="C689" s="23" t="s">
        <v>414</v>
      </c>
      <c r="D689" s="881">
        <v>12</v>
      </c>
      <c r="E689" s="24" t="s">
        <v>64</v>
      </c>
      <c r="F689" s="1174">
        <f t="shared" si="98"/>
        <v>12.406</v>
      </c>
      <c r="G689" s="161">
        <v>1.4069</v>
      </c>
      <c r="H689" s="161">
        <v>0</v>
      </c>
      <c r="I689" s="161">
        <v>10.9991</v>
      </c>
      <c r="J689" s="248">
        <v>529.6</v>
      </c>
      <c r="K689" s="161">
        <v>10.9991</v>
      </c>
      <c r="L689" s="248">
        <v>529.6</v>
      </c>
      <c r="M689" s="242">
        <f t="shared" si="99"/>
        <v>0.02076869335347432</v>
      </c>
      <c r="N689" s="142">
        <v>210</v>
      </c>
      <c r="O689" s="261">
        <f t="shared" si="100"/>
        <v>4.361425604229607</v>
      </c>
      <c r="P689" s="261">
        <f t="shared" si="101"/>
        <v>1246.1216012084592</v>
      </c>
      <c r="Q689" s="217">
        <f t="shared" si="102"/>
        <v>261.68553625377643</v>
      </c>
      <c r="S689" s="63"/>
      <c r="T689" s="63"/>
    </row>
    <row r="690" spans="1:20" ht="12.75">
      <c r="A690" s="1223"/>
      <c r="B690" s="480">
        <v>8</v>
      </c>
      <c r="C690" s="23" t="s">
        <v>423</v>
      </c>
      <c r="D690" s="24">
        <v>4</v>
      </c>
      <c r="E690" s="24" t="s">
        <v>64</v>
      </c>
      <c r="F690" s="607">
        <f t="shared" si="98"/>
        <v>4.429</v>
      </c>
      <c r="G690" s="161">
        <v>0.4484</v>
      </c>
      <c r="H690" s="161">
        <v>0.64</v>
      </c>
      <c r="I690" s="161">
        <v>3.3406</v>
      </c>
      <c r="J690" s="248">
        <v>156.81</v>
      </c>
      <c r="K690" s="161">
        <v>3.3406</v>
      </c>
      <c r="L690" s="248">
        <v>156.81</v>
      </c>
      <c r="M690" s="242">
        <f t="shared" si="99"/>
        <v>0.021303488297940182</v>
      </c>
      <c r="N690" s="142">
        <v>210</v>
      </c>
      <c r="O690" s="262">
        <f t="shared" si="100"/>
        <v>4.473732542567438</v>
      </c>
      <c r="P690" s="262">
        <f t="shared" si="101"/>
        <v>1278.2092978764108</v>
      </c>
      <c r="Q690" s="143">
        <f t="shared" si="102"/>
        <v>268.4239525540463</v>
      </c>
      <c r="S690" s="63"/>
      <c r="T690" s="63"/>
    </row>
    <row r="691" spans="1:20" ht="12.75">
      <c r="A691" s="1224"/>
      <c r="B691" s="480">
        <v>9</v>
      </c>
      <c r="C691" s="23" t="s">
        <v>806</v>
      </c>
      <c r="D691" s="24">
        <v>9</v>
      </c>
      <c r="E691" s="24" t="s">
        <v>64</v>
      </c>
      <c r="F691" s="161">
        <f t="shared" si="98"/>
        <v>16.699</v>
      </c>
      <c r="G691" s="161">
        <v>1.734</v>
      </c>
      <c r="H691" s="161">
        <v>1.44</v>
      </c>
      <c r="I691" s="161">
        <v>13.525</v>
      </c>
      <c r="J691" s="248">
        <v>634.43</v>
      </c>
      <c r="K691" s="161">
        <v>13.525</v>
      </c>
      <c r="L691" s="248">
        <v>634.43</v>
      </c>
      <c r="M691" s="242">
        <f t="shared" si="99"/>
        <v>0.021318348753999655</v>
      </c>
      <c r="N691" s="142">
        <v>210</v>
      </c>
      <c r="O691" s="262">
        <f t="shared" si="100"/>
        <v>4.4768532383399275</v>
      </c>
      <c r="P691" s="262">
        <f t="shared" si="101"/>
        <v>1279.1009252399792</v>
      </c>
      <c r="Q691" s="143">
        <f t="shared" si="102"/>
        <v>268.61119430039565</v>
      </c>
      <c r="S691" s="63"/>
      <c r="T691" s="63"/>
    </row>
    <row r="692" spans="1:20" ht="13.5" thickBot="1">
      <c r="A692" s="1225"/>
      <c r="B692" s="539">
        <v>10</v>
      </c>
      <c r="C692" s="841" t="s">
        <v>420</v>
      </c>
      <c r="D692" s="25">
        <v>7</v>
      </c>
      <c r="E692" s="25" t="s">
        <v>64</v>
      </c>
      <c r="F692" s="977">
        <f t="shared" si="98"/>
        <v>8.882</v>
      </c>
      <c r="G692" s="285">
        <v>0.5605</v>
      </c>
      <c r="H692" s="285">
        <v>1.12</v>
      </c>
      <c r="I692" s="285">
        <v>7.2015</v>
      </c>
      <c r="J692" s="250">
        <v>337.32</v>
      </c>
      <c r="K692" s="285">
        <v>7.2015</v>
      </c>
      <c r="L692" s="250">
        <v>337.32</v>
      </c>
      <c r="M692" s="242">
        <f t="shared" si="99"/>
        <v>0.02134916399857702</v>
      </c>
      <c r="N692" s="243">
        <v>210</v>
      </c>
      <c r="O692" s="243">
        <f t="shared" si="100"/>
        <v>4.483324439701175</v>
      </c>
      <c r="P692" s="249">
        <f t="shared" si="101"/>
        <v>1280.9498399146212</v>
      </c>
      <c r="Q692" s="145">
        <f t="shared" si="102"/>
        <v>268.99946638207047</v>
      </c>
      <c r="S692" s="63"/>
      <c r="T692" s="63"/>
    </row>
    <row r="693" spans="1:20" ht="12.75">
      <c r="A693" s="1271" t="s">
        <v>12</v>
      </c>
      <c r="B693" s="27">
        <v>1</v>
      </c>
      <c r="C693" s="35" t="s">
        <v>415</v>
      </c>
      <c r="D693" s="27">
        <v>12</v>
      </c>
      <c r="E693" s="27" t="s">
        <v>64</v>
      </c>
      <c r="F693" s="300">
        <f t="shared" si="98"/>
        <v>16.5431</v>
      </c>
      <c r="G693" s="288">
        <v>1.5134</v>
      </c>
      <c r="H693" s="288">
        <v>0</v>
      </c>
      <c r="I693" s="288">
        <v>15.0297</v>
      </c>
      <c r="J693" s="302">
        <v>696.15</v>
      </c>
      <c r="K693" s="288">
        <v>15.0297</v>
      </c>
      <c r="L693" s="302">
        <v>696.15</v>
      </c>
      <c r="M693" s="244">
        <f t="shared" si="99"/>
        <v>0.02158974358974359</v>
      </c>
      <c r="N693" s="152">
        <v>210</v>
      </c>
      <c r="O693" s="341">
        <f t="shared" si="100"/>
        <v>4.533846153846154</v>
      </c>
      <c r="P693" s="259">
        <f t="shared" si="101"/>
        <v>1295.3846153846152</v>
      </c>
      <c r="Q693" s="268">
        <f t="shared" si="102"/>
        <v>272.03076923076924</v>
      </c>
      <c r="S693" s="63"/>
      <c r="T693" s="63"/>
    </row>
    <row r="694" spans="1:20" ht="12.75">
      <c r="A694" s="1273"/>
      <c r="B694" s="29">
        <v>2</v>
      </c>
      <c r="C694" s="36" t="s">
        <v>411</v>
      </c>
      <c r="D694" s="29">
        <v>9</v>
      </c>
      <c r="E694" s="29" t="s">
        <v>64</v>
      </c>
      <c r="F694" s="162">
        <f t="shared" si="98"/>
        <v>16.791900000000002</v>
      </c>
      <c r="G694" s="162">
        <v>1.5694</v>
      </c>
      <c r="H694" s="162">
        <v>1.44</v>
      </c>
      <c r="I694" s="162">
        <v>13.7825</v>
      </c>
      <c r="J694" s="286">
        <v>635.51</v>
      </c>
      <c r="K694" s="162">
        <v>13.7825</v>
      </c>
      <c r="L694" s="286">
        <v>635.51</v>
      </c>
      <c r="M694" s="232">
        <f t="shared" si="99"/>
        <v>0.021687306257966044</v>
      </c>
      <c r="N694" s="144">
        <v>210</v>
      </c>
      <c r="O694" s="269">
        <f t="shared" si="100"/>
        <v>4.554334314172869</v>
      </c>
      <c r="P694" s="269">
        <f t="shared" si="101"/>
        <v>1301.2383754779626</v>
      </c>
      <c r="Q694" s="215">
        <f t="shared" si="102"/>
        <v>273.26005885037216</v>
      </c>
      <c r="S694" s="63"/>
      <c r="T694" s="63"/>
    </row>
    <row r="695" spans="1:20" ht="12.75">
      <c r="A695" s="1273"/>
      <c r="B695" s="29">
        <v>3</v>
      </c>
      <c r="C695" s="36" t="s">
        <v>418</v>
      </c>
      <c r="D695" s="29">
        <v>4</v>
      </c>
      <c r="E695" s="29" t="s">
        <v>64</v>
      </c>
      <c r="F695" s="352">
        <f t="shared" si="98"/>
        <v>3.056</v>
      </c>
      <c r="G695" s="162">
        <v>0.1121</v>
      </c>
      <c r="H695" s="162">
        <v>0.48</v>
      </c>
      <c r="I695" s="162">
        <v>2.4639</v>
      </c>
      <c r="J695" s="286">
        <v>113.39</v>
      </c>
      <c r="K695" s="162">
        <v>2.4639</v>
      </c>
      <c r="L695" s="286">
        <v>113.39</v>
      </c>
      <c r="M695" s="232">
        <f t="shared" si="99"/>
        <v>0.021729429402945588</v>
      </c>
      <c r="N695" s="144">
        <v>210</v>
      </c>
      <c r="O695" s="270">
        <f t="shared" si="100"/>
        <v>4.563180174618574</v>
      </c>
      <c r="P695" s="270">
        <f t="shared" si="101"/>
        <v>1303.7657641767353</v>
      </c>
      <c r="Q695" s="271">
        <f t="shared" si="102"/>
        <v>273.7908104771144</v>
      </c>
      <c r="S695" s="63"/>
      <c r="T695" s="63"/>
    </row>
    <row r="696" spans="1:20" ht="12.75">
      <c r="A696" s="1273"/>
      <c r="B696" s="29">
        <v>4</v>
      </c>
      <c r="C696" s="36" t="s">
        <v>417</v>
      </c>
      <c r="D696" s="543">
        <v>48</v>
      </c>
      <c r="E696" s="29" t="s">
        <v>64</v>
      </c>
      <c r="F696" s="162">
        <f t="shared" si="98"/>
        <v>18.0041</v>
      </c>
      <c r="G696" s="162">
        <v>0</v>
      </c>
      <c r="H696" s="162">
        <v>0</v>
      </c>
      <c r="I696" s="162">
        <v>18.0041</v>
      </c>
      <c r="J696" s="286">
        <v>825.18</v>
      </c>
      <c r="K696" s="162">
        <v>18.0041</v>
      </c>
      <c r="L696" s="286">
        <v>825.18</v>
      </c>
      <c r="M696" s="232">
        <f t="shared" si="99"/>
        <v>0.02181839113890303</v>
      </c>
      <c r="N696" s="144">
        <v>210</v>
      </c>
      <c r="O696" s="269">
        <f t="shared" si="100"/>
        <v>4.581862139169637</v>
      </c>
      <c r="P696" s="269">
        <f t="shared" si="101"/>
        <v>1309.1034683341818</v>
      </c>
      <c r="Q696" s="215">
        <f t="shared" si="102"/>
        <v>274.91172835017824</v>
      </c>
      <c r="S696" s="63"/>
      <c r="T696" s="63"/>
    </row>
    <row r="697" spans="1:20" ht="12.75">
      <c r="A697" s="1273"/>
      <c r="B697" s="29">
        <v>5</v>
      </c>
      <c r="C697" s="36" t="s">
        <v>416</v>
      </c>
      <c r="D697" s="29">
        <v>6</v>
      </c>
      <c r="E697" s="29" t="s">
        <v>64</v>
      </c>
      <c r="F697" s="352">
        <f t="shared" si="98"/>
        <v>9.1</v>
      </c>
      <c r="G697" s="162">
        <v>0.7399</v>
      </c>
      <c r="H697" s="162">
        <v>0.96</v>
      </c>
      <c r="I697" s="162">
        <v>7.4001</v>
      </c>
      <c r="J697" s="286">
        <v>337.61</v>
      </c>
      <c r="K697" s="162">
        <v>7.4001</v>
      </c>
      <c r="L697" s="286">
        <v>337.61</v>
      </c>
      <c r="M697" s="232">
        <f t="shared" si="99"/>
        <v>0.021919078226355852</v>
      </c>
      <c r="N697" s="144">
        <v>210</v>
      </c>
      <c r="O697" s="270">
        <f t="shared" si="100"/>
        <v>4.603006427534729</v>
      </c>
      <c r="P697" s="270">
        <f t="shared" si="101"/>
        <v>1315.1446935813512</v>
      </c>
      <c r="Q697" s="271">
        <f t="shared" si="102"/>
        <v>276.18038565208377</v>
      </c>
      <c r="S697" s="63"/>
      <c r="T697" s="63"/>
    </row>
    <row r="698" spans="1:20" ht="12.75">
      <c r="A698" s="1273"/>
      <c r="B698" s="29">
        <v>6</v>
      </c>
      <c r="C698" s="36" t="s">
        <v>807</v>
      </c>
      <c r="D698" s="29">
        <v>18</v>
      </c>
      <c r="E698" s="29" t="s">
        <v>64</v>
      </c>
      <c r="F698" s="162">
        <f t="shared" si="98"/>
        <v>19.22</v>
      </c>
      <c r="G698" s="162">
        <v>1.7376</v>
      </c>
      <c r="H698" s="162">
        <v>0</v>
      </c>
      <c r="I698" s="162">
        <v>17.4824</v>
      </c>
      <c r="J698" s="286">
        <v>788.28</v>
      </c>
      <c r="K698" s="162">
        <v>17.4824</v>
      </c>
      <c r="L698" s="286">
        <v>788.29</v>
      </c>
      <c r="M698" s="232">
        <f t="shared" si="99"/>
        <v>0.022177624985728603</v>
      </c>
      <c r="N698" s="144">
        <v>210</v>
      </c>
      <c r="O698" s="269">
        <f t="shared" si="100"/>
        <v>4.657301247003007</v>
      </c>
      <c r="P698" s="269">
        <f t="shared" si="101"/>
        <v>1330.6574991437162</v>
      </c>
      <c r="Q698" s="215">
        <f t="shared" si="102"/>
        <v>279.4380748201804</v>
      </c>
      <c r="S698" s="63"/>
      <c r="T698" s="63"/>
    </row>
    <row r="699" spans="1:20" ht="12.75">
      <c r="A699" s="1273"/>
      <c r="B699" s="29">
        <v>7</v>
      </c>
      <c r="C699" s="36" t="s">
        <v>421</v>
      </c>
      <c r="D699" s="29">
        <v>5</v>
      </c>
      <c r="E699" s="29" t="s">
        <v>64</v>
      </c>
      <c r="F699" s="352">
        <f t="shared" si="98"/>
        <v>7.631</v>
      </c>
      <c r="G699" s="162">
        <v>0.5045</v>
      </c>
      <c r="H699" s="162">
        <v>0.8</v>
      </c>
      <c r="I699" s="162">
        <v>6.3265</v>
      </c>
      <c r="J699" s="286">
        <v>285.14</v>
      </c>
      <c r="K699" s="162">
        <v>6.3265</v>
      </c>
      <c r="L699" s="286">
        <v>285.14</v>
      </c>
      <c r="M699" s="232">
        <f t="shared" si="99"/>
        <v>0.022187346566598865</v>
      </c>
      <c r="N699" s="144">
        <v>210</v>
      </c>
      <c r="O699" s="269">
        <f t="shared" si="100"/>
        <v>4.659342778985762</v>
      </c>
      <c r="P699" s="270">
        <f t="shared" si="101"/>
        <v>1331.2407939959319</v>
      </c>
      <c r="Q699" s="271">
        <f t="shared" si="102"/>
        <v>279.5605667391457</v>
      </c>
      <c r="S699" s="63"/>
      <c r="T699" s="63"/>
    </row>
    <row r="700" spans="1:20" ht="12.75">
      <c r="A700" s="1273"/>
      <c r="B700" s="29">
        <v>8</v>
      </c>
      <c r="C700" s="36" t="s">
        <v>422</v>
      </c>
      <c r="D700" s="29">
        <v>5</v>
      </c>
      <c r="E700" s="29" t="s">
        <v>64</v>
      </c>
      <c r="F700" s="293">
        <f t="shared" si="98"/>
        <v>5.497</v>
      </c>
      <c r="G700" s="162">
        <v>0.3363</v>
      </c>
      <c r="H700" s="162">
        <v>0.8</v>
      </c>
      <c r="I700" s="162">
        <v>4.3607</v>
      </c>
      <c r="J700" s="286">
        <v>192.6</v>
      </c>
      <c r="K700" s="162">
        <v>4.3607</v>
      </c>
      <c r="L700" s="286">
        <v>192.6</v>
      </c>
      <c r="M700" s="232">
        <f t="shared" si="99"/>
        <v>0.02264122533748702</v>
      </c>
      <c r="N700" s="144">
        <v>210</v>
      </c>
      <c r="O700" s="269">
        <f t="shared" si="100"/>
        <v>4.7546573208722736</v>
      </c>
      <c r="P700" s="269">
        <f t="shared" si="101"/>
        <v>1358.473520249221</v>
      </c>
      <c r="Q700" s="215">
        <f t="shared" si="102"/>
        <v>285.27943925233643</v>
      </c>
      <c r="S700" s="63"/>
      <c r="T700" s="63"/>
    </row>
    <row r="701" spans="1:20" ht="12.75">
      <c r="A701" s="1273"/>
      <c r="B701" s="29">
        <v>9</v>
      </c>
      <c r="C701" s="36" t="s">
        <v>403</v>
      </c>
      <c r="D701" s="29">
        <v>22</v>
      </c>
      <c r="E701" s="29" t="s">
        <v>64</v>
      </c>
      <c r="F701" s="162">
        <f t="shared" si="98"/>
        <v>33.26</v>
      </c>
      <c r="G701" s="162">
        <v>2.1299</v>
      </c>
      <c r="H701" s="162">
        <v>3.52</v>
      </c>
      <c r="I701" s="162">
        <v>27.6101</v>
      </c>
      <c r="J701" s="286">
        <v>1210.94</v>
      </c>
      <c r="K701" s="162">
        <v>27.6101</v>
      </c>
      <c r="L701" s="286">
        <v>1210.94</v>
      </c>
      <c r="M701" s="232">
        <f t="shared" si="99"/>
        <v>0.02280055163757081</v>
      </c>
      <c r="N701" s="144">
        <v>210</v>
      </c>
      <c r="O701" s="269">
        <f t="shared" si="100"/>
        <v>4.78811584388987</v>
      </c>
      <c r="P701" s="269">
        <f t="shared" si="101"/>
        <v>1368.0330982542487</v>
      </c>
      <c r="Q701" s="215">
        <f t="shared" si="102"/>
        <v>287.2869506333922</v>
      </c>
      <c r="S701" s="63"/>
      <c r="T701" s="63"/>
    </row>
    <row r="702" spans="1:20" ht="13.5" thickBot="1">
      <c r="A702" s="1274"/>
      <c r="B702" s="33">
        <v>10</v>
      </c>
      <c r="C702" s="37" t="s">
        <v>808</v>
      </c>
      <c r="D702" s="33">
        <v>17</v>
      </c>
      <c r="E702" s="33" t="s">
        <v>64</v>
      </c>
      <c r="F702" s="306">
        <f t="shared" si="98"/>
        <v>21.5161</v>
      </c>
      <c r="G702" s="289">
        <v>2.2981</v>
      </c>
      <c r="H702" s="289">
        <v>1.18</v>
      </c>
      <c r="I702" s="289">
        <v>18.038</v>
      </c>
      <c r="J702" s="292">
        <v>780.3</v>
      </c>
      <c r="K702" s="289">
        <v>18.038</v>
      </c>
      <c r="L702" s="292">
        <v>780.3</v>
      </c>
      <c r="M702" s="245">
        <f t="shared" si="99"/>
        <v>0.023116749967961044</v>
      </c>
      <c r="N702" s="246">
        <v>210</v>
      </c>
      <c r="O702" s="272">
        <f t="shared" si="100"/>
        <v>4.854517493271819</v>
      </c>
      <c r="P702" s="272">
        <f t="shared" si="101"/>
        <v>1387.0049980776628</v>
      </c>
      <c r="Q702" s="218">
        <f t="shared" si="102"/>
        <v>291.2710495963092</v>
      </c>
      <c r="S702" s="63"/>
      <c r="T702" s="63"/>
    </row>
    <row r="703" spans="19:20" ht="12.75">
      <c r="S703" s="63"/>
      <c r="T703" s="63"/>
    </row>
    <row r="704" spans="19:20" ht="12.75">
      <c r="S704" s="63"/>
      <c r="T704" s="63"/>
    </row>
    <row r="705" spans="1:20" ht="15">
      <c r="A705" s="1233" t="s">
        <v>252</v>
      </c>
      <c r="B705" s="1233"/>
      <c r="C705" s="1233"/>
      <c r="D705" s="1233"/>
      <c r="E705" s="1233"/>
      <c r="F705" s="1233"/>
      <c r="G705" s="1233"/>
      <c r="H705" s="1233"/>
      <c r="I705" s="1233"/>
      <c r="J705" s="1233"/>
      <c r="K705" s="1233"/>
      <c r="L705" s="1233"/>
      <c r="M705" s="1233"/>
      <c r="N705" s="1233"/>
      <c r="O705" s="1233"/>
      <c r="P705" s="1233"/>
      <c r="Q705" s="1233"/>
      <c r="S705" s="63"/>
      <c r="T705" s="63"/>
    </row>
    <row r="706" spans="1:20" ht="13.5" thickBot="1">
      <c r="A706" s="1234" t="s">
        <v>824</v>
      </c>
      <c r="B706" s="1234"/>
      <c r="C706" s="1234"/>
      <c r="D706" s="1234"/>
      <c r="E706" s="1234"/>
      <c r="F706" s="1234"/>
      <c r="G706" s="1234"/>
      <c r="H706" s="1234"/>
      <c r="I706" s="1234"/>
      <c r="J706" s="1234"/>
      <c r="K706" s="1234"/>
      <c r="L706" s="1234"/>
      <c r="M706" s="1234"/>
      <c r="N706" s="1234"/>
      <c r="O706" s="1234"/>
      <c r="P706" s="1234"/>
      <c r="Q706" s="1234"/>
      <c r="S706" s="63"/>
      <c r="T706" s="63"/>
    </row>
    <row r="707" spans="1:20" ht="12.75">
      <c r="A707" s="1235" t="s">
        <v>1</v>
      </c>
      <c r="B707" s="1203" t="s">
        <v>0</v>
      </c>
      <c r="C707" s="1226" t="s">
        <v>2</v>
      </c>
      <c r="D707" s="1226" t="s">
        <v>3</v>
      </c>
      <c r="E707" s="1226" t="s">
        <v>41</v>
      </c>
      <c r="F707" s="1241" t="s">
        <v>14</v>
      </c>
      <c r="G707" s="1241"/>
      <c r="H707" s="1241"/>
      <c r="I707" s="1241"/>
      <c r="J707" s="1226" t="s">
        <v>4</v>
      </c>
      <c r="K707" s="1226" t="s">
        <v>15</v>
      </c>
      <c r="L707" s="1226" t="s">
        <v>5</v>
      </c>
      <c r="M707" s="1226" t="s">
        <v>6</v>
      </c>
      <c r="N707" s="1226" t="s">
        <v>16</v>
      </c>
      <c r="O707" s="1226" t="s">
        <v>17</v>
      </c>
      <c r="P707" s="1239" t="s">
        <v>25</v>
      </c>
      <c r="Q707" s="1197" t="s">
        <v>26</v>
      </c>
      <c r="S707" s="63"/>
      <c r="T707" s="63"/>
    </row>
    <row r="708" spans="1:20" ht="33.75">
      <c r="A708" s="1236"/>
      <c r="B708" s="1204"/>
      <c r="C708" s="1227"/>
      <c r="D708" s="1227"/>
      <c r="E708" s="1227"/>
      <c r="F708" s="26" t="s">
        <v>18</v>
      </c>
      <c r="G708" s="26" t="s">
        <v>19</v>
      </c>
      <c r="H708" s="26" t="s">
        <v>32</v>
      </c>
      <c r="I708" s="26" t="s">
        <v>21</v>
      </c>
      <c r="J708" s="1227"/>
      <c r="K708" s="1227"/>
      <c r="L708" s="1227"/>
      <c r="M708" s="1227"/>
      <c r="N708" s="1227"/>
      <c r="O708" s="1227"/>
      <c r="P708" s="1240"/>
      <c r="Q708" s="1198"/>
      <c r="S708" s="63"/>
      <c r="T708" s="63"/>
    </row>
    <row r="709" spans="1:20" ht="13.5" thickBot="1">
      <c r="A709" s="1237"/>
      <c r="B709" s="1204"/>
      <c r="C709" s="1238"/>
      <c r="D709" s="42" t="s">
        <v>7</v>
      </c>
      <c r="E709" s="42" t="s">
        <v>8</v>
      </c>
      <c r="F709" s="42" t="s">
        <v>9</v>
      </c>
      <c r="G709" s="42" t="s">
        <v>9</v>
      </c>
      <c r="H709" s="42" t="s">
        <v>9</v>
      </c>
      <c r="I709" s="42" t="s">
        <v>9</v>
      </c>
      <c r="J709" s="42" t="s">
        <v>22</v>
      </c>
      <c r="K709" s="42" t="s">
        <v>9</v>
      </c>
      <c r="L709" s="42" t="s">
        <v>22</v>
      </c>
      <c r="M709" s="42" t="s">
        <v>23</v>
      </c>
      <c r="N709" s="42" t="s">
        <v>10</v>
      </c>
      <c r="O709" s="42" t="s">
        <v>24</v>
      </c>
      <c r="P709" s="49" t="s">
        <v>27</v>
      </c>
      <c r="Q709" s="44" t="s">
        <v>28</v>
      </c>
      <c r="S709" s="63"/>
      <c r="T709" s="63"/>
    </row>
    <row r="710" spans="1:20" ht="12.75">
      <c r="A710" s="1230" t="s">
        <v>11</v>
      </c>
      <c r="B710" s="20">
        <v>1</v>
      </c>
      <c r="C710" s="163" t="s">
        <v>611</v>
      </c>
      <c r="D710" s="126">
        <v>15</v>
      </c>
      <c r="E710" s="126">
        <v>2006</v>
      </c>
      <c r="F710" s="207">
        <v>8.69</v>
      </c>
      <c r="G710" s="207">
        <v>1.73</v>
      </c>
      <c r="H710" s="207">
        <v>1.2</v>
      </c>
      <c r="I710" s="207">
        <v>5.76</v>
      </c>
      <c r="J710" s="856"/>
      <c r="K710" s="207">
        <f aca="true" t="shared" si="103" ref="K710:K718">I710</f>
        <v>5.76</v>
      </c>
      <c r="L710" s="219">
        <v>1104</v>
      </c>
      <c r="M710" s="139">
        <f aca="true" t="shared" si="104" ref="M710:M718">K710/L710</f>
        <v>0.005217391304347826</v>
      </c>
      <c r="N710" s="127">
        <v>187.69</v>
      </c>
      <c r="O710" s="460">
        <f aca="true" t="shared" si="105" ref="O710:O718">M710*N710</f>
        <v>0.9792521739130434</v>
      </c>
      <c r="P710" s="460">
        <f aca="true" t="shared" si="106" ref="P710:P718">M710*60*1000</f>
        <v>313.0434782608695</v>
      </c>
      <c r="Q710" s="461">
        <f aca="true" t="shared" si="107" ref="Q710:Q718">P710*N710/1000</f>
        <v>58.75513043478259</v>
      </c>
      <c r="S710" s="63"/>
      <c r="T710" s="63"/>
    </row>
    <row r="711" spans="1:20" ht="12.75">
      <c r="A711" s="1231"/>
      <c r="B711" s="21">
        <v>2</v>
      </c>
      <c r="C711" s="125" t="s">
        <v>612</v>
      </c>
      <c r="D711" s="99">
        <v>48</v>
      </c>
      <c r="E711" s="99">
        <v>1961</v>
      </c>
      <c r="F711" s="202">
        <v>34.67</v>
      </c>
      <c r="G711" s="202">
        <v>4.89</v>
      </c>
      <c r="H711" s="202">
        <v>7.68</v>
      </c>
      <c r="I711" s="202">
        <v>22.1</v>
      </c>
      <c r="J711" s="882"/>
      <c r="K711" s="207">
        <f t="shared" si="103"/>
        <v>22.1</v>
      </c>
      <c r="L711" s="220">
        <v>2297</v>
      </c>
      <c r="M711" s="108">
        <f t="shared" si="104"/>
        <v>0.009621245102307358</v>
      </c>
      <c r="N711" s="127">
        <v>187.69</v>
      </c>
      <c r="O711" s="462">
        <f t="shared" si="105"/>
        <v>1.805811493252068</v>
      </c>
      <c r="P711" s="460">
        <f t="shared" si="106"/>
        <v>577.2747061384415</v>
      </c>
      <c r="Q711" s="463">
        <f t="shared" si="107"/>
        <v>108.34868959512409</v>
      </c>
      <c r="S711" s="63"/>
      <c r="T711" s="63"/>
    </row>
    <row r="712" spans="1:20" ht="12.75">
      <c r="A712" s="1231"/>
      <c r="B712" s="21">
        <v>3</v>
      </c>
      <c r="C712" s="125" t="s">
        <v>613</v>
      </c>
      <c r="D712" s="99">
        <v>60</v>
      </c>
      <c r="E712" s="99">
        <v>1966</v>
      </c>
      <c r="F712" s="202">
        <v>46.36</v>
      </c>
      <c r="G712" s="202">
        <v>4.91</v>
      </c>
      <c r="H712" s="202">
        <v>9.6</v>
      </c>
      <c r="I712" s="202">
        <v>31.35</v>
      </c>
      <c r="J712" s="882"/>
      <c r="K712" s="207">
        <f t="shared" si="103"/>
        <v>31.35</v>
      </c>
      <c r="L712" s="220">
        <v>2723</v>
      </c>
      <c r="M712" s="108">
        <f t="shared" si="104"/>
        <v>0.011513037091443261</v>
      </c>
      <c r="N712" s="127">
        <v>187.69</v>
      </c>
      <c r="O712" s="462">
        <f t="shared" si="105"/>
        <v>2.1608819316929857</v>
      </c>
      <c r="P712" s="460">
        <f t="shared" si="106"/>
        <v>690.7822254865956</v>
      </c>
      <c r="Q712" s="463">
        <f t="shared" si="107"/>
        <v>129.65291590157915</v>
      </c>
      <c r="S712" s="63"/>
      <c r="T712" s="63"/>
    </row>
    <row r="713" spans="1:20" ht="12.75">
      <c r="A713" s="1231"/>
      <c r="B713" s="21">
        <v>4</v>
      </c>
      <c r="C713" s="125" t="s">
        <v>614</v>
      </c>
      <c r="D713" s="99">
        <v>48</v>
      </c>
      <c r="E713" s="99">
        <v>1961</v>
      </c>
      <c r="F713" s="202">
        <v>38.33</v>
      </c>
      <c r="G713" s="202">
        <v>4.44</v>
      </c>
      <c r="H713" s="202">
        <v>7.68</v>
      </c>
      <c r="I713" s="202">
        <v>26.2</v>
      </c>
      <c r="J713" s="882"/>
      <c r="K713" s="207">
        <f t="shared" si="103"/>
        <v>26.2</v>
      </c>
      <c r="L713" s="220">
        <v>2257</v>
      </c>
      <c r="M713" s="108">
        <f t="shared" si="104"/>
        <v>0.011608329641116527</v>
      </c>
      <c r="N713" s="127">
        <v>187.69</v>
      </c>
      <c r="O713" s="462">
        <f t="shared" si="105"/>
        <v>2.178767390341161</v>
      </c>
      <c r="P713" s="460">
        <f t="shared" si="106"/>
        <v>696.4997784669916</v>
      </c>
      <c r="Q713" s="463">
        <f t="shared" si="107"/>
        <v>130.72604342046967</v>
      </c>
      <c r="S713" s="63"/>
      <c r="T713" s="63"/>
    </row>
    <row r="714" spans="1:20" ht="12.75">
      <c r="A714" s="1231"/>
      <c r="B714" s="21">
        <v>5</v>
      </c>
      <c r="C714" s="125" t="s">
        <v>809</v>
      </c>
      <c r="D714" s="99">
        <v>48</v>
      </c>
      <c r="E714" s="99">
        <v>1961</v>
      </c>
      <c r="F714" s="202">
        <v>40.33</v>
      </c>
      <c r="G714" s="202">
        <v>4.08</v>
      </c>
      <c r="H714" s="202">
        <v>7.68</v>
      </c>
      <c r="I714" s="202">
        <v>28.57</v>
      </c>
      <c r="J714" s="882"/>
      <c r="K714" s="207">
        <f t="shared" si="103"/>
        <v>28.57</v>
      </c>
      <c r="L714" s="220">
        <v>2394</v>
      </c>
      <c r="M714" s="108">
        <f t="shared" si="104"/>
        <v>0.011934001670843776</v>
      </c>
      <c r="N714" s="127">
        <v>187.69</v>
      </c>
      <c r="O714" s="462">
        <f t="shared" si="105"/>
        <v>2.239892773600668</v>
      </c>
      <c r="P714" s="460">
        <f t="shared" si="106"/>
        <v>716.0401002506266</v>
      </c>
      <c r="Q714" s="463">
        <f t="shared" si="107"/>
        <v>134.3935664160401</v>
      </c>
      <c r="S714" s="63"/>
      <c r="T714" s="63"/>
    </row>
    <row r="715" spans="1:20" ht="12.75">
      <c r="A715" s="1231"/>
      <c r="B715" s="21">
        <v>6</v>
      </c>
      <c r="C715" s="125" t="s">
        <v>810</v>
      </c>
      <c r="D715" s="99">
        <v>48</v>
      </c>
      <c r="E715" s="99">
        <v>1961</v>
      </c>
      <c r="F715" s="202">
        <v>41.37</v>
      </c>
      <c r="G715" s="202">
        <v>3.26</v>
      </c>
      <c r="H715" s="202">
        <v>7.68</v>
      </c>
      <c r="I715" s="202">
        <v>30.43</v>
      </c>
      <c r="J715" s="882"/>
      <c r="K715" s="207">
        <f t="shared" si="103"/>
        <v>30.43</v>
      </c>
      <c r="L715" s="220">
        <v>2393</v>
      </c>
      <c r="M715" s="108">
        <f t="shared" si="104"/>
        <v>0.012716255745925616</v>
      </c>
      <c r="N715" s="127">
        <v>187.69</v>
      </c>
      <c r="O715" s="462">
        <f t="shared" si="105"/>
        <v>2.386714040952779</v>
      </c>
      <c r="P715" s="460">
        <f t="shared" si="106"/>
        <v>762.975344755537</v>
      </c>
      <c r="Q715" s="463">
        <f t="shared" si="107"/>
        <v>143.20284245716672</v>
      </c>
      <c r="S715" s="63"/>
      <c r="T715" s="63"/>
    </row>
    <row r="716" spans="1:20" ht="12.75">
      <c r="A716" s="1231"/>
      <c r="B716" s="21">
        <v>7</v>
      </c>
      <c r="C716" s="125" t="s">
        <v>615</v>
      </c>
      <c r="D716" s="99">
        <v>30</v>
      </c>
      <c r="E716" s="99">
        <v>1970</v>
      </c>
      <c r="F716" s="202">
        <v>30</v>
      </c>
      <c r="G716" s="202">
        <v>3.16</v>
      </c>
      <c r="H716" s="202">
        <v>4.8</v>
      </c>
      <c r="I716" s="202">
        <v>22</v>
      </c>
      <c r="J716" s="882"/>
      <c r="K716" s="207">
        <f t="shared" si="103"/>
        <v>22</v>
      </c>
      <c r="L716" s="220">
        <v>1727</v>
      </c>
      <c r="M716" s="108">
        <f t="shared" si="104"/>
        <v>0.012738853503184714</v>
      </c>
      <c r="N716" s="127">
        <v>187.69</v>
      </c>
      <c r="O716" s="462">
        <f t="shared" si="105"/>
        <v>2.390955414012739</v>
      </c>
      <c r="P716" s="460">
        <f t="shared" si="106"/>
        <v>764.3312101910828</v>
      </c>
      <c r="Q716" s="463">
        <f t="shared" si="107"/>
        <v>143.45732484076433</v>
      </c>
      <c r="S716" s="63"/>
      <c r="T716" s="63"/>
    </row>
    <row r="717" spans="1:20" ht="12.75">
      <c r="A717" s="1231"/>
      <c r="B717" s="21">
        <v>8</v>
      </c>
      <c r="C717" s="125" t="s">
        <v>147</v>
      </c>
      <c r="D717" s="99">
        <v>48</v>
      </c>
      <c r="E717" s="99">
        <v>1961</v>
      </c>
      <c r="F717" s="202">
        <v>40.94</v>
      </c>
      <c r="G717" s="202">
        <v>3.93</v>
      </c>
      <c r="H717" s="202">
        <v>7.68</v>
      </c>
      <c r="I717" s="202">
        <v>29.3</v>
      </c>
      <c r="J717" s="882"/>
      <c r="K717" s="207">
        <f t="shared" si="103"/>
        <v>29.3</v>
      </c>
      <c r="L717" s="220">
        <v>2296</v>
      </c>
      <c r="M717" s="108">
        <f t="shared" si="104"/>
        <v>0.012761324041811847</v>
      </c>
      <c r="N717" s="127">
        <v>187.69</v>
      </c>
      <c r="O717" s="462">
        <f t="shared" si="105"/>
        <v>2.3951729094076653</v>
      </c>
      <c r="P717" s="460">
        <f t="shared" si="106"/>
        <v>765.6794425087107</v>
      </c>
      <c r="Q717" s="463">
        <f t="shared" si="107"/>
        <v>143.71037456445993</v>
      </c>
      <c r="S717" s="63"/>
      <c r="T717" s="63"/>
    </row>
    <row r="718" spans="1:20" ht="12.75">
      <c r="A718" s="1231"/>
      <c r="B718" s="21">
        <v>9</v>
      </c>
      <c r="C718" s="125" t="s">
        <v>811</v>
      </c>
      <c r="D718" s="99">
        <v>48</v>
      </c>
      <c r="E718" s="99">
        <v>1964</v>
      </c>
      <c r="F718" s="202">
        <v>41.38</v>
      </c>
      <c r="G718" s="202">
        <v>4.2</v>
      </c>
      <c r="H718" s="202">
        <v>7.68</v>
      </c>
      <c r="I718" s="202">
        <v>29.42</v>
      </c>
      <c r="J718" s="882"/>
      <c r="K718" s="207">
        <f t="shared" si="103"/>
        <v>29.42</v>
      </c>
      <c r="L718" s="220">
        <v>2296</v>
      </c>
      <c r="M718" s="108">
        <f t="shared" si="104"/>
        <v>0.012813588850174217</v>
      </c>
      <c r="N718" s="127">
        <v>187.69</v>
      </c>
      <c r="O718" s="462">
        <f t="shared" si="105"/>
        <v>2.4049824912891986</v>
      </c>
      <c r="P718" s="460">
        <f t="shared" si="106"/>
        <v>768.815331010453</v>
      </c>
      <c r="Q718" s="463">
        <f t="shared" si="107"/>
        <v>144.2989494773519</v>
      </c>
      <c r="S718" s="63"/>
      <c r="T718" s="63"/>
    </row>
    <row r="719" spans="1:20" ht="13.5" thickBot="1">
      <c r="A719" s="1232"/>
      <c r="B719" s="75">
        <v>10</v>
      </c>
      <c r="C719" s="128"/>
      <c r="D719" s="100"/>
      <c r="E719" s="100"/>
      <c r="F719" s="203"/>
      <c r="G719" s="203"/>
      <c r="H719" s="203"/>
      <c r="I719" s="203"/>
      <c r="J719" s="883"/>
      <c r="K719" s="203"/>
      <c r="L719" s="221"/>
      <c r="M719" s="140"/>
      <c r="N719" s="129"/>
      <c r="O719" s="741"/>
      <c r="P719" s="541"/>
      <c r="Q719" s="542"/>
      <c r="S719" s="63"/>
      <c r="T719" s="63"/>
    </row>
    <row r="720" spans="1:20" ht="12.75">
      <c r="A720" s="1218" t="s">
        <v>29</v>
      </c>
      <c r="B720" s="404">
        <v>1</v>
      </c>
      <c r="C720" s="362" t="s">
        <v>616</v>
      </c>
      <c r="D720" s="363">
        <v>60</v>
      </c>
      <c r="E720" s="363">
        <v>1983</v>
      </c>
      <c r="F720" s="365">
        <v>65.52</v>
      </c>
      <c r="G720" s="365">
        <v>7.09</v>
      </c>
      <c r="H720" s="365">
        <v>9.6</v>
      </c>
      <c r="I720" s="364">
        <v>48.8</v>
      </c>
      <c r="J720" s="857"/>
      <c r="K720" s="396">
        <f aca="true" t="shared" si="108" ref="K720:K739">I720</f>
        <v>48.8</v>
      </c>
      <c r="L720" s="366">
        <v>3251</v>
      </c>
      <c r="M720" s="367">
        <f aca="true" t="shared" si="109" ref="M720:M739">K720/L720</f>
        <v>0.015010765918179021</v>
      </c>
      <c r="N720" s="368">
        <v>187.69</v>
      </c>
      <c r="O720" s="369">
        <f aca="true" t="shared" si="110" ref="O720:O739">M720*N720</f>
        <v>2.8173706551830207</v>
      </c>
      <c r="P720" s="369">
        <f aca="true" t="shared" si="111" ref="P720:P739">M720*60*1000</f>
        <v>900.6459550907413</v>
      </c>
      <c r="Q720" s="370">
        <f aca="true" t="shared" si="112" ref="Q720:Q739">P720*N720/1000</f>
        <v>169.04223931098124</v>
      </c>
      <c r="S720" s="63"/>
      <c r="T720" s="63"/>
    </row>
    <row r="721" spans="1:20" ht="12.75">
      <c r="A721" s="1219"/>
      <c r="B721" s="377">
        <v>2</v>
      </c>
      <c r="C721" s="362" t="s">
        <v>812</v>
      </c>
      <c r="D721" s="363">
        <v>30</v>
      </c>
      <c r="E721" s="363">
        <v>1972</v>
      </c>
      <c r="F721" s="364">
        <v>34.7</v>
      </c>
      <c r="G721" s="364">
        <v>3.57</v>
      </c>
      <c r="H721" s="364">
        <v>4.8</v>
      </c>
      <c r="I721" s="364">
        <v>26.36</v>
      </c>
      <c r="J721" s="858"/>
      <c r="K721" s="396">
        <f t="shared" si="108"/>
        <v>26.36</v>
      </c>
      <c r="L721" s="372">
        <v>1727</v>
      </c>
      <c r="M721" s="367">
        <f t="shared" si="109"/>
        <v>0.015263462651997683</v>
      </c>
      <c r="N721" s="368">
        <v>187.69</v>
      </c>
      <c r="O721" s="369">
        <f t="shared" si="110"/>
        <v>2.8647993051534453</v>
      </c>
      <c r="P721" s="369">
        <f t="shared" si="111"/>
        <v>915.807759119861</v>
      </c>
      <c r="Q721" s="370">
        <f t="shared" si="112"/>
        <v>171.8879583092067</v>
      </c>
      <c r="S721" s="63"/>
      <c r="T721" s="63"/>
    </row>
    <row r="722" spans="1:20" ht="12.75">
      <c r="A722" s="1219"/>
      <c r="B722" s="407">
        <v>3</v>
      </c>
      <c r="C722" s="362" t="s">
        <v>813</v>
      </c>
      <c r="D722" s="363">
        <v>30</v>
      </c>
      <c r="E722" s="363">
        <v>1970</v>
      </c>
      <c r="F722" s="364">
        <v>34.96</v>
      </c>
      <c r="G722" s="364">
        <v>2</v>
      </c>
      <c r="H722" s="364">
        <v>4.8</v>
      </c>
      <c r="I722" s="364">
        <v>28.12</v>
      </c>
      <c r="J722" s="858"/>
      <c r="K722" s="396">
        <f t="shared" si="108"/>
        <v>28.12</v>
      </c>
      <c r="L722" s="372">
        <v>1727</v>
      </c>
      <c r="M722" s="374">
        <f t="shared" si="109"/>
        <v>0.016282570932252462</v>
      </c>
      <c r="N722" s="368">
        <v>187.69</v>
      </c>
      <c r="O722" s="369">
        <f t="shared" si="110"/>
        <v>3.0560757382744645</v>
      </c>
      <c r="P722" s="369">
        <f t="shared" si="111"/>
        <v>976.9542559351478</v>
      </c>
      <c r="Q722" s="375">
        <f t="shared" si="112"/>
        <v>183.36454429646787</v>
      </c>
      <c r="S722" s="63"/>
      <c r="T722" s="63"/>
    </row>
    <row r="723" spans="1:20" ht="12.75">
      <c r="A723" s="1219"/>
      <c r="B723" s="377">
        <v>4</v>
      </c>
      <c r="C723" s="362" t="s">
        <v>814</v>
      </c>
      <c r="D723" s="363">
        <v>50</v>
      </c>
      <c r="E723" s="363">
        <v>1971</v>
      </c>
      <c r="F723" s="364">
        <v>53.73</v>
      </c>
      <c r="G723" s="364">
        <v>3.67</v>
      </c>
      <c r="H723" s="364">
        <v>8</v>
      </c>
      <c r="I723" s="364">
        <v>42.06</v>
      </c>
      <c r="J723" s="858"/>
      <c r="K723" s="396">
        <f t="shared" si="108"/>
        <v>42.06</v>
      </c>
      <c r="L723" s="372">
        <v>2563</v>
      </c>
      <c r="M723" s="374">
        <f t="shared" si="109"/>
        <v>0.016410456496293406</v>
      </c>
      <c r="N723" s="368">
        <v>187.69</v>
      </c>
      <c r="O723" s="376">
        <f t="shared" si="110"/>
        <v>3.0800785797893093</v>
      </c>
      <c r="P723" s="369">
        <f t="shared" si="111"/>
        <v>984.6273897776043</v>
      </c>
      <c r="Q723" s="375">
        <f t="shared" si="112"/>
        <v>184.80471478735856</v>
      </c>
      <c r="S723" s="63"/>
      <c r="T723" s="63"/>
    </row>
    <row r="724" spans="1:20" ht="12.75">
      <c r="A724" s="1219"/>
      <c r="B724" s="377">
        <v>5</v>
      </c>
      <c r="C724" s="362" t="s">
        <v>815</v>
      </c>
      <c r="D724" s="363">
        <v>50</v>
      </c>
      <c r="E724" s="363">
        <v>1979</v>
      </c>
      <c r="F724" s="364">
        <v>40.79</v>
      </c>
      <c r="G724" s="364">
        <v>3.3</v>
      </c>
      <c r="H724" s="364">
        <v>7.84</v>
      </c>
      <c r="I724" s="364">
        <v>29.6</v>
      </c>
      <c r="J724" s="858"/>
      <c r="K724" s="396">
        <f t="shared" si="108"/>
        <v>29.6</v>
      </c>
      <c r="L724" s="372">
        <v>1768</v>
      </c>
      <c r="M724" s="374">
        <f t="shared" si="109"/>
        <v>0.0167420814479638</v>
      </c>
      <c r="N724" s="368">
        <v>187.69</v>
      </c>
      <c r="O724" s="376">
        <f t="shared" si="110"/>
        <v>3.1423212669683256</v>
      </c>
      <c r="P724" s="369">
        <f t="shared" si="111"/>
        <v>1004.5248868778281</v>
      </c>
      <c r="Q724" s="375">
        <f t="shared" si="112"/>
        <v>188.53927601809954</v>
      </c>
      <c r="S724" s="63"/>
      <c r="T724" s="63"/>
    </row>
    <row r="725" spans="1:20" ht="12.75">
      <c r="A725" s="1219"/>
      <c r="B725" s="377">
        <v>6</v>
      </c>
      <c r="C725" s="362" t="s">
        <v>816</v>
      </c>
      <c r="D725" s="363">
        <v>30</v>
      </c>
      <c r="E725" s="363">
        <v>1973</v>
      </c>
      <c r="F725" s="364">
        <v>36.76</v>
      </c>
      <c r="G725" s="364">
        <v>2.65</v>
      </c>
      <c r="H725" s="364">
        <v>4.8</v>
      </c>
      <c r="I725" s="364">
        <v>29.3</v>
      </c>
      <c r="J725" s="858"/>
      <c r="K725" s="396">
        <f t="shared" si="108"/>
        <v>29.3</v>
      </c>
      <c r="L725" s="372">
        <v>1726</v>
      </c>
      <c r="M725" s="374">
        <f t="shared" si="109"/>
        <v>0.016975666280417148</v>
      </c>
      <c r="N725" s="368">
        <v>187.69</v>
      </c>
      <c r="O725" s="376">
        <f t="shared" si="110"/>
        <v>3.1861628041714947</v>
      </c>
      <c r="P725" s="369">
        <f t="shared" si="111"/>
        <v>1018.5399768250289</v>
      </c>
      <c r="Q725" s="375">
        <f t="shared" si="112"/>
        <v>191.16976825028968</v>
      </c>
      <c r="S725" s="63"/>
      <c r="T725" s="63"/>
    </row>
    <row r="726" spans="1:20" ht="12.75">
      <c r="A726" s="1219"/>
      <c r="B726" s="377">
        <v>7</v>
      </c>
      <c r="C726" s="362" t="s">
        <v>817</v>
      </c>
      <c r="D726" s="363">
        <v>48</v>
      </c>
      <c r="E726" s="363">
        <v>1961</v>
      </c>
      <c r="F726" s="364">
        <v>51.72</v>
      </c>
      <c r="G726" s="364">
        <v>3.21</v>
      </c>
      <c r="H726" s="364">
        <v>7.68</v>
      </c>
      <c r="I726" s="364">
        <v>40.83</v>
      </c>
      <c r="J726" s="858"/>
      <c r="K726" s="396">
        <f t="shared" si="108"/>
        <v>40.83</v>
      </c>
      <c r="L726" s="372">
        <v>2393</v>
      </c>
      <c r="M726" s="374">
        <f t="shared" si="109"/>
        <v>0.0170622649394066</v>
      </c>
      <c r="N726" s="368">
        <v>187.69</v>
      </c>
      <c r="O726" s="376">
        <f t="shared" si="110"/>
        <v>3.202416506477225</v>
      </c>
      <c r="P726" s="369">
        <f t="shared" si="111"/>
        <v>1023.7358963643961</v>
      </c>
      <c r="Q726" s="375">
        <f t="shared" si="112"/>
        <v>192.14499038863352</v>
      </c>
      <c r="S726" s="63"/>
      <c r="T726" s="63"/>
    </row>
    <row r="727" spans="1:20" ht="12.75">
      <c r="A727" s="1219"/>
      <c r="B727" s="377">
        <v>8</v>
      </c>
      <c r="C727" s="362" t="s">
        <v>617</v>
      </c>
      <c r="D727" s="363">
        <v>60</v>
      </c>
      <c r="E727" s="363">
        <v>1985</v>
      </c>
      <c r="F727" s="364">
        <v>71.89</v>
      </c>
      <c r="G727" s="364">
        <v>6.4</v>
      </c>
      <c r="H727" s="364">
        <v>9.6</v>
      </c>
      <c r="I727" s="364">
        <v>55.86</v>
      </c>
      <c r="J727" s="858"/>
      <c r="K727" s="396">
        <f t="shared" si="108"/>
        <v>55.86</v>
      </c>
      <c r="L727" s="372">
        <v>3253</v>
      </c>
      <c r="M727" s="374">
        <f t="shared" si="109"/>
        <v>0.017171841377190286</v>
      </c>
      <c r="N727" s="368">
        <v>187.69</v>
      </c>
      <c r="O727" s="376">
        <f t="shared" si="110"/>
        <v>3.2229829080848447</v>
      </c>
      <c r="P727" s="369">
        <f t="shared" si="111"/>
        <v>1030.310482631417</v>
      </c>
      <c r="Q727" s="375">
        <f t="shared" si="112"/>
        <v>193.37897448509068</v>
      </c>
      <c r="S727" s="63"/>
      <c r="T727" s="63"/>
    </row>
    <row r="728" spans="1:20" ht="12.75">
      <c r="A728" s="1219"/>
      <c r="B728" s="377">
        <v>9</v>
      </c>
      <c r="C728" s="362" t="s">
        <v>618</v>
      </c>
      <c r="D728" s="363">
        <v>60</v>
      </c>
      <c r="E728" s="363">
        <v>1981</v>
      </c>
      <c r="F728" s="364">
        <v>72.76</v>
      </c>
      <c r="G728" s="364">
        <v>6.6</v>
      </c>
      <c r="H728" s="364">
        <v>9.6</v>
      </c>
      <c r="I728" s="364">
        <v>56.53</v>
      </c>
      <c r="J728" s="858"/>
      <c r="K728" s="396">
        <f t="shared" si="108"/>
        <v>56.53</v>
      </c>
      <c r="L728" s="372">
        <v>3252</v>
      </c>
      <c r="M728" s="374">
        <f t="shared" si="109"/>
        <v>0.017383148831488317</v>
      </c>
      <c r="N728" s="368">
        <v>187.69</v>
      </c>
      <c r="O728" s="376">
        <f t="shared" si="110"/>
        <v>3.262643204182042</v>
      </c>
      <c r="P728" s="369">
        <f t="shared" si="111"/>
        <v>1042.988929889299</v>
      </c>
      <c r="Q728" s="375">
        <f t="shared" si="112"/>
        <v>195.75859225092253</v>
      </c>
      <c r="S728" s="63"/>
      <c r="T728" s="63"/>
    </row>
    <row r="729" spans="1:20" ht="13.5" thickBot="1">
      <c r="A729" s="1220"/>
      <c r="B729" s="377">
        <v>10</v>
      </c>
      <c r="C729" s="397" t="s">
        <v>818</v>
      </c>
      <c r="D729" s="398">
        <v>20</v>
      </c>
      <c r="E729" s="398">
        <v>1990</v>
      </c>
      <c r="F729" s="399">
        <v>24.49</v>
      </c>
      <c r="G729" s="399">
        <v>1.89</v>
      </c>
      <c r="H729" s="399">
        <v>3.2</v>
      </c>
      <c r="I729" s="399">
        <v>19.4</v>
      </c>
      <c r="J729" s="859"/>
      <c r="K729" s="399">
        <f t="shared" si="108"/>
        <v>19.4</v>
      </c>
      <c r="L729" s="400">
        <v>1068</v>
      </c>
      <c r="M729" s="401">
        <f t="shared" si="109"/>
        <v>0.018164794007490635</v>
      </c>
      <c r="N729" s="409">
        <v>187.69</v>
      </c>
      <c r="O729" s="402">
        <f t="shared" si="110"/>
        <v>3.4093501872659173</v>
      </c>
      <c r="P729" s="402">
        <f t="shared" si="111"/>
        <v>1089.8876404494379</v>
      </c>
      <c r="Q729" s="403">
        <f t="shared" si="112"/>
        <v>204.561011235955</v>
      </c>
      <c r="S729" s="63"/>
      <c r="T729" s="63"/>
    </row>
    <row r="730" spans="1:20" ht="12.75">
      <c r="A730" s="1221" t="s">
        <v>30</v>
      </c>
      <c r="B730" s="477">
        <v>1</v>
      </c>
      <c r="C730" s="521" t="s">
        <v>109</v>
      </c>
      <c r="D730" s="492">
        <v>20</v>
      </c>
      <c r="E730" s="492">
        <v>1984</v>
      </c>
      <c r="F730" s="703">
        <v>27.13</v>
      </c>
      <c r="G730" s="703">
        <v>2.55</v>
      </c>
      <c r="H730" s="703">
        <v>3.2</v>
      </c>
      <c r="I730" s="703">
        <v>21.4</v>
      </c>
      <c r="J730" s="860"/>
      <c r="K730" s="729">
        <f t="shared" si="108"/>
        <v>21.4</v>
      </c>
      <c r="L730" s="715">
        <v>1039</v>
      </c>
      <c r="M730" s="684">
        <f t="shared" si="109"/>
        <v>0.020596727622714146</v>
      </c>
      <c r="N730" s="717">
        <v>187.69</v>
      </c>
      <c r="O730" s="685">
        <f t="shared" si="110"/>
        <v>3.865799807507218</v>
      </c>
      <c r="P730" s="685">
        <f t="shared" si="111"/>
        <v>1235.8036573628488</v>
      </c>
      <c r="Q730" s="686">
        <f t="shared" si="112"/>
        <v>231.94798845043306</v>
      </c>
      <c r="S730" s="63"/>
      <c r="T730" s="63"/>
    </row>
    <row r="731" spans="1:20" ht="12.75">
      <c r="A731" s="1222"/>
      <c r="B731" s="483">
        <v>2</v>
      </c>
      <c r="C731" s="522" t="s">
        <v>819</v>
      </c>
      <c r="D731" s="493">
        <v>36</v>
      </c>
      <c r="E731" s="493">
        <v>1986</v>
      </c>
      <c r="F731" s="704">
        <v>52.64</v>
      </c>
      <c r="G731" s="704">
        <v>3.77</v>
      </c>
      <c r="H731" s="704">
        <v>5.76</v>
      </c>
      <c r="I731" s="704">
        <v>43.1</v>
      </c>
      <c r="J731" s="861"/>
      <c r="K731" s="729">
        <f t="shared" si="108"/>
        <v>43.1</v>
      </c>
      <c r="L731" s="710">
        <v>2075</v>
      </c>
      <c r="M731" s="650">
        <f t="shared" si="109"/>
        <v>0.020771084337349397</v>
      </c>
      <c r="N731" s="717">
        <v>187.69</v>
      </c>
      <c r="O731" s="508">
        <f t="shared" si="110"/>
        <v>3.8985248192771085</v>
      </c>
      <c r="P731" s="685">
        <f t="shared" si="111"/>
        <v>1246.2650602409637</v>
      </c>
      <c r="Q731" s="509">
        <f t="shared" si="112"/>
        <v>233.9114891566265</v>
      </c>
      <c r="S731" s="63"/>
      <c r="T731" s="63"/>
    </row>
    <row r="732" spans="1:20" ht="12.75">
      <c r="A732" s="1222"/>
      <c r="B732" s="480">
        <v>3</v>
      </c>
      <c r="C732" s="522" t="s">
        <v>820</v>
      </c>
      <c r="D732" s="493">
        <v>20</v>
      </c>
      <c r="E732" s="493">
        <v>1983</v>
      </c>
      <c r="F732" s="704">
        <v>28.8</v>
      </c>
      <c r="G732" s="704">
        <v>2.19</v>
      </c>
      <c r="H732" s="704">
        <v>3.2</v>
      </c>
      <c r="I732" s="704">
        <v>23.44</v>
      </c>
      <c r="J732" s="861"/>
      <c r="K732" s="729">
        <f t="shared" si="108"/>
        <v>23.44</v>
      </c>
      <c r="L732" s="710">
        <v>1073</v>
      </c>
      <c r="M732" s="650">
        <f t="shared" si="109"/>
        <v>0.0218452935694315</v>
      </c>
      <c r="N732" s="717">
        <v>187.69</v>
      </c>
      <c r="O732" s="508">
        <f t="shared" si="110"/>
        <v>4.100143150046598</v>
      </c>
      <c r="P732" s="685">
        <f t="shared" si="111"/>
        <v>1310.7176141658902</v>
      </c>
      <c r="Q732" s="509">
        <f t="shared" si="112"/>
        <v>246.00858900279593</v>
      </c>
      <c r="S732" s="63"/>
      <c r="T732" s="63"/>
    </row>
    <row r="733" spans="1:20" ht="12.75">
      <c r="A733" s="1223"/>
      <c r="B733" s="480">
        <v>4</v>
      </c>
      <c r="C733" s="522" t="s">
        <v>619</v>
      </c>
      <c r="D733" s="493">
        <v>20</v>
      </c>
      <c r="E733" s="493">
        <v>1984</v>
      </c>
      <c r="F733" s="704">
        <v>28</v>
      </c>
      <c r="G733" s="704">
        <v>1.53</v>
      </c>
      <c r="H733" s="704">
        <v>3.2</v>
      </c>
      <c r="I733" s="704">
        <v>23.29</v>
      </c>
      <c r="J733" s="861"/>
      <c r="K733" s="729">
        <f t="shared" si="108"/>
        <v>23.29</v>
      </c>
      <c r="L733" s="710">
        <v>1056</v>
      </c>
      <c r="M733" s="650">
        <f t="shared" si="109"/>
        <v>0.02205492424242424</v>
      </c>
      <c r="N733" s="717">
        <v>187.69</v>
      </c>
      <c r="O733" s="508">
        <f t="shared" si="110"/>
        <v>4.139488731060606</v>
      </c>
      <c r="P733" s="685">
        <f t="shared" si="111"/>
        <v>1323.2954545454545</v>
      </c>
      <c r="Q733" s="509">
        <f t="shared" si="112"/>
        <v>248.36932386363634</v>
      </c>
      <c r="S733" s="63"/>
      <c r="T733" s="63"/>
    </row>
    <row r="734" spans="1:20" ht="12.75">
      <c r="A734" s="1223"/>
      <c r="B734" s="480">
        <v>5</v>
      </c>
      <c r="C734" s="522" t="s">
        <v>620</v>
      </c>
      <c r="D734" s="493">
        <v>20</v>
      </c>
      <c r="E734" s="493">
        <v>1984</v>
      </c>
      <c r="F734" s="704">
        <v>28.93</v>
      </c>
      <c r="G734" s="704">
        <v>2.09</v>
      </c>
      <c r="H734" s="704">
        <v>3.2</v>
      </c>
      <c r="I734" s="704">
        <v>23.6</v>
      </c>
      <c r="J734" s="861"/>
      <c r="K734" s="729">
        <f t="shared" si="108"/>
        <v>23.6</v>
      </c>
      <c r="L734" s="710">
        <v>1062</v>
      </c>
      <c r="M734" s="650">
        <f t="shared" si="109"/>
        <v>0.022222222222222223</v>
      </c>
      <c r="N734" s="717">
        <v>187.69</v>
      </c>
      <c r="O734" s="508">
        <f t="shared" si="110"/>
        <v>4.170888888888889</v>
      </c>
      <c r="P734" s="685">
        <f t="shared" si="111"/>
        <v>1333.3333333333335</v>
      </c>
      <c r="Q734" s="509">
        <f t="shared" si="112"/>
        <v>250.25333333333336</v>
      </c>
      <c r="S734" s="63"/>
      <c r="T734" s="63"/>
    </row>
    <row r="735" spans="1:20" ht="12.75">
      <c r="A735" s="1223"/>
      <c r="B735" s="480">
        <v>6</v>
      </c>
      <c r="C735" s="522" t="s">
        <v>821</v>
      </c>
      <c r="D735" s="493">
        <v>20</v>
      </c>
      <c r="E735" s="493">
        <v>1983</v>
      </c>
      <c r="F735" s="704">
        <v>29.37</v>
      </c>
      <c r="G735" s="704">
        <v>1.99</v>
      </c>
      <c r="H735" s="704">
        <v>3.2</v>
      </c>
      <c r="I735" s="704">
        <v>23.96</v>
      </c>
      <c r="J735" s="861"/>
      <c r="K735" s="729">
        <f t="shared" si="108"/>
        <v>23.96</v>
      </c>
      <c r="L735" s="710">
        <v>1040</v>
      </c>
      <c r="M735" s="650">
        <f t="shared" si="109"/>
        <v>0.02303846153846154</v>
      </c>
      <c r="N735" s="717">
        <v>187.69</v>
      </c>
      <c r="O735" s="508">
        <f t="shared" si="110"/>
        <v>4.324088846153846</v>
      </c>
      <c r="P735" s="685">
        <f t="shared" si="111"/>
        <v>1382.3076923076922</v>
      </c>
      <c r="Q735" s="509">
        <f t="shared" si="112"/>
        <v>259.44533076923074</v>
      </c>
      <c r="S735" s="63"/>
      <c r="T735" s="63"/>
    </row>
    <row r="736" spans="1:20" ht="12.75">
      <c r="A736" s="1223"/>
      <c r="B736" s="480">
        <v>7</v>
      </c>
      <c r="C736" s="522" t="s">
        <v>621</v>
      </c>
      <c r="D736" s="493">
        <v>20</v>
      </c>
      <c r="E736" s="493">
        <v>1984</v>
      </c>
      <c r="F736" s="704">
        <v>29.33</v>
      </c>
      <c r="G736" s="704">
        <v>1.58</v>
      </c>
      <c r="H736" s="704">
        <v>3.2</v>
      </c>
      <c r="I736" s="704">
        <v>24.5</v>
      </c>
      <c r="J736" s="861"/>
      <c r="K736" s="729">
        <f t="shared" si="108"/>
        <v>24.5</v>
      </c>
      <c r="L736" s="710">
        <v>1058</v>
      </c>
      <c r="M736" s="650">
        <f t="shared" si="109"/>
        <v>0.023156899810964082</v>
      </c>
      <c r="N736" s="717">
        <v>187.69</v>
      </c>
      <c r="O736" s="508">
        <f t="shared" si="110"/>
        <v>4.346318525519848</v>
      </c>
      <c r="P736" s="685">
        <f t="shared" si="111"/>
        <v>1389.413988657845</v>
      </c>
      <c r="Q736" s="509">
        <f t="shared" si="112"/>
        <v>260.77911153119095</v>
      </c>
      <c r="S736" s="63"/>
      <c r="T736" s="63"/>
    </row>
    <row r="737" spans="1:20" ht="12.75">
      <c r="A737" s="1223"/>
      <c r="B737" s="480">
        <v>8</v>
      </c>
      <c r="C737" s="522" t="s">
        <v>822</v>
      </c>
      <c r="D737" s="493">
        <v>20</v>
      </c>
      <c r="E737" s="493">
        <v>1984</v>
      </c>
      <c r="F737" s="704">
        <v>30.74</v>
      </c>
      <c r="G737" s="704">
        <v>2.34</v>
      </c>
      <c r="H737" s="704">
        <v>3.2</v>
      </c>
      <c r="I737" s="704">
        <v>25.19</v>
      </c>
      <c r="J737" s="861"/>
      <c r="K737" s="729">
        <f t="shared" si="108"/>
        <v>25.19</v>
      </c>
      <c r="L737" s="710">
        <v>1059</v>
      </c>
      <c r="M737" s="650">
        <f t="shared" si="109"/>
        <v>0.023786591123701607</v>
      </c>
      <c r="N737" s="717">
        <v>187.69</v>
      </c>
      <c r="O737" s="508">
        <f t="shared" si="110"/>
        <v>4.464505288007555</v>
      </c>
      <c r="P737" s="685">
        <f t="shared" si="111"/>
        <v>1427.1954674220963</v>
      </c>
      <c r="Q737" s="509">
        <f t="shared" si="112"/>
        <v>267.8703172804532</v>
      </c>
      <c r="S737" s="63"/>
      <c r="T737" s="63"/>
    </row>
    <row r="738" spans="1:20" ht="12.75">
      <c r="A738" s="1224"/>
      <c r="B738" s="480">
        <v>9</v>
      </c>
      <c r="C738" s="522" t="s">
        <v>823</v>
      </c>
      <c r="D738" s="493">
        <v>36</v>
      </c>
      <c r="E738" s="493">
        <v>1983</v>
      </c>
      <c r="F738" s="704">
        <v>59.36</v>
      </c>
      <c r="G738" s="704">
        <v>3.5</v>
      </c>
      <c r="H738" s="704">
        <v>5.76</v>
      </c>
      <c r="I738" s="704">
        <v>50</v>
      </c>
      <c r="J738" s="861"/>
      <c r="K738" s="729">
        <f t="shared" si="108"/>
        <v>50</v>
      </c>
      <c r="L738" s="710">
        <v>2074</v>
      </c>
      <c r="M738" s="650">
        <f t="shared" si="109"/>
        <v>0.024108003857280617</v>
      </c>
      <c r="N738" s="717">
        <v>187.69</v>
      </c>
      <c r="O738" s="508">
        <f t="shared" si="110"/>
        <v>4.524831243972999</v>
      </c>
      <c r="P738" s="685">
        <f t="shared" si="111"/>
        <v>1446.4802314368371</v>
      </c>
      <c r="Q738" s="509">
        <f t="shared" si="112"/>
        <v>271.48987463837994</v>
      </c>
      <c r="S738" s="63"/>
      <c r="T738" s="63"/>
    </row>
    <row r="739" spans="1:20" ht="13.5" thickBot="1">
      <c r="A739" s="1225"/>
      <c r="B739" s="978">
        <v>10</v>
      </c>
      <c r="C739" s="523" t="s">
        <v>622</v>
      </c>
      <c r="D739" s="494">
        <v>20</v>
      </c>
      <c r="E739" s="494">
        <v>1982</v>
      </c>
      <c r="F739" s="705">
        <v>30.16</v>
      </c>
      <c r="G739" s="705">
        <v>1.94</v>
      </c>
      <c r="H739" s="705">
        <v>3.2</v>
      </c>
      <c r="I739" s="705">
        <v>25</v>
      </c>
      <c r="J739" s="863"/>
      <c r="K739" s="705">
        <f t="shared" si="108"/>
        <v>25</v>
      </c>
      <c r="L739" s="711">
        <v>1027</v>
      </c>
      <c r="M739" s="687">
        <f t="shared" si="109"/>
        <v>0.024342745861733205</v>
      </c>
      <c r="N739" s="1137">
        <v>187.69</v>
      </c>
      <c r="O739" s="689">
        <f t="shared" si="110"/>
        <v>4.568889970788705</v>
      </c>
      <c r="P739" s="689">
        <f t="shared" si="111"/>
        <v>1460.5647517039924</v>
      </c>
      <c r="Q739" s="690">
        <f t="shared" si="112"/>
        <v>274.13339824732236</v>
      </c>
      <c r="S739" s="63"/>
      <c r="T739" s="63"/>
    </row>
    <row r="740" spans="2:20" ht="12.75">
      <c r="B740" s="464"/>
      <c r="N740" s="198"/>
      <c r="S740" s="63"/>
      <c r="T740" s="63"/>
    </row>
    <row r="741" spans="19:20" ht="12.75">
      <c r="S741" s="63"/>
      <c r="T741" s="63"/>
    </row>
    <row r="742" spans="19:20" ht="12.75">
      <c r="S742" s="63"/>
      <c r="T742" s="63"/>
    </row>
    <row r="743" spans="19:20" ht="12.75">
      <c r="S743" s="63"/>
      <c r="T743" s="63"/>
    </row>
    <row r="744" spans="19:20" ht="12.75">
      <c r="S744" s="63"/>
      <c r="T744" s="63"/>
    </row>
    <row r="745" spans="19:20" ht="12.75">
      <c r="S745" s="63"/>
      <c r="T745" s="63"/>
    </row>
    <row r="746" spans="19:20" ht="12.75">
      <c r="S746" s="63"/>
      <c r="T746" s="63"/>
    </row>
    <row r="747" spans="1:20" ht="15">
      <c r="A747" s="1199" t="s">
        <v>51</v>
      </c>
      <c r="B747" s="1199"/>
      <c r="C747" s="1199"/>
      <c r="D747" s="1199"/>
      <c r="E747" s="1199"/>
      <c r="F747" s="1199"/>
      <c r="G747" s="1199"/>
      <c r="H747" s="1199"/>
      <c r="I747" s="1199"/>
      <c r="J747" s="1199"/>
      <c r="K747" s="1199"/>
      <c r="L747" s="1199"/>
      <c r="M747" s="1199"/>
      <c r="N747" s="1199"/>
      <c r="O747" s="1199"/>
      <c r="P747" s="1199"/>
      <c r="Q747" s="1199"/>
      <c r="S747" s="63"/>
      <c r="T747" s="63"/>
    </row>
    <row r="748" spans="1:20" ht="13.5" thickBot="1">
      <c r="A748" s="1200" t="s">
        <v>825</v>
      </c>
      <c r="B748" s="1255"/>
      <c r="C748" s="1255"/>
      <c r="D748" s="1255"/>
      <c r="E748" s="1255"/>
      <c r="F748" s="1255"/>
      <c r="G748" s="1255"/>
      <c r="H748" s="1255"/>
      <c r="I748" s="1255"/>
      <c r="J748" s="1255"/>
      <c r="K748" s="1255"/>
      <c r="L748" s="1255"/>
      <c r="M748" s="1255"/>
      <c r="N748" s="1255"/>
      <c r="O748" s="1255"/>
      <c r="P748" s="1255"/>
      <c r="Q748" s="1255"/>
      <c r="S748" s="63"/>
      <c r="T748" s="63"/>
    </row>
    <row r="749" spans="1:20" ht="12.75" customHeight="1">
      <c r="A749" s="1201" t="s">
        <v>1</v>
      </c>
      <c r="B749" s="1203" t="s">
        <v>0</v>
      </c>
      <c r="C749" s="1193" t="s">
        <v>2</v>
      </c>
      <c r="D749" s="1226" t="s">
        <v>3</v>
      </c>
      <c r="E749" s="1226" t="s">
        <v>41</v>
      </c>
      <c r="F749" s="1241" t="s">
        <v>14</v>
      </c>
      <c r="G749" s="1241"/>
      <c r="H749" s="1241"/>
      <c r="I749" s="1241"/>
      <c r="J749" s="1226" t="s">
        <v>4</v>
      </c>
      <c r="K749" s="1226" t="s">
        <v>15</v>
      </c>
      <c r="L749" s="1279" t="s">
        <v>5</v>
      </c>
      <c r="M749" s="1226" t="s">
        <v>6</v>
      </c>
      <c r="N749" s="1226" t="s">
        <v>16</v>
      </c>
      <c r="O749" s="1226" t="s">
        <v>17</v>
      </c>
      <c r="P749" s="1239" t="s">
        <v>25</v>
      </c>
      <c r="Q749" s="1197" t="s">
        <v>26</v>
      </c>
      <c r="R749" s="2"/>
      <c r="S749" s="63"/>
      <c r="T749" s="63"/>
    </row>
    <row r="750" spans="1:20" s="2" customFormat="1" ht="45" customHeight="1">
      <c r="A750" s="1202"/>
      <c r="B750" s="1204"/>
      <c r="C750" s="1205"/>
      <c r="D750" s="1227"/>
      <c r="E750" s="1227"/>
      <c r="F750" s="26" t="s">
        <v>44</v>
      </c>
      <c r="G750" s="26" t="s">
        <v>19</v>
      </c>
      <c r="H750" s="26" t="s">
        <v>20</v>
      </c>
      <c r="I750" s="26" t="s">
        <v>21</v>
      </c>
      <c r="J750" s="1227"/>
      <c r="K750" s="1227"/>
      <c r="L750" s="1280"/>
      <c r="M750" s="1227"/>
      <c r="N750" s="1227"/>
      <c r="O750" s="1227"/>
      <c r="P750" s="1240"/>
      <c r="Q750" s="1198"/>
      <c r="R750" s="3"/>
      <c r="S750" s="63"/>
      <c r="T750" s="63"/>
    </row>
    <row r="751" spans="1:20" s="3" customFormat="1" ht="13.5" customHeight="1" thickBot="1">
      <c r="A751" s="1259"/>
      <c r="B751" s="1256"/>
      <c r="C751" s="1206"/>
      <c r="D751" s="42" t="s">
        <v>7</v>
      </c>
      <c r="E751" s="42" t="s">
        <v>8</v>
      </c>
      <c r="F751" s="42" t="s">
        <v>9</v>
      </c>
      <c r="G751" s="42" t="s">
        <v>9</v>
      </c>
      <c r="H751" s="42" t="s">
        <v>9</v>
      </c>
      <c r="I751" s="42" t="s">
        <v>9</v>
      </c>
      <c r="J751" s="42" t="s">
        <v>22</v>
      </c>
      <c r="K751" s="42" t="s">
        <v>9</v>
      </c>
      <c r="L751" s="62" t="s">
        <v>22</v>
      </c>
      <c r="M751" s="42" t="s">
        <v>23</v>
      </c>
      <c r="N751" s="42" t="s">
        <v>10</v>
      </c>
      <c r="O751" s="42" t="s">
        <v>24</v>
      </c>
      <c r="P751" s="49" t="s">
        <v>27</v>
      </c>
      <c r="Q751" s="44" t="s">
        <v>28</v>
      </c>
      <c r="R751" s="1"/>
      <c r="S751" s="63"/>
      <c r="T751" s="63"/>
    </row>
    <row r="752" spans="1:20" s="67" customFormat="1" ht="12.75" customHeight="1">
      <c r="A752" s="1287" t="s">
        <v>48</v>
      </c>
      <c r="B752" s="66">
        <v>1</v>
      </c>
      <c r="C752" s="484" t="s">
        <v>425</v>
      </c>
      <c r="D752" s="20">
        <v>50</v>
      </c>
      <c r="E752" s="20">
        <v>1978</v>
      </c>
      <c r="F752" s="287">
        <v>18.5</v>
      </c>
      <c r="G752" s="979">
        <v>5.06</v>
      </c>
      <c r="H752" s="287">
        <v>8</v>
      </c>
      <c r="I752" s="287">
        <f aca="true" t="shared" si="113" ref="I752:I759">F752-G752-H752</f>
        <v>5.440000000000001</v>
      </c>
      <c r="J752" s="291">
        <v>2590.16</v>
      </c>
      <c r="K752" s="287">
        <v>5.44</v>
      </c>
      <c r="L752" s="291">
        <v>2590.16</v>
      </c>
      <c r="M752" s="577">
        <f aca="true" t="shared" si="114" ref="M752:M759">K752/L752</f>
        <v>0.00210025635481978</v>
      </c>
      <c r="N752" s="545">
        <v>264.761</v>
      </c>
      <c r="O752" s="545">
        <f aca="true" t="shared" si="115" ref="O752:O759">M752*N752</f>
        <v>0.5560659727584398</v>
      </c>
      <c r="P752" s="545">
        <f aca="true" t="shared" si="116" ref="P752:P759">M752*1000*60</f>
        <v>126.01538128918678</v>
      </c>
      <c r="Q752" s="546">
        <f aca="true" t="shared" si="117" ref="Q752:Q759">O752*60</f>
        <v>33.36395836550639</v>
      </c>
      <c r="S752" s="63"/>
      <c r="T752" s="63"/>
    </row>
    <row r="753" spans="1:20" s="67" customFormat="1" ht="12.75" customHeight="1">
      <c r="A753" s="1287"/>
      <c r="B753" s="66">
        <v>2</v>
      </c>
      <c r="C753" s="16" t="s">
        <v>424</v>
      </c>
      <c r="D753" s="21">
        <v>12</v>
      </c>
      <c r="E753" s="21">
        <v>1963</v>
      </c>
      <c r="F753" s="97">
        <v>4.98</v>
      </c>
      <c r="G753" s="97">
        <v>0.76</v>
      </c>
      <c r="H753" s="97">
        <v>1.92</v>
      </c>
      <c r="I753" s="97">
        <f t="shared" si="113"/>
        <v>2.3000000000000007</v>
      </c>
      <c r="J753" s="149">
        <v>532.45</v>
      </c>
      <c r="K753" s="97">
        <v>2.3</v>
      </c>
      <c r="L753" s="149">
        <v>532.45</v>
      </c>
      <c r="M753" s="239">
        <f t="shared" si="114"/>
        <v>0.004319654427645788</v>
      </c>
      <c r="N753" s="93">
        <v>264.761</v>
      </c>
      <c r="O753" s="93">
        <f t="shared" si="115"/>
        <v>1.1436760259179266</v>
      </c>
      <c r="P753" s="93">
        <f t="shared" si="116"/>
        <v>259.1792656587473</v>
      </c>
      <c r="Q753" s="240">
        <f t="shared" si="117"/>
        <v>68.6205615550756</v>
      </c>
      <c r="S753" s="63"/>
      <c r="T753" s="63"/>
    </row>
    <row r="754" spans="1:20" s="67" customFormat="1" ht="12.75" customHeight="1">
      <c r="A754" s="1287"/>
      <c r="B754" s="66">
        <v>3</v>
      </c>
      <c r="C754" s="16" t="s">
        <v>426</v>
      </c>
      <c r="D754" s="21">
        <v>60</v>
      </c>
      <c r="E754" s="21">
        <v>1986</v>
      </c>
      <c r="F754" s="97">
        <v>34.33</v>
      </c>
      <c r="G754" s="97">
        <v>7.3</v>
      </c>
      <c r="H754" s="97">
        <v>9.28</v>
      </c>
      <c r="I754" s="97">
        <f t="shared" si="113"/>
        <v>17.75</v>
      </c>
      <c r="J754" s="149">
        <v>3808.21</v>
      </c>
      <c r="K754" s="97">
        <v>17.75</v>
      </c>
      <c r="L754" s="149">
        <v>3808.21</v>
      </c>
      <c r="M754" s="239">
        <f t="shared" si="114"/>
        <v>0.004660982456324625</v>
      </c>
      <c r="N754" s="93">
        <v>264.761</v>
      </c>
      <c r="O754" s="93">
        <f t="shared" si="115"/>
        <v>1.2340463761189642</v>
      </c>
      <c r="P754" s="93">
        <f t="shared" si="116"/>
        <v>279.65894737947747</v>
      </c>
      <c r="Q754" s="240">
        <f t="shared" si="117"/>
        <v>74.04278256713785</v>
      </c>
      <c r="S754" s="63"/>
      <c r="T754" s="63"/>
    </row>
    <row r="755" spans="1:20" s="67" customFormat="1" ht="12.75" customHeight="1">
      <c r="A755" s="1287"/>
      <c r="B755" s="66">
        <v>4</v>
      </c>
      <c r="C755" s="16" t="s">
        <v>427</v>
      </c>
      <c r="D755" s="21">
        <v>55</v>
      </c>
      <c r="E755" s="21">
        <v>1966</v>
      </c>
      <c r="F755" s="97">
        <v>26.2</v>
      </c>
      <c r="G755" s="97">
        <v>5.25</v>
      </c>
      <c r="H755" s="97">
        <v>8.8</v>
      </c>
      <c r="I755" s="97">
        <f t="shared" si="113"/>
        <v>12.149999999999999</v>
      </c>
      <c r="J755" s="149">
        <v>2564.02</v>
      </c>
      <c r="K755" s="97">
        <v>12.15</v>
      </c>
      <c r="L755" s="149">
        <v>2564.02</v>
      </c>
      <c r="M755" s="239">
        <f t="shared" si="114"/>
        <v>0.0047386525846132245</v>
      </c>
      <c r="N755" s="93">
        <v>264.761</v>
      </c>
      <c r="O755" s="93">
        <f t="shared" si="115"/>
        <v>1.254610396954782</v>
      </c>
      <c r="P755" s="93">
        <f t="shared" si="116"/>
        <v>284.3191550767935</v>
      </c>
      <c r="Q755" s="240">
        <f t="shared" si="117"/>
        <v>75.27662381728692</v>
      </c>
      <c r="S755" s="63"/>
      <c r="T755" s="63"/>
    </row>
    <row r="756" spans="1:20" s="67" customFormat="1" ht="12.75" customHeight="1">
      <c r="A756" s="1287"/>
      <c r="B756" s="66">
        <v>5</v>
      </c>
      <c r="C756" s="16" t="s">
        <v>430</v>
      </c>
      <c r="D756" s="21">
        <v>12</v>
      </c>
      <c r="E756" s="21">
        <v>1962</v>
      </c>
      <c r="F756" s="97">
        <v>5.4</v>
      </c>
      <c r="G756" s="97">
        <v>0.72</v>
      </c>
      <c r="H756" s="97">
        <v>1.92</v>
      </c>
      <c r="I756" s="97">
        <f t="shared" si="113"/>
        <v>2.7600000000000007</v>
      </c>
      <c r="J756" s="149">
        <v>533.7</v>
      </c>
      <c r="K756" s="97">
        <v>2.76</v>
      </c>
      <c r="L756" s="149">
        <v>533.7</v>
      </c>
      <c r="M756" s="239">
        <f t="shared" si="114"/>
        <v>0.005171444631815626</v>
      </c>
      <c r="N756" s="93">
        <v>264.761</v>
      </c>
      <c r="O756" s="93">
        <f t="shared" si="115"/>
        <v>1.3691968521641371</v>
      </c>
      <c r="P756" s="93">
        <f t="shared" si="116"/>
        <v>310.2866779089375</v>
      </c>
      <c r="Q756" s="240">
        <f t="shared" si="117"/>
        <v>82.15181112984823</v>
      </c>
      <c r="S756" s="63"/>
      <c r="T756" s="63"/>
    </row>
    <row r="757" spans="1:20" s="67" customFormat="1" ht="12.75" customHeight="1">
      <c r="A757" s="1287"/>
      <c r="B757" s="66">
        <v>6</v>
      </c>
      <c r="C757" s="16" t="s">
        <v>428</v>
      </c>
      <c r="D757" s="21">
        <v>24</v>
      </c>
      <c r="E757" s="21">
        <v>1991</v>
      </c>
      <c r="F757" s="97">
        <v>12.3</v>
      </c>
      <c r="G757" s="97">
        <v>2.03</v>
      </c>
      <c r="H757" s="97">
        <v>3.84</v>
      </c>
      <c r="I757" s="97">
        <f t="shared" si="113"/>
        <v>6.4300000000000015</v>
      </c>
      <c r="J757" s="149">
        <v>1163.97</v>
      </c>
      <c r="K757" s="97">
        <v>6.43</v>
      </c>
      <c r="L757" s="149">
        <v>1163.97</v>
      </c>
      <c r="M757" s="239">
        <f t="shared" si="114"/>
        <v>0.005524197359038463</v>
      </c>
      <c r="N757" s="93">
        <v>264.761</v>
      </c>
      <c r="O757" s="93">
        <f t="shared" si="115"/>
        <v>1.4625920169763826</v>
      </c>
      <c r="P757" s="93">
        <f t="shared" si="116"/>
        <v>331.45184154230776</v>
      </c>
      <c r="Q757" s="240">
        <f t="shared" si="117"/>
        <v>87.75552101858295</v>
      </c>
      <c r="S757" s="63"/>
      <c r="T757" s="63"/>
    </row>
    <row r="758" spans="1:20" s="67" customFormat="1" ht="12.75" customHeight="1">
      <c r="A758" s="1287"/>
      <c r="B758" s="66">
        <v>7</v>
      </c>
      <c r="C758" s="16" t="s">
        <v>433</v>
      </c>
      <c r="D758" s="21">
        <v>30</v>
      </c>
      <c r="E758" s="21">
        <v>2007</v>
      </c>
      <c r="F758" s="97">
        <v>15.6</v>
      </c>
      <c r="G758" s="97">
        <v>3.56</v>
      </c>
      <c r="H758" s="97">
        <v>2.4</v>
      </c>
      <c r="I758" s="97">
        <f t="shared" si="113"/>
        <v>9.639999999999999</v>
      </c>
      <c r="J758" s="149">
        <v>1423.9</v>
      </c>
      <c r="K758" s="97">
        <v>9.64</v>
      </c>
      <c r="L758" s="149">
        <v>1423.9</v>
      </c>
      <c r="M758" s="239">
        <f t="shared" si="114"/>
        <v>0.0067701383524123885</v>
      </c>
      <c r="N758" s="93">
        <v>264.761</v>
      </c>
      <c r="O758" s="93">
        <f t="shared" si="115"/>
        <v>1.7924686003230565</v>
      </c>
      <c r="P758" s="93">
        <f t="shared" si="116"/>
        <v>406.2083011447433</v>
      </c>
      <c r="Q758" s="240">
        <f t="shared" si="117"/>
        <v>107.5481160193834</v>
      </c>
      <c r="S758" s="63"/>
      <c r="T758" s="63"/>
    </row>
    <row r="759" spans="1:20" s="67" customFormat="1" ht="12.75" customHeight="1">
      <c r="A759" s="1287"/>
      <c r="B759" s="66">
        <v>8</v>
      </c>
      <c r="C759" s="16" t="s">
        <v>429</v>
      </c>
      <c r="D759" s="21">
        <v>30</v>
      </c>
      <c r="E759" s="21">
        <v>2000</v>
      </c>
      <c r="F759" s="97">
        <v>20</v>
      </c>
      <c r="G759" s="97">
        <v>4.01</v>
      </c>
      <c r="H759" s="97">
        <v>4.72</v>
      </c>
      <c r="I759" s="97">
        <f t="shared" si="113"/>
        <v>11.27</v>
      </c>
      <c r="J759" s="149">
        <v>1411.56</v>
      </c>
      <c r="K759" s="97">
        <v>11.27</v>
      </c>
      <c r="L759" s="149">
        <v>1411.56</v>
      </c>
      <c r="M759" s="239">
        <f t="shared" si="114"/>
        <v>0.007984074357448497</v>
      </c>
      <c r="N759" s="93">
        <v>264.761</v>
      </c>
      <c r="O759" s="93">
        <f t="shared" si="115"/>
        <v>2.1138715109524218</v>
      </c>
      <c r="P759" s="93">
        <f t="shared" si="116"/>
        <v>479.04446144690985</v>
      </c>
      <c r="Q759" s="240">
        <f t="shared" si="117"/>
        <v>126.83229065714531</v>
      </c>
      <c r="S759" s="63"/>
      <c r="T759" s="63"/>
    </row>
    <row r="760" spans="1:20" s="67" customFormat="1" ht="12.75" customHeight="1">
      <c r="A760" s="1287"/>
      <c r="B760" s="66">
        <v>9</v>
      </c>
      <c r="C760" s="16"/>
      <c r="D760" s="21"/>
      <c r="E760" s="21"/>
      <c r="F760" s="97"/>
      <c r="G760" s="97"/>
      <c r="H760" s="97"/>
      <c r="I760" s="97"/>
      <c r="J760" s="149"/>
      <c r="K760" s="97"/>
      <c r="L760" s="149"/>
      <c r="M760" s="239"/>
      <c r="N760" s="93"/>
      <c r="O760" s="93"/>
      <c r="P760" s="93"/>
      <c r="Q760" s="240"/>
      <c r="S760" s="63"/>
      <c r="T760" s="63"/>
    </row>
    <row r="761" spans="1:20" s="67" customFormat="1" ht="12.75" customHeight="1" thickBot="1">
      <c r="A761" s="1288"/>
      <c r="B761" s="66">
        <v>10</v>
      </c>
      <c r="C761" s="48"/>
      <c r="D761" s="47"/>
      <c r="E761" s="47"/>
      <c r="F761" s="195"/>
      <c r="G761" s="195"/>
      <c r="H761" s="195"/>
      <c r="I761" s="195"/>
      <c r="J761" s="277"/>
      <c r="K761" s="195"/>
      <c r="L761" s="277"/>
      <c r="M761" s="307"/>
      <c r="N761" s="94"/>
      <c r="O761" s="94"/>
      <c r="P761" s="94"/>
      <c r="Q761" s="95"/>
      <c r="S761" s="63"/>
      <c r="T761" s="63"/>
    </row>
    <row r="762" spans="1:20" s="67" customFormat="1" ht="12.75" customHeight="1">
      <c r="A762" s="1283" t="s">
        <v>33</v>
      </c>
      <c r="B762" s="410">
        <v>1</v>
      </c>
      <c r="C762" s="429" t="s">
        <v>431</v>
      </c>
      <c r="D762" s="404">
        <v>60</v>
      </c>
      <c r="E762" s="404">
        <v>1968</v>
      </c>
      <c r="F762" s="430">
        <v>39.4</v>
      </c>
      <c r="G762" s="430">
        <v>4.85</v>
      </c>
      <c r="H762" s="430">
        <v>9.6</v>
      </c>
      <c r="I762" s="430">
        <f aca="true" t="shared" si="118" ref="I762:I767">F762-G762-H762</f>
        <v>24.949999999999996</v>
      </c>
      <c r="J762" s="431">
        <v>2731.74</v>
      </c>
      <c r="K762" s="430">
        <v>24.95</v>
      </c>
      <c r="L762" s="431">
        <v>2731.74</v>
      </c>
      <c r="M762" s="445">
        <f aca="true" t="shared" si="119" ref="M762:M767">K762/L762</f>
        <v>0.009133372868574609</v>
      </c>
      <c r="N762" s="432">
        <v>264.761</v>
      </c>
      <c r="O762" s="432">
        <f aca="true" t="shared" si="120" ref="O762:O767">M762*N762</f>
        <v>2.418160934056682</v>
      </c>
      <c r="P762" s="432">
        <f aca="true" t="shared" si="121" ref="P762:P767">M762*1000*60</f>
        <v>548.0023721144765</v>
      </c>
      <c r="Q762" s="433">
        <f aca="true" t="shared" si="122" ref="Q762:Q767">O762*60</f>
        <v>145.08965604340094</v>
      </c>
      <c r="S762" s="63"/>
      <c r="T762" s="63"/>
    </row>
    <row r="763" spans="1:20" s="67" customFormat="1" ht="12.75" customHeight="1">
      <c r="A763" s="1284"/>
      <c r="B763" s="407">
        <v>2</v>
      </c>
      <c r="C763" s="414" t="s">
        <v>432</v>
      </c>
      <c r="D763" s="377">
        <v>30</v>
      </c>
      <c r="E763" s="377">
        <v>1982</v>
      </c>
      <c r="F763" s="379">
        <v>24.2</v>
      </c>
      <c r="G763" s="379">
        <v>3.01</v>
      </c>
      <c r="H763" s="379">
        <v>4.8</v>
      </c>
      <c r="I763" s="379">
        <f t="shared" si="118"/>
        <v>16.389999999999997</v>
      </c>
      <c r="J763" s="380">
        <v>1725.45</v>
      </c>
      <c r="K763" s="379">
        <v>16.39</v>
      </c>
      <c r="L763" s="380">
        <v>1725.45</v>
      </c>
      <c r="M763" s="381">
        <f t="shared" si="119"/>
        <v>0.009498971282853748</v>
      </c>
      <c r="N763" s="382">
        <v>264.761</v>
      </c>
      <c r="O763" s="382">
        <f t="shared" si="120"/>
        <v>2.514957135819641</v>
      </c>
      <c r="P763" s="382">
        <f t="shared" si="121"/>
        <v>569.9382769712248</v>
      </c>
      <c r="Q763" s="383">
        <f t="shared" si="122"/>
        <v>150.89742814917847</v>
      </c>
      <c r="S763" s="63"/>
      <c r="T763" s="63"/>
    </row>
    <row r="764" spans="1:20" s="67" customFormat="1" ht="12.75" customHeight="1">
      <c r="A764" s="1284"/>
      <c r="B764" s="407">
        <v>3</v>
      </c>
      <c r="C764" s="414" t="s">
        <v>434</v>
      </c>
      <c r="D764" s="377">
        <v>50</v>
      </c>
      <c r="E764" s="377">
        <v>1975</v>
      </c>
      <c r="F764" s="379">
        <v>40.7</v>
      </c>
      <c r="G764" s="379">
        <v>4.28</v>
      </c>
      <c r="H764" s="379">
        <v>7.68</v>
      </c>
      <c r="I764" s="379">
        <f t="shared" si="118"/>
        <v>28.740000000000002</v>
      </c>
      <c r="J764" s="380">
        <v>2485.16</v>
      </c>
      <c r="K764" s="379">
        <v>28.74</v>
      </c>
      <c r="L764" s="380">
        <v>2485.16</v>
      </c>
      <c r="M764" s="381">
        <f t="shared" si="119"/>
        <v>0.01156464774903829</v>
      </c>
      <c r="N764" s="382">
        <v>264.761</v>
      </c>
      <c r="O764" s="382">
        <f t="shared" si="120"/>
        <v>3.061867702683127</v>
      </c>
      <c r="P764" s="382">
        <f t="shared" si="121"/>
        <v>693.8788649422974</v>
      </c>
      <c r="Q764" s="383">
        <f t="shared" si="122"/>
        <v>183.7120621609876</v>
      </c>
      <c r="S764" s="63"/>
      <c r="T764" s="63"/>
    </row>
    <row r="765" spans="1:20" ht="12.75" customHeight="1">
      <c r="A765" s="1284"/>
      <c r="B765" s="377">
        <v>4</v>
      </c>
      <c r="C765" s="414" t="s">
        <v>435</v>
      </c>
      <c r="D765" s="377">
        <v>60</v>
      </c>
      <c r="E765" s="377">
        <v>1980</v>
      </c>
      <c r="F765" s="379">
        <v>57.1</v>
      </c>
      <c r="G765" s="379">
        <v>5.51</v>
      </c>
      <c r="H765" s="379">
        <v>9.44</v>
      </c>
      <c r="I765" s="379">
        <f t="shared" si="118"/>
        <v>42.150000000000006</v>
      </c>
      <c r="J765" s="380">
        <v>3087.75</v>
      </c>
      <c r="K765" s="379">
        <v>42.15</v>
      </c>
      <c r="L765" s="380">
        <v>3087.75</v>
      </c>
      <c r="M765" s="381">
        <f t="shared" si="119"/>
        <v>0.013650716541170754</v>
      </c>
      <c r="N765" s="382">
        <v>264.761</v>
      </c>
      <c r="O765" s="382">
        <f t="shared" si="120"/>
        <v>3.6141773621569104</v>
      </c>
      <c r="P765" s="382">
        <f t="shared" si="121"/>
        <v>819.0429924702452</v>
      </c>
      <c r="Q765" s="383">
        <f t="shared" si="122"/>
        <v>216.85064172941463</v>
      </c>
      <c r="S765" s="63"/>
      <c r="T765" s="63"/>
    </row>
    <row r="766" spans="1:20" ht="12.75" customHeight="1">
      <c r="A766" s="1284"/>
      <c r="B766" s="377">
        <v>5</v>
      </c>
      <c r="C766" s="414" t="s">
        <v>437</v>
      </c>
      <c r="D766" s="377">
        <v>60</v>
      </c>
      <c r="E766" s="377">
        <v>1968</v>
      </c>
      <c r="F766" s="379">
        <v>53.2</v>
      </c>
      <c r="G766" s="379">
        <v>4.68</v>
      </c>
      <c r="H766" s="379">
        <v>9.6</v>
      </c>
      <c r="I766" s="379">
        <f t="shared" si="118"/>
        <v>38.92</v>
      </c>
      <c r="J766" s="380">
        <v>2726.22</v>
      </c>
      <c r="K766" s="379">
        <v>38.92</v>
      </c>
      <c r="L766" s="380">
        <v>2726.22</v>
      </c>
      <c r="M766" s="381">
        <f t="shared" si="119"/>
        <v>0.01427617727109331</v>
      </c>
      <c r="N766" s="382">
        <v>264.761</v>
      </c>
      <c r="O766" s="382">
        <f t="shared" si="120"/>
        <v>3.7797749704719363</v>
      </c>
      <c r="P766" s="382">
        <f t="shared" si="121"/>
        <v>856.5706362655986</v>
      </c>
      <c r="Q766" s="383">
        <f t="shared" si="122"/>
        <v>226.7864982283162</v>
      </c>
      <c r="S766" s="63"/>
      <c r="T766" s="63"/>
    </row>
    <row r="767" spans="1:20" ht="12.75" customHeight="1">
      <c r="A767" s="1284"/>
      <c r="B767" s="377">
        <v>6</v>
      </c>
      <c r="C767" s="414" t="s">
        <v>436</v>
      </c>
      <c r="D767" s="377">
        <v>40</v>
      </c>
      <c r="E767" s="377">
        <v>1973</v>
      </c>
      <c r="F767" s="379">
        <v>47.5</v>
      </c>
      <c r="G767" s="379">
        <v>3.62</v>
      </c>
      <c r="H767" s="379">
        <v>6.16</v>
      </c>
      <c r="I767" s="379">
        <f t="shared" si="118"/>
        <v>37.72</v>
      </c>
      <c r="J767" s="380">
        <v>2565.4</v>
      </c>
      <c r="K767" s="379">
        <v>37.72</v>
      </c>
      <c r="L767" s="380">
        <v>2565.4</v>
      </c>
      <c r="M767" s="381">
        <f t="shared" si="119"/>
        <v>0.014703360099789505</v>
      </c>
      <c r="N767" s="382">
        <v>264.761</v>
      </c>
      <c r="O767" s="382">
        <f t="shared" si="120"/>
        <v>3.8928763233803694</v>
      </c>
      <c r="P767" s="382">
        <f t="shared" si="121"/>
        <v>882.2016059873703</v>
      </c>
      <c r="Q767" s="383">
        <f t="shared" si="122"/>
        <v>233.57257940282216</v>
      </c>
      <c r="S767" s="63"/>
      <c r="T767" s="63"/>
    </row>
    <row r="768" spans="1:20" ht="12.75" customHeight="1">
      <c r="A768" s="1284"/>
      <c r="B768" s="377">
        <v>7</v>
      </c>
      <c r="C768" s="414"/>
      <c r="D768" s="377"/>
      <c r="E768" s="377"/>
      <c r="F768" s="379"/>
      <c r="G768" s="379"/>
      <c r="H768" s="379"/>
      <c r="I768" s="379"/>
      <c r="J768" s="380"/>
      <c r="K768" s="379"/>
      <c r="L768" s="380"/>
      <c r="M768" s="381"/>
      <c r="N768" s="382"/>
      <c r="O768" s="382"/>
      <c r="P768" s="382"/>
      <c r="Q768" s="383"/>
      <c r="S768" s="63"/>
      <c r="T768" s="63"/>
    </row>
    <row r="769" spans="1:20" ht="12" customHeight="1">
      <c r="A769" s="1284"/>
      <c r="B769" s="377">
        <v>8</v>
      </c>
      <c r="C769" s="799"/>
      <c r="D769" s="800"/>
      <c r="E769" s="800"/>
      <c r="F769" s="443"/>
      <c r="G769" s="443"/>
      <c r="H769" s="443"/>
      <c r="I769" s="443"/>
      <c r="J769" s="801"/>
      <c r="K769" s="443"/>
      <c r="L769" s="801"/>
      <c r="M769" s="435"/>
      <c r="N769" s="436"/>
      <c r="O769" s="436"/>
      <c r="P769" s="436"/>
      <c r="Q769" s="437"/>
      <c r="S769" s="63"/>
      <c r="T769" s="63"/>
    </row>
    <row r="770" spans="1:20" ht="12.75" customHeight="1" thickBot="1">
      <c r="A770" s="1284"/>
      <c r="B770" s="411">
        <v>9</v>
      </c>
      <c r="C770" s="438"/>
      <c r="D770" s="388"/>
      <c r="E770" s="388"/>
      <c r="F770" s="389"/>
      <c r="G770" s="389"/>
      <c r="H770" s="389"/>
      <c r="I770" s="389"/>
      <c r="J770" s="390"/>
      <c r="K770" s="389"/>
      <c r="L770" s="390"/>
      <c r="M770" s="391"/>
      <c r="N770" s="392"/>
      <c r="O770" s="388"/>
      <c r="P770" s="388"/>
      <c r="Q770" s="748"/>
      <c r="S770" s="63"/>
      <c r="T770" s="63"/>
    </row>
    <row r="771" spans="1:20" ht="12.75">
      <c r="A771" s="1285" t="s">
        <v>47</v>
      </c>
      <c r="B771" s="477">
        <v>1</v>
      </c>
      <c r="C771" s="572" t="s">
        <v>439</v>
      </c>
      <c r="D771" s="477">
        <v>50</v>
      </c>
      <c r="E771" s="477">
        <v>1988</v>
      </c>
      <c r="F771" s="548">
        <v>48.5</v>
      </c>
      <c r="G771" s="548">
        <v>3.96</v>
      </c>
      <c r="H771" s="548">
        <v>7.84</v>
      </c>
      <c r="I771" s="548">
        <f aca="true" t="shared" si="123" ref="I771:I787">F771-G771-H771</f>
        <v>36.7</v>
      </c>
      <c r="J771" s="589">
        <v>2383.26</v>
      </c>
      <c r="K771" s="548">
        <v>36.7</v>
      </c>
      <c r="L771" s="589">
        <v>2383.26</v>
      </c>
      <c r="M771" s="580">
        <f aca="true" t="shared" si="124" ref="M771:M787">K771/L771</f>
        <v>0.015399075216300361</v>
      </c>
      <c r="N771" s="547">
        <v>264.761</v>
      </c>
      <c r="O771" s="547">
        <f aca="true" t="shared" si="125" ref="O771:O787">M771*N771</f>
        <v>4.0770745533429</v>
      </c>
      <c r="P771" s="547">
        <f aca="true" t="shared" si="126" ref="P771:P787">M771*1000*60</f>
        <v>923.9445129780216</v>
      </c>
      <c r="Q771" s="549">
        <f aca="true" t="shared" si="127" ref="Q771:Q787">O771*60</f>
        <v>244.62447320057402</v>
      </c>
      <c r="S771" s="63"/>
      <c r="T771" s="63"/>
    </row>
    <row r="772" spans="1:20" ht="12.75">
      <c r="A772" s="1188"/>
      <c r="B772" s="510">
        <v>2</v>
      </c>
      <c r="C772" s="23" t="s">
        <v>440</v>
      </c>
      <c r="D772" s="480">
        <v>30</v>
      </c>
      <c r="E772" s="480">
        <v>1985</v>
      </c>
      <c r="F772" s="607">
        <v>31.9</v>
      </c>
      <c r="G772" s="607">
        <v>1.78</v>
      </c>
      <c r="H772" s="607">
        <v>4.8</v>
      </c>
      <c r="I772" s="607">
        <f t="shared" si="123"/>
        <v>25.319999999999997</v>
      </c>
      <c r="J772" s="590">
        <v>1566.56</v>
      </c>
      <c r="K772" s="607">
        <v>25.32</v>
      </c>
      <c r="L772" s="590">
        <v>1566.56</v>
      </c>
      <c r="M772" s="581">
        <f t="shared" si="124"/>
        <v>0.01616280257379226</v>
      </c>
      <c r="N772" s="550">
        <v>264.761</v>
      </c>
      <c r="O772" s="550">
        <f t="shared" si="125"/>
        <v>4.279279772239813</v>
      </c>
      <c r="P772" s="550">
        <f t="shared" si="126"/>
        <v>969.7681544275356</v>
      </c>
      <c r="Q772" s="601">
        <f t="shared" si="127"/>
        <v>256.7567863343888</v>
      </c>
      <c r="S772" s="63"/>
      <c r="T772" s="63"/>
    </row>
    <row r="773" spans="1:20" ht="12.75">
      <c r="A773" s="1188"/>
      <c r="B773" s="510">
        <v>3</v>
      </c>
      <c r="C773" s="23" t="s">
        <v>441</v>
      </c>
      <c r="D773" s="480">
        <v>60</v>
      </c>
      <c r="E773" s="480">
        <v>1981</v>
      </c>
      <c r="F773" s="607">
        <v>66.4</v>
      </c>
      <c r="G773" s="607">
        <v>5.96</v>
      </c>
      <c r="H773" s="607">
        <v>9.6</v>
      </c>
      <c r="I773" s="607">
        <f t="shared" si="123"/>
        <v>50.84</v>
      </c>
      <c r="J773" s="590">
        <v>3123.05</v>
      </c>
      <c r="K773" s="607">
        <v>50.84</v>
      </c>
      <c r="L773" s="590">
        <v>3123.05</v>
      </c>
      <c r="M773" s="581">
        <f t="shared" si="124"/>
        <v>0.016278958069835578</v>
      </c>
      <c r="N773" s="550">
        <v>264.761</v>
      </c>
      <c r="O773" s="550">
        <f t="shared" si="125"/>
        <v>4.310033217527738</v>
      </c>
      <c r="P773" s="550">
        <f t="shared" si="126"/>
        <v>976.7374841901348</v>
      </c>
      <c r="Q773" s="601">
        <f t="shared" si="127"/>
        <v>258.6019930516643</v>
      </c>
      <c r="R773" s="231"/>
      <c r="S773" s="63"/>
      <c r="T773" s="63"/>
    </row>
    <row r="774" spans="1:20" ht="12.75">
      <c r="A774" s="1188"/>
      <c r="B774" s="510">
        <v>4</v>
      </c>
      <c r="C774" s="23" t="s">
        <v>442</v>
      </c>
      <c r="D774" s="480">
        <v>30</v>
      </c>
      <c r="E774" s="480">
        <v>1992</v>
      </c>
      <c r="F774" s="607">
        <v>33.9</v>
      </c>
      <c r="G774" s="607">
        <v>3.29</v>
      </c>
      <c r="H774" s="607">
        <v>4.8</v>
      </c>
      <c r="I774" s="607">
        <f t="shared" si="123"/>
        <v>25.81</v>
      </c>
      <c r="J774" s="590">
        <v>1576.72</v>
      </c>
      <c r="K774" s="607">
        <v>25.81</v>
      </c>
      <c r="L774" s="590">
        <v>1576.72</v>
      </c>
      <c r="M774" s="581">
        <f t="shared" si="124"/>
        <v>0.016369425135724796</v>
      </c>
      <c r="N774" s="550">
        <v>264.761</v>
      </c>
      <c r="O774" s="550">
        <f t="shared" si="125"/>
        <v>4.333985368359633</v>
      </c>
      <c r="P774" s="550">
        <f t="shared" si="126"/>
        <v>982.1655081434878</v>
      </c>
      <c r="Q774" s="601">
        <f t="shared" si="127"/>
        <v>260.03912210157796</v>
      </c>
      <c r="S774" s="63"/>
      <c r="T774" s="63"/>
    </row>
    <row r="775" spans="1:20" ht="13.5" customHeight="1">
      <c r="A775" s="1188"/>
      <c r="B775" s="480">
        <v>5</v>
      </c>
      <c r="C775" s="23" t="s">
        <v>444</v>
      </c>
      <c r="D775" s="480">
        <v>85</v>
      </c>
      <c r="E775" s="480">
        <v>1970</v>
      </c>
      <c r="F775" s="607">
        <v>89.9</v>
      </c>
      <c r="G775" s="607">
        <v>5.85</v>
      </c>
      <c r="H775" s="607">
        <v>13.6</v>
      </c>
      <c r="I775" s="607">
        <f t="shared" si="123"/>
        <v>70.45000000000002</v>
      </c>
      <c r="J775" s="590">
        <v>3789.83</v>
      </c>
      <c r="K775" s="607">
        <v>70.45</v>
      </c>
      <c r="L775" s="590">
        <v>3789.83</v>
      </c>
      <c r="M775" s="581">
        <f t="shared" si="124"/>
        <v>0.018589224318768915</v>
      </c>
      <c r="N775" s="550">
        <v>264.761</v>
      </c>
      <c r="O775" s="550">
        <f t="shared" si="125"/>
        <v>4.921701619861577</v>
      </c>
      <c r="P775" s="550">
        <f t="shared" si="126"/>
        <v>1115.353459126135</v>
      </c>
      <c r="Q775" s="601">
        <f t="shared" si="127"/>
        <v>295.3020971916946</v>
      </c>
      <c r="S775" s="63"/>
      <c r="T775" s="63"/>
    </row>
    <row r="776" spans="1:20" ht="12" customHeight="1">
      <c r="A776" s="1188"/>
      <c r="B776" s="480">
        <v>6</v>
      </c>
      <c r="C776" s="23" t="s">
        <v>443</v>
      </c>
      <c r="D776" s="480">
        <v>85</v>
      </c>
      <c r="E776" s="480">
        <v>1970</v>
      </c>
      <c r="F776" s="607">
        <v>93.3</v>
      </c>
      <c r="G776" s="607">
        <v>7.35</v>
      </c>
      <c r="H776" s="607">
        <v>13.6</v>
      </c>
      <c r="I776" s="607">
        <f t="shared" si="123"/>
        <v>72.35000000000001</v>
      </c>
      <c r="J776" s="590">
        <v>3839.76</v>
      </c>
      <c r="K776" s="607">
        <v>72.35</v>
      </c>
      <c r="L776" s="590">
        <v>3839.76</v>
      </c>
      <c r="M776" s="581">
        <f t="shared" si="124"/>
        <v>0.018842323478550742</v>
      </c>
      <c r="N776" s="550">
        <v>264.761</v>
      </c>
      <c r="O776" s="550">
        <f t="shared" si="125"/>
        <v>4.988712406504574</v>
      </c>
      <c r="P776" s="550">
        <f t="shared" si="126"/>
        <v>1130.5394087130446</v>
      </c>
      <c r="Q776" s="601">
        <f t="shared" si="127"/>
        <v>299.3227443902744</v>
      </c>
      <c r="S776" s="63"/>
      <c r="T776" s="63"/>
    </row>
    <row r="777" spans="1:20" ht="12.75">
      <c r="A777" s="1188"/>
      <c r="B777" s="480">
        <v>7</v>
      </c>
      <c r="C777" s="23" t="s">
        <v>438</v>
      </c>
      <c r="D777" s="480">
        <v>20</v>
      </c>
      <c r="E777" s="480">
        <v>1994</v>
      </c>
      <c r="F777" s="607">
        <v>26.7</v>
      </c>
      <c r="G777" s="607">
        <v>1.28</v>
      </c>
      <c r="H777" s="607">
        <v>2.72</v>
      </c>
      <c r="I777" s="607">
        <f t="shared" si="123"/>
        <v>22.7</v>
      </c>
      <c r="J777" s="590">
        <v>1120.86</v>
      </c>
      <c r="K777" s="607">
        <v>22.7</v>
      </c>
      <c r="L777" s="590">
        <v>1120.86</v>
      </c>
      <c r="M777" s="581">
        <f t="shared" si="124"/>
        <v>0.020252306264832362</v>
      </c>
      <c r="N777" s="550">
        <v>264.761</v>
      </c>
      <c r="O777" s="550">
        <f t="shared" si="125"/>
        <v>5.362020858983281</v>
      </c>
      <c r="P777" s="550">
        <f t="shared" si="126"/>
        <v>1215.1383758899417</v>
      </c>
      <c r="Q777" s="601">
        <f t="shared" si="127"/>
        <v>321.72125153899685</v>
      </c>
      <c r="S777" s="63"/>
      <c r="T777" s="63"/>
    </row>
    <row r="778" spans="1:20" ht="12.75">
      <c r="A778" s="1188"/>
      <c r="B778" s="480">
        <v>8</v>
      </c>
      <c r="C778" s="23" t="s">
        <v>446</v>
      </c>
      <c r="D778" s="480">
        <v>15</v>
      </c>
      <c r="E778" s="480">
        <v>1992</v>
      </c>
      <c r="F778" s="607">
        <v>21.2</v>
      </c>
      <c r="G778" s="607">
        <v>1.39</v>
      </c>
      <c r="H778" s="607">
        <v>2.32</v>
      </c>
      <c r="I778" s="607">
        <f t="shared" si="123"/>
        <v>17.49</v>
      </c>
      <c r="J778" s="590">
        <v>861.65</v>
      </c>
      <c r="K778" s="607">
        <v>17.49</v>
      </c>
      <c r="L778" s="590">
        <v>861.65</v>
      </c>
      <c r="M778" s="581">
        <f t="shared" si="124"/>
        <v>0.020298264956768987</v>
      </c>
      <c r="N778" s="550">
        <v>264.761</v>
      </c>
      <c r="O778" s="550">
        <f t="shared" si="125"/>
        <v>5.374188928219114</v>
      </c>
      <c r="P778" s="550">
        <f t="shared" si="126"/>
        <v>1217.895897406139</v>
      </c>
      <c r="Q778" s="601">
        <f t="shared" si="127"/>
        <v>322.45133569314686</v>
      </c>
      <c r="S778" s="63"/>
      <c r="T778" s="63"/>
    </row>
    <row r="779" spans="1:20" ht="13.5" thickBot="1">
      <c r="A779" s="1286"/>
      <c r="B779" s="483">
        <v>9</v>
      </c>
      <c r="C779" s="841" t="s">
        <v>445</v>
      </c>
      <c r="D779" s="489">
        <v>60</v>
      </c>
      <c r="E779" s="489">
        <v>1985</v>
      </c>
      <c r="F779" s="532">
        <v>94.4</v>
      </c>
      <c r="G779" s="532">
        <v>5.71</v>
      </c>
      <c r="H779" s="532">
        <v>9.36</v>
      </c>
      <c r="I779" s="532">
        <f t="shared" si="123"/>
        <v>79.33000000000001</v>
      </c>
      <c r="J779" s="533">
        <v>3839.55</v>
      </c>
      <c r="K779" s="532">
        <v>79.33</v>
      </c>
      <c r="L779" s="533">
        <v>3839.55</v>
      </c>
      <c r="M779" s="534">
        <f t="shared" si="124"/>
        <v>0.02066127540987876</v>
      </c>
      <c r="N779" s="535">
        <v>264.761</v>
      </c>
      <c r="O779" s="535">
        <f t="shared" si="125"/>
        <v>5.470299938794911</v>
      </c>
      <c r="P779" s="535">
        <f t="shared" si="126"/>
        <v>1239.6765245927254</v>
      </c>
      <c r="Q779" s="537">
        <f t="shared" si="127"/>
        <v>328.21799632769466</v>
      </c>
      <c r="S779" s="63"/>
      <c r="T779" s="63"/>
    </row>
    <row r="780" spans="1:20" ht="12.75">
      <c r="A780" s="1190" t="s">
        <v>34</v>
      </c>
      <c r="B780" s="27">
        <v>1</v>
      </c>
      <c r="C780" s="467" t="s">
        <v>448</v>
      </c>
      <c r="D780" s="468">
        <v>6</v>
      </c>
      <c r="E780" s="468">
        <v>1956</v>
      </c>
      <c r="F780" s="556">
        <v>6.8</v>
      </c>
      <c r="G780" s="556"/>
      <c r="H780" s="556"/>
      <c r="I780" s="556">
        <f t="shared" si="123"/>
        <v>6.8</v>
      </c>
      <c r="J780" s="592">
        <v>306.57</v>
      </c>
      <c r="K780" s="556">
        <v>6.8</v>
      </c>
      <c r="L780" s="592">
        <v>306.57</v>
      </c>
      <c r="M780" s="583">
        <f t="shared" si="124"/>
        <v>0.022180904850441985</v>
      </c>
      <c r="N780" s="555">
        <v>264.761</v>
      </c>
      <c r="O780" s="555">
        <f t="shared" si="125"/>
        <v>5.872638549107871</v>
      </c>
      <c r="P780" s="555">
        <f t="shared" si="126"/>
        <v>1330.8542910265191</v>
      </c>
      <c r="Q780" s="557">
        <f t="shared" si="127"/>
        <v>352.35831294647227</v>
      </c>
      <c r="S780" s="63"/>
      <c r="T780" s="63"/>
    </row>
    <row r="781" spans="1:20" ht="12.75">
      <c r="A781" s="1191"/>
      <c r="B781" s="29">
        <v>2</v>
      </c>
      <c r="C781" s="469" t="s">
        <v>449</v>
      </c>
      <c r="D781" s="470">
        <v>7</v>
      </c>
      <c r="E781" s="470">
        <v>1955</v>
      </c>
      <c r="F781" s="609">
        <v>9.2</v>
      </c>
      <c r="G781" s="609"/>
      <c r="H781" s="609"/>
      <c r="I781" s="609">
        <f t="shared" si="123"/>
        <v>9.2</v>
      </c>
      <c r="J781" s="593">
        <v>326.22</v>
      </c>
      <c r="K781" s="609">
        <v>9.2</v>
      </c>
      <c r="L781" s="593">
        <v>326.22</v>
      </c>
      <c r="M781" s="584">
        <f t="shared" si="124"/>
        <v>0.028201826987922257</v>
      </c>
      <c r="N781" s="558">
        <v>264.761</v>
      </c>
      <c r="O781" s="558">
        <f t="shared" si="125"/>
        <v>7.466743915149285</v>
      </c>
      <c r="P781" s="558">
        <f t="shared" si="126"/>
        <v>1692.1096192753355</v>
      </c>
      <c r="Q781" s="602">
        <f t="shared" si="127"/>
        <v>448.00463490895714</v>
      </c>
      <c r="S781" s="63"/>
      <c r="T781" s="63"/>
    </row>
    <row r="782" spans="1:20" ht="12.75">
      <c r="A782" s="1191"/>
      <c r="B782" s="29">
        <v>3</v>
      </c>
      <c r="C782" s="469" t="s">
        <v>452</v>
      </c>
      <c r="D782" s="470">
        <v>9</v>
      </c>
      <c r="E782" s="470">
        <v>1961</v>
      </c>
      <c r="F782" s="609">
        <v>11.5</v>
      </c>
      <c r="G782" s="609"/>
      <c r="H782" s="609"/>
      <c r="I782" s="609">
        <f t="shared" si="123"/>
        <v>11.5</v>
      </c>
      <c r="J782" s="593">
        <v>391.38</v>
      </c>
      <c r="K782" s="609">
        <v>11.5</v>
      </c>
      <c r="L782" s="593">
        <v>391.38</v>
      </c>
      <c r="M782" s="584">
        <f t="shared" si="124"/>
        <v>0.02938320813531606</v>
      </c>
      <c r="N782" s="558">
        <v>264.761</v>
      </c>
      <c r="O782" s="558">
        <f t="shared" si="125"/>
        <v>7.779527569114417</v>
      </c>
      <c r="P782" s="558">
        <f t="shared" si="126"/>
        <v>1762.9924881189636</v>
      </c>
      <c r="Q782" s="602">
        <f t="shared" si="127"/>
        <v>466.771654146865</v>
      </c>
      <c r="S782" s="63"/>
      <c r="T782" s="63"/>
    </row>
    <row r="783" spans="1:20" ht="12.75">
      <c r="A783" s="1191"/>
      <c r="B783" s="29">
        <v>4</v>
      </c>
      <c r="C783" s="469" t="s">
        <v>447</v>
      </c>
      <c r="D783" s="470">
        <v>8</v>
      </c>
      <c r="E783" s="470">
        <v>1976</v>
      </c>
      <c r="F783" s="609">
        <v>11.9</v>
      </c>
      <c r="G783" s="609"/>
      <c r="H783" s="609"/>
      <c r="I783" s="609">
        <f t="shared" si="123"/>
        <v>11.9</v>
      </c>
      <c r="J783" s="593">
        <v>404.24</v>
      </c>
      <c r="K783" s="609">
        <v>11.9</v>
      </c>
      <c r="L783" s="593">
        <v>404.24</v>
      </c>
      <c r="M783" s="584">
        <f t="shared" si="124"/>
        <v>0.029437957648921435</v>
      </c>
      <c r="N783" s="558">
        <v>264.761</v>
      </c>
      <c r="O783" s="558">
        <f t="shared" si="125"/>
        <v>7.794023105086088</v>
      </c>
      <c r="P783" s="558">
        <f t="shared" si="126"/>
        <v>1766.277458935286</v>
      </c>
      <c r="Q783" s="602">
        <f t="shared" si="127"/>
        <v>467.6413863051653</v>
      </c>
      <c r="S783" s="63"/>
      <c r="T783" s="63"/>
    </row>
    <row r="784" spans="1:20" ht="12.75">
      <c r="A784" s="1191"/>
      <c r="B784" s="29">
        <v>5</v>
      </c>
      <c r="C784" s="469" t="s">
        <v>451</v>
      </c>
      <c r="D784" s="470">
        <v>24</v>
      </c>
      <c r="E784" s="470">
        <v>1960</v>
      </c>
      <c r="F784" s="609">
        <v>28.5</v>
      </c>
      <c r="G784" s="609"/>
      <c r="H784" s="609"/>
      <c r="I784" s="609">
        <f t="shared" si="123"/>
        <v>28.5</v>
      </c>
      <c r="J784" s="593">
        <v>914.41</v>
      </c>
      <c r="K784" s="609">
        <v>28.5</v>
      </c>
      <c r="L784" s="593">
        <v>914.41</v>
      </c>
      <c r="M784" s="584">
        <f t="shared" si="124"/>
        <v>0.031167638149189096</v>
      </c>
      <c r="N784" s="558">
        <v>264.761</v>
      </c>
      <c r="O784" s="558">
        <f t="shared" si="125"/>
        <v>8.251975044017454</v>
      </c>
      <c r="P784" s="558">
        <f t="shared" si="126"/>
        <v>1870.0582889513457</v>
      </c>
      <c r="Q784" s="602">
        <f t="shared" si="127"/>
        <v>495.11850264104726</v>
      </c>
      <c r="S784" s="63"/>
      <c r="T784" s="63"/>
    </row>
    <row r="785" spans="1:20" ht="12" customHeight="1">
      <c r="A785" s="1191"/>
      <c r="B785" s="29">
        <v>6</v>
      </c>
      <c r="C785" s="469" t="s">
        <v>450</v>
      </c>
      <c r="D785" s="470">
        <v>24</v>
      </c>
      <c r="E785" s="470">
        <v>1961</v>
      </c>
      <c r="F785" s="609">
        <v>28.5</v>
      </c>
      <c r="G785" s="609"/>
      <c r="H785" s="609"/>
      <c r="I785" s="609">
        <f t="shared" si="123"/>
        <v>28.5</v>
      </c>
      <c r="J785" s="593">
        <v>909.58</v>
      </c>
      <c r="K785" s="609">
        <v>28.5</v>
      </c>
      <c r="L785" s="593">
        <v>909.58</v>
      </c>
      <c r="M785" s="584">
        <f t="shared" si="124"/>
        <v>0.03133314276919017</v>
      </c>
      <c r="N785" s="558">
        <v>264.761</v>
      </c>
      <c r="O785" s="558">
        <f t="shared" si="125"/>
        <v>8.29579421271356</v>
      </c>
      <c r="P785" s="558">
        <f t="shared" si="126"/>
        <v>1879.9885661514104</v>
      </c>
      <c r="Q785" s="602">
        <f t="shared" si="127"/>
        <v>497.7476527628136</v>
      </c>
      <c r="S785" s="63"/>
      <c r="T785" s="63"/>
    </row>
    <row r="786" spans="1:20" ht="12.75">
      <c r="A786" s="1191"/>
      <c r="B786" s="29">
        <v>7</v>
      </c>
      <c r="C786" s="469" t="s">
        <v>453</v>
      </c>
      <c r="D786" s="470">
        <v>16</v>
      </c>
      <c r="E786" s="470">
        <v>1964</v>
      </c>
      <c r="F786" s="609">
        <v>19.2</v>
      </c>
      <c r="G786" s="609"/>
      <c r="H786" s="609"/>
      <c r="I786" s="609">
        <f t="shared" si="123"/>
        <v>19.2</v>
      </c>
      <c r="J786" s="593">
        <v>606.77</v>
      </c>
      <c r="K786" s="609">
        <v>19.2</v>
      </c>
      <c r="L786" s="593">
        <v>606.77</v>
      </c>
      <c r="M786" s="584">
        <f t="shared" si="124"/>
        <v>0.03164296191308074</v>
      </c>
      <c r="N786" s="558">
        <v>264.761</v>
      </c>
      <c r="O786" s="558">
        <f t="shared" si="125"/>
        <v>8.37782223906917</v>
      </c>
      <c r="P786" s="558">
        <f t="shared" si="126"/>
        <v>1898.5777147848444</v>
      </c>
      <c r="Q786" s="558">
        <f t="shared" si="127"/>
        <v>502.6693343441502</v>
      </c>
      <c r="S786" s="63"/>
      <c r="T786" s="63"/>
    </row>
    <row r="787" spans="1:20" ht="12.75">
      <c r="A787" s="1191"/>
      <c r="B787" s="29">
        <v>8</v>
      </c>
      <c r="C787" s="469" t="s">
        <v>454</v>
      </c>
      <c r="D787" s="470">
        <v>10</v>
      </c>
      <c r="E787" s="470">
        <v>1938</v>
      </c>
      <c r="F787" s="609">
        <v>11.2</v>
      </c>
      <c r="G787" s="609"/>
      <c r="H787" s="609"/>
      <c r="I787" s="609">
        <f t="shared" si="123"/>
        <v>11.2</v>
      </c>
      <c r="J787" s="593">
        <v>304.82</v>
      </c>
      <c r="K787" s="609">
        <v>10.82</v>
      </c>
      <c r="L787" s="593">
        <v>304.82</v>
      </c>
      <c r="M787" s="584">
        <f t="shared" si="124"/>
        <v>0.03549635850665967</v>
      </c>
      <c r="N787" s="558">
        <v>264.761</v>
      </c>
      <c r="O787" s="558">
        <f t="shared" si="125"/>
        <v>9.398051374581723</v>
      </c>
      <c r="P787" s="558">
        <f t="shared" si="126"/>
        <v>2129.78151039958</v>
      </c>
      <c r="Q787" s="558">
        <f t="shared" si="127"/>
        <v>563.8830824749034</v>
      </c>
      <c r="S787" s="63"/>
      <c r="T787" s="63"/>
    </row>
    <row r="788" spans="1:20" ht="13.5" thickBot="1">
      <c r="A788" s="1192"/>
      <c r="B788" s="33">
        <v>9</v>
      </c>
      <c r="C788" s="822"/>
      <c r="D788" s="276"/>
      <c r="E788" s="276"/>
      <c r="F788" s="823"/>
      <c r="G788" s="823"/>
      <c r="H788" s="823"/>
      <c r="I788" s="823"/>
      <c r="J788" s="824"/>
      <c r="K788" s="823"/>
      <c r="L788" s="825"/>
      <c r="M788" s="826"/>
      <c r="N788" s="823"/>
      <c r="O788" s="823"/>
      <c r="P788" s="823"/>
      <c r="Q788" s="827"/>
      <c r="S788" s="63"/>
      <c r="T788" s="63"/>
    </row>
    <row r="789" spans="19:20" ht="12.75">
      <c r="S789" s="63"/>
      <c r="T789" s="63"/>
    </row>
    <row r="790" spans="19:20" ht="12.75">
      <c r="S790" s="63"/>
      <c r="T790" s="63"/>
    </row>
    <row r="791" spans="19:20" ht="12.75">
      <c r="S791" s="63"/>
      <c r="T791" s="63"/>
    </row>
    <row r="792" spans="19:20" ht="12.75">
      <c r="S792" s="63"/>
      <c r="T792" s="63"/>
    </row>
    <row r="793" spans="19:20" ht="12.75">
      <c r="S793" s="63"/>
      <c r="T793" s="63"/>
    </row>
    <row r="794" spans="19:20" ht="12.75">
      <c r="S794" s="63"/>
      <c r="T794" s="63"/>
    </row>
    <row r="795" spans="19:20" ht="12.75">
      <c r="S795" s="63"/>
      <c r="T795" s="63"/>
    </row>
    <row r="796" spans="1:20" ht="15">
      <c r="A796" s="1199" t="s">
        <v>42</v>
      </c>
      <c r="B796" s="1199"/>
      <c r="C796" s="1199"/>
      <c r="D796" s="1199"/>
      <c r="E796" s="1199"/>
      <c r="F796" s="1199"/>
      <c r="G796" s="1199"/>
      <c r="H796" s="1199"/>
      <c r="I796" s="1199"/>
      <c r="J796" s="1199"/>
      <c r="K796" s="1199"/>
      <c r="L796" s="1199"/>
      <c r="M796" s="1199"/>
      <c r="N796" s="1199"/>
      <c r="O796" s="1199"/>
      <c r="P796" s="1199"/>
      <c r="Q796" s="1199"/>
      <c r="S796" s="63"/>
      <c r="T796" s="63"/>
    </row>
    <row r="797" spans="1:20" ht="13.5" thickBot="1">
      <c r="A797" s="1277" t="s">
        <v>836</v>
      </c>
      <c r="B797" s="1278"/>
      <c r="C797" s="1278"/>
      <c r="D797" s="1278"/>
      <c r="E797" s="1278"/>
      <c r="F797" s="1278"/>
      <c r="G797" s="1278"/>
      <c r="H797" s="1278"/>
      <c r="I797" s="1278"/>
      <c r="J797" s="1278"/>
      <c r="K797" s="1278"/>
      <c r="L797" s="1278"/>
      <c r="M797" s="1278"/>
      <c r="N797" s="1278"/>
      <c r="O797" s="1278"/>
      <c r="P797" s="1278"/>
      <c r="Q797" s="1278"/>
      <c r="S797" s="63"/>
      <c r="T797" s="63"/>
    </row>
    <row r="798" spans="1:20" ht="12.75" customHeight="1">
      <c r="A798" s="1201" t="s">
        <v>1</v>
      </c>
      <c r="B798" s="1203" t="s">
        <v>0</v>
      </c>
      <c r="C798" s="1193" t="s">
        <v>2</v>
      </c>
      <c r="D798" s="1193" t="s">
        <v>3</v>
      </c>
      <c r="E798" s="1193" t="s">
        <v>13</v>
      </c>
      <c r="F798" s="1207" t="s">
        <v>14</v>
      </c>
      <c r="G798" s="1208"/>
      <c r="H798" s="1208"/>
      <c r="I798" s="1209"/>
      <c r="J798" s="1193" t="s">
        <v>4</v>
      </c>
      <c r="K798" s="1193" t="s">
        <v>15</v>
      </c>
      <c r="L798" s="1193" t="s">
        <v>5</v>
      </c>
      <c r="M798" s="1193" t="s">
        <v>6</v>
      </c>
      <c r="N798" s="1193" t="s">
        <v>16</v>
      </c>
      <c r="O798" s="1193" t="s">
        <v>17</v>
      </c>
      <c r="P798" s="1239" t="s">
        <v>25</v>
      </c>
      <c r="Q798" s="1197" t="s">
        <v>26</v>
      </c>
      <c r="S798" s="63"/>
      <c r="T798" s="63"/>
    </row>
    <row r="799" spans="1:20" s="2" customFormat="1" ht="33.75">
      <c r="A799" s="1202"/>
      <c r="B799" s="1204"/>
      <c r="C799" s="1205"/>
      <c r="D799" s="1194"/>
      <c r="E799" s="1194"/>
      <c r="F799" s="26" t="s">
        <v>18</v>
      </c>
      <c r="G799" s="26" t="s">
        <v>19</v>
      </c>
      <c r="H799" s="26" t="s">
        <v>20</v>
      </c>
      <c r="I799" s="26" t="s">
        <v>21</v>
      </c>
      <c r="J799" s="1194"/>
      <c r="K799" s="1194"/>
      <c r="L799" s="1194"/>
      <c r="M799" s="1194"/>
      <c r="N799" s="1194"/>
      <c r="O799" s="1194"/>
      <c r="P799" s="1240"/>
      <c r="Q799" s="1198"/>
      <c r="S799" s="63"/>
      <c r="T799" s="63"/>
    </row>
    <row r="800" spans="1:20" s="3" customFormat="1" ht="13.5" customHeight="1" thickBot="1">
      <c r="A800" s="1259"/>
      <c r="B800" s="1256"/>
      <c r="C800" s="1206"/>
      <c r="D800" s="42" t="s">
        <v>7</v>
      </c>
      <c r="E800" s="42" t="s">
        <v>8</v>
      </c>
      <c r="F800" s="42" t="s">
        <v>9</v>
      </c>
      <c r="G800" s="42" t="s">
        <v>9</v>
      </c>
      <c r="H800" s="42" t="s">
        <v>9</v>
      </c>
      <c r="I800" s="42" t="s">
        <v>9</v>
      </c>
      <c r="J800" s="42" t="s">
        <v>22</v>
      </c>
      <c r="K800" s="42" t="s">
        <v>9</v>
      </c>
      <c r="L800" s="42" t="s">
        <v>22</v>
      </c>
      <c r="M800" s="42" t="s">
        <v>131</v>
      </c>
      <c r="N800" s="42" t="s">
        <v>10</v>
      </c>
      <c r="O800" s="42" t="s">
        <v>132</v>
      </c>
      <c r="P800" s="42" t="s">
        <v>27</v>
      </c>
      <c r="Q800" s="44" t="s">
        <v>28</v>
      </c>
      <c r="S800" s="63"/>
      <c r="T800" s="63"/>
    </row>
    <row r="801" spans="1:20" ht="11.25" customHeight="1">
      <c r="A801" s="1228" t="s">
        <v>11</v>
      </c>
      <c r="B801" s="20">
        <v>1</v>
      </c>
      <c r="C801" s="163" t="s">
        <v>455</v>
      </c>
      <c r="D801" s="126">
        <v>45</v>
      </c>
      <c r="E801" s="126">
        <v>1990</v>
      </c>
      <c r="F801" s="207">
        <f>G801+H801+I801</f>
        <v>23.683</v>
      </c>
      <c r="G801" s="207">
        <v>4.965</v>
      </c>
      <c r="H801" s="207">
        <v>7.2</v>
      </c>
      <c r="I801" s="207">
        <v>11.518</v>
      </c>
      <c r="J801" s="219">
        <v>2333.65</v>
      </c>
      <c r="K801" s="207">
        <f aca="true" t="shared" si="128" ref="K801:L804">I801</f>
        <v>11.518</v>
      </c>
      <c r="L801" s="219">
        <f t="shared" si="128"/>
        <v>2333.65</v>
      </c>
      <c r="M801" s="139">
        <f>K801/L801</f>
        <v>0.004935615880701905</v>
      </c>
      <c r="N801" s="127">
        <v>206.9</v>
      </c>
      <c r="O801" s="460">
        <f>M801*N801</f>
        <v>1.0211789257172241</v>
      </c>
      <c r="P801" s="460">
        <f>M801*60*1000</f>
        <v>296.1369528421143</v>
      </c>
      <c r="Q801" s="461">
        <f>P801*N801/1000</f>
        <v>61.27073554303345</v>
      </c>
      <c r="S801" s="63"/>
      <c r="T801" s="63"/>
    </row>
    <row r="802" spans="1:20" ht="12.75">
      <c r="A802" s="1229"/>
      <c r="B802" s="21">
        <v>2</v>
      </c>
      <c r="C802" s="125" t="s">
        <v>456</v>
      </c>
      <c r="D802" s="99">
        <v>45</v>
      </c>
      <c r="E802" s="99">
        <v>1974</v>
      </c>
      <c r="F802" s="202">
        <f>G802+H802+I802</f>
        <v>27.759999999999998</v>
      </c>
      <c r="G802" s="202">
        <v>6.247</v>
      </c>
      <c r="H802" s="202">
        <v>7.2</v>
      </c>
      <c r="I802" s="202">
        <v>14.313</v>
      </c>
      <c r="J802" s="220">
        <v>2276.56</v>
      </c>
      <c r="K802" s="202">
        <f t="shared" si="128"/>
        <v>14.313</v>
      </c>
      <c r="L802" s="220">
        <f t="shared" si="128"/>
        <v>2276.56</v>
      </c>
      <c r="M802" s="108">
        <f>K802/L802</f>
        <v>0.006287117405207858</v>
      </c>
      <c r="N802" s="127">
        <v>206.9</v>
      </c>
      <c r="O802" s="462">
        <f>M802*N802</f>
        <v>1.300804591137506</v>
      </c>
      <c r="P802" s="460">
        <f>M802*60*1000</f>
        <v>377.22704431247143</v>
      </c>
      <c r="Q802" s="463">
        <f>P802*N802/1000</f>
        <v>78.04827546825034</v>
      </c>
      <c r="S802" s="63"/>
      <c r="T802" s="63"/>
    </row>
    <row r="803" spans="1:20" ht="12.75">
      <c r="A803" s="1229"/>
      <c r="B803" s="21">
        <v>3</v>
      </c>
      <c r="C803" s="125" t="s">
        <v>457</v>
      </c>
      <c r="D803" s="99">
        <v>45</v>
      </c>
      <c r="E803" s="99">
        <v>1982</v>
      </c>
      <c r="F803" s="202">
        <f>G803+H803+I803</f>
        <v>31.523000000000003</v>
      </c>
      <c r="G803" s="202">
        <v>3.419</v>
      </c>
      <c r="H803" s="202">
        <v>6.4</v>
      </c>
      <c r="I803" s="202">
        <v>21.704</v>
      </c>
      <c r="J803" s="220">
        <v>2280.44</v>
      </c>
      <c r="K803" s="202">
        <f t="shared" si="128"/>
        <v>21.704</v>
      </c>
      <c r="L803" s="220">
        <f t="shared" si="128"/>
        <v>2280.44</v>
      </c>
      <c r="M803" s="108">
        <f>K803/L803</f>
        <v>0.009517461542509341</v>
      </c>
      <c r="N803" s="127">
        <v>206.9</v>
      </c>
      <c r="O803" s="462">
        <f>M803*N803</f>
        <v>1.9691627931451827</v>
      </c>
      <c r="P803" s="460">
        <f>M803*60*1000</f>
        <v>571.0476925505604</v>
      </c>
      <c r="Q803" s="463">
        <f>P803*N803/1000</f>
        <v>118.14976758871097</v>
      </c>
      <c r="S803" s="63"/>
      <c r="T803" s="63"/>
    </row>
    <row r="804" spans="1:20" ht="12.75">
      <c r="A804" s="1229"/>
      <c r="B804" s="21">
        <v>4</v>
      </c>
      <c r="C804" s="125" t="s">
        <v>826</v>
      </c>
      <c r="D804" s="99">
        <v>45</v>
      </c>
      <c r="E804" s="99">
        <v>1991</v>
      </c>
      <c r="F804" s="202">
        <f>G804+H804+I804</f>
        <v>40.71</v>
      </c>
      <c r="G804" s="202">
        <v>7.338</v>
      </c>
      <c r="H804" s="202">
        <v>7.2</v>
      </c>
      <c r="I804" s="202">
        <v>26.172</v>
      </c>
      <c r="J804" s="220">
        <v>2327.88</v>
      </c>
      <c r="K804" s="202">
        <f t="shared" si="128"/>
        <v>26.172</v>
      </c>
      <c r="L804" s="220">
        <f t="shared" si="128"/>
        <v>2327.88</v>
      </c>
      <c r="M804" s="108">
        <f>K804/L804</f>
        <v>0.011242847569462344</v>
      </c>
      <c r="N804" s="127">
        <v>206.9</v>
      </c>
      <c r="O804" s="462">
        <f>M804*N804</f>
        <v>2.326145162121759</v>
      </c>
      <c r="P804" s="460">
        <f>M804*60*1000</f>
        <v>674.5708541677407</v>
      </c>
      <c r="Q804" s="463">
        <f>P804*N804/1000</f>
        <v>139.56870972730553</v>
      </c>
      <c r="S804" s="63"/>
      <c r="T804" s="63"/>
    </row>
    <row r="805" spans="1:20" ht="12.75">
      <c r="A805" s="1229"/>
      <c r="B805" s="21">
        <v>5</v>
      </c>
      <c r="C805" s="68"/>
      <c r="D805" s="21"/>
      <c r="E805" s="21"/>
      <c r="F805" s="97"/>
      <c r="G805" s="97"/>
      <c r="H805" s="97"/>
      <c r="I805" s="97"/>
      <c r="J805" s="149"/>
      <c r="K805" s="97"/>
      <c r="L805" s="149"/>
      <c r="M805" s="239"/>
      <c r="N805" s="93"/>
      <c r="O805" s="93"/>
      <c r="P805" s="93"/>
      <c r="Q805" s="151"/>
      <c r="S805" s="63"/>
      <c r="T805" s="63"/>
    </row>
    <row r="806" spans="1:20" ht="12.75">
      <c r="A806" s="1229"/>
      <c r="B806" s="21">
        <v>6</v>
      </c>
      <c r="C806" s="68"/>
      <c r="D806" s="21"/>
      <c r="E806" s="21"/>
      <c r="F806" s="97"/>
      <c r="G806" s="97"/>
      <c r="H806" s="97"/>
      <c r="I806" s="97"/>
      <c r="J806" s="149"/>
      <c r="K806" s="97"/>
      <c r="L806" s="149"/>
      <c r="M806" s="239"/>
      <c r="N806" s="93"/>
      <c r="O806" s="21"/>
      <c r="P806" s="93"/>
      <c r="Q806" s="151"/>
      <c r="S806" s="63"/>
      <c r="T806" s="63"/>
    </row>
    <row r="807" spans="1:20" ht="13.5" thickBot="1">
      <c r="A807" s="1229"/>
      <c r="B807" s="21">
        <v>7</v>
      </c>
      <c r="C807" s="48"/>
      <c r="D807" s="47"/>
      <c r="E807" s="47"/>
      <c r="F807" s="195"/>
      <c r="G807" s="195"/>
      <c r="H807" s="195"/>
      <c r="I807" s="195"/>
      <c r="J807" s="277"/>
      <c r="K807" s="195"/>
      <c r="L807" s="277"/>
      <c r="M807" s="241"/>
      <c r="N807" s="94"/>
      <c r="O807" s="94"/>
      <c r="P807" s="94"/>
      <c r="Q807" s="95"/>
      <c r="S807" s="63"/>
      <c r="T807" s="63"/>
    </row>
    <row r="808" spans="1:20" ht="12.75">
      <c r="A808" s="1218" t="s">
        <v>29</v>
      </c>
      <c r="B808" s="404">
        <v>1</v>
      </c>
      <c r="C808" s="362" t="s">
        <v>827</v>
      </c>
      <c r="D808" s="363">
        <v>45</v>
      </c>
      <c r="E808" s="363">
        <v>1976</v>
      </c>
      <c r="F808" s="365">
        <f>G808+H808+I808</f>
        <v>44.426300000000005</v>
      </c>
      <c r="G808" s="365">
        <v>3.3893</v>
      </c>
      <c r="H808" s="365">
        <v>7.2</v>
      </c>
      <c r="I808" s="364">
        <v>33.837</v>
      </c>
      <c r="J808" s="366">
        <v>2304</v>
      </c>
      <c r="K808" s="365">
        <f aca="true" t="shared" si="129" ref="K808:L811">I808</f>
        <v>33.837</v>
      </c>
      <c r="L808" s="366">
        <f t="shared" si="129"/>
        <v>2304</v>
      </c>
      <c r="M808" s="367">
        <f>K808/L808</f>
        <v>0.014686197916666668</v>
      </c>
      <c r="N808" s="368">
        <v>206.9</v>
      </c>
      <c r="O808" s="369">
        <f>M808*N808</f>
        <v>3.0385743489583334</v>
      </c>
      <c r="P808" s="369">
        <f>M808*60*1000</f>
        <v>881.171875</v>
      </c>
      <c r="Q808" s="370">
        <f>P808*N808/1000</f>
        <v>182.3144609375</v>
      </c>
      <c r="S808" s="63"/>
      <c r="T808" s="63"/>
    </row>
    <row r="809" spans="1:20" ht="12.75">
      <c r="A809" s="1219"/>
      <c r="B809" s="377">
        <v>2</v>
      </c>
      <c r="C809" s="362" t="s">
        <v>828</v>
      </c>
      <c r="D809" s="363">
        <v>40</v>
      </c>
      <c r="E809" s="363">
        <v>1985</v>
      </c>
      <c r="F809" s="364">
        <f>G809+H809+I809</f>
        <v>43.7</v>
      </c>
      <c r="G809" s="364">
        <v>4.254</v>
      </c>
      <c r="H809" s="364">
        <v>6.4</v>
      </c>
      <c r="I809" s="364">
        <v>33.046</v>
      </c>
      <c r="J809" s="372">
        <v>2237.4</v>
      </c>
      <c r="K809" s="364">
        <f t="shared" si="129"/>
        <v>33.046</v>
      </c>
      <c r="L809" s="372">
        <f t="shared" si="129"/>
        <v>2237.4</v>
      </c>
      <c r="M809" s="367">
        <f>K809/L809</f>
        <v>0.014769822114954858</v>
      </c>
      <c r="N809" s="368">
        <v>206.9</v>
      </c>
      <c r="O809" s="369">
        <f>M809*N809</f>
        <v>3.0558761955841605</v>
      </c>
      <c r="P809" s="369">
        <f>M809*60*1000</f>
        <v>886.1893268972915</v>
      </c>
      <c r="Q809" s="370">
        <f>P809*N809/1000</f>
        <v>183.35257173504962</v>
      </c>
      <c r="S809" s="63"/>
      <c r="T809" s="63"/>
    </row>
    <row r="810" spans="1:20" ht="12.75">
      <c r="A810" s="1219"/>
      <c r="B810" s="377">
        <v>3</v>
      </c>
      <c r="C810" s="362" t="s">
        <v>458</v>
      </c>
      <c r="D810" s="363">
        <v>60</v>
      </c>
      <c r="E810" s="363">
        <v>1984</v>
      </c>
      <c r="F810" s="364">
        <f>G810+H810+I810</f>
        <v>50.494</v>
      </c>
      <c r="G810" s="364">
        <v>5.062</v>
      </c>
      <c r="H810" s="364">
        <v>9.6</v>
      </c>
      <c r="I810" s="364">
        <v>35.832</v>
      </c>
      <c r="J810" s="372">
        <v>2410.813</v>
      </c>
      <c r="K810" s="364">
        <f t="shared" si="129"/>
        <v>35.832</v>
      </c>
      <c r="L810" s="372">
        <f t="shared" si="129"/>
        <v>2410.813</v>
      </c>
      <c r="M810" s="374">
        <f>K810/L810</f>
        <v>0.014863035830651319</v>
      </c>
      <c r="N810" s="368">
        <v>206.9</v>
      </c>
      <c r="O810" s="369">
        <f>M810*N810</f>
        <v>3.075162113361758</v>
      </c>
      <c r="P810" s="369">
        <f>M810*60*1000</f>
        <v>891.7821498390791</v>
      </c>
      <c r="Q810" s="375">
        <f>P810*N810/1000</f>
        <v>184.50972680170548</v>
      </c>
      <c r="S810" s="63"/>
      <c r="T810" s="63"/>
    </row>
    <row r="811" spans="1:20" ht="12.75">
      <c r="A811" s="1219"/>
      <c r="B811" s="377">
        <v>4</v>
      </c>
      <c r="C811" s="362" t="s">
        <v>829</v>
      </c>
      <c r="D811" s="363">
        <v>45</v>
      </c>
      <c r="E811" s="363">
        <v>1970</v>
      </c>
      <c r="F811" s="364">
        <f>G811+H811+I811</f>
        <v>38.141999999999996</v>
      </c>
      <c r="G811" s="364">
        <v>2.423</v>
      </c>
      <c r="H811" s="364">
        <v>7.2</v>
      </c>
      <c r="I811" s="364">
        <v>28.519</v>
      </c>
      <c r="J811" s="372">
        <v>1913.38</v>
      </c>
      <c r="K811" s="364">
        <f t="shared" si="129"/>
        <v>28.519</v>
      </c>
      <c r="L811" s="372">
        <f t="shared" si="129"/>
        <v>1913.38</v>
      </c>
      <c r="M811" s="374">
        <f>K811/L811</f>
        <v>0.014905037159372417</v>
      </c>
      <c r="N811" s="368">
        <v>206.9</v>
      </c>
      <c r="O811" s="376">
        <f>M811*N811</f>
        <v>3.0838521882741534</v>
      </c>
      <c r="P811" s="369">
        <f>M811*60*1000</f>
        <v>894.302229562345</v>
      </c>
      <c r="Q811" s="375">
        <f>P811*N811/1000</f>
        <v>185.0311312964492</v>
      </c>
      <c r="S811" s="63"/>
      <c r="T811" s="63"/>
    </row>
    <row r="812" spans="1:20" ht="12.75">
      <c r="A812" s="1219"/>
      <c r="B812" s="377">
        <v>5</v>
      </c>
      <c r="C812" s="426"/>
      <c r="D812" s="427"/>
      <c r="E812" s="427"/>
      <c r="F812" s="428"/>
      <c r="G812" s="428"/>
      <c r="H812" s="379"/>
      <c r="I812" s="379"/>
      <c r="J812" s="380"/>
      <c r="K812" s="379"/>
      <c r="L812" s="380"/>
      <c r="M812" s="381"/>
      <c r="N812" s="382"/>
      <c r="O812" s="382"/>
      <c r="P812" s="382"/>
      <c r="Q812" s="421"/>
      <c r="S812" s="63"/>
      <c r="T812" s="63"/>
    </row>
    <row r="813" spans="1:20" ht="12.75">
      <c r="A813" s="1219"/>
      <c r="B813" s="377">
        <v>6</v>
      </c>
      <c r="C813" s="426"/>
      <c r="D813" s="377"/>
      <c r="E813" s="377"/>
      <c r="F813" s="379"/>
      <c r="G813" s="379"/>
      <c r="H813" s="379"/>
      <c r="I813" s="379"/>
      <c r="J813" s="380"/>
      <c r="K813" s="379"/>
      <c r="L813" s="380"/>
      <c r="M813" s="381"/>
      <c r="N813" s="382"/>
      <c r="O813" s="382"/>
      <c r="P813" s="382"/>
      <c r="Q813" s="421"/>
      <c r="S813" s="63"/>
      <c r="T813" s="63"/>
    </row>
    <row r="814" spans="1:20" ht="13.5" thickBot="1">
      <c r="A814" s="1219"/>
      <c r="B814" s="377">
        <v>7</v>
      </c>
      <c r="C814" s="426"/>
      <c r="D814" s="377"/>
      <c r="E814" s="377"/>
      <c r="F814" s="379"/>
      <c r="G814" s="379"/>
      <c r="H814" s="379"/>
      <c r="I814" s="379"/>
      <c r="J814" s="380"/>
      <c r="K814" s="379"/>
      <c r="L814" s="390"/>
      <c r="M814" s="391"/>
      <c r="N814" s="392"/>
      <c r="O814" s="392"/>
      <c r="P814" s="392"/>
      <c r="Q814" s="394"/>
      <c r="S814" s="63"/>
      <c r="T814" s="63"/>
    </row>
    <row r="815" spans="1:20" ht="12.75">
      <c r="A815" s="1221" t="s">
        <v>30</v>
      </c>
      <c r="B815" s="477">
        <v>1</v>
      </c>
      <c r="C815" s="521" t="s">
        <v>830</v>
      </c>
      <c r="D815" s="492">
        <v>40</v>
      </c>
      <c r="E815" s="492">
        <v>1989</v>
      </c>
      <c r="F815" s="703">
        <f>G815+H815+I815</f>
        <v>47.519000000000005</v>
      </c>
      <c r="G815" s="703">
        <v>3.635</v>
      </c>
      <c r="H815" s="703">
        <v>6.4</v>
      </c>
      <c r="I815" s="703">
        <v>37.484</v>
      </c>
      <c r="J815" s="709">
        <v>2207.95</v>
      </c>
      <c r="K815" s="703">
        <f aca="true" t="shared" si="130" ref="K815:L818">I815</f>
        <v>37.484</v>
      </c>
      <c r="L815" s="715">
        <f t="shared" si="130"/>
        <v>2207.95</v>
      </c>
      <c r="M815" s="684">
        <f>K815/L815</f>
        <v>0.01697683371453158</v>
      </c>
      <c r="N815" s="717">
        <v>206.9</v>
      </c>
      <c r="O815" s="685">
        <f>M815*N815</f>
        <v>3.512506895536584</v>
      </c>
      <c r="P815" s="685">
        <f>M815*60*1000</f>
        <v>1018.6100228718948</v>
      </c>
      <c r="Q815" s="686">
        <f>P815*N815/1000</f>
        <v>210.75041373219503</v>
      </c>
      <c r="S815" s="63"/>
      <c r="T815" s="63"/>
    </row>
    <row r="816" spans="1:20" ht="12.75">
      <c r="A816" s="1223"/>
      <c r="B816" s="480">
        <v>2</v>
      </c>
      <c r="C816" s="522" t="s">
        <v>831</v>
      </c>
      <c r="D816" s="493">
        <v>42</v>
      </c>
      <c r="E816" s="493">
        <v>1981</v>
      </c>
      <c r="F816" s="704">
        <f>G816+H816+I816</f>
        <v>50.098</v>
      </c>
      <c r="G816" s="704">
        <v>4.502</v>
      </c>
      <c r="H816" s="704">
        <v>6.56</v>
      </c>
      <c r="I816" s="704">
        <v>39.036</v>
      </c>
      <c r="J816" s="710">
        <v>2268.64</v>
      </c>
      <c r="K816" s="704">
        <f t="shared" si="130"/>
        <v>39.036</v>
      </c>
      <c r="L816" s="710">
        <f t="shared" si="130"/>
        <v>2268.64</v>
      </c>
      <c r="M816" s="650">
        <f>K816/L816</f>
        <v>0.01720678468157134</v>
      </c>
      <c r="N816" s="717">
        <v>206.9</v>
      </c>
      <c r="O816" s="508">
        <f>M816*N816</f>
        <v>3.5600837506171104</v>
      </c>
      <c r="P816" s="685">
        <f>M816*60*1000</f>
        <v>1032.4070808942804</v>
      </c>
      <c r="Q816" s="509">
        <f>P816*N816/1000</f>
        <v>213.60502503702662</v>
      </c>
      <c r="S816" s="63"/>
      <c r="T816" s="63"/>
    </row>
    <row r="817" spans="1:20" ht="12.75">
      <c r="A817" s="1223"/>
      <c r="B817" s="480">
        <v>3</v>
      </c>
      <c r="C817" s="522" t="s">
        <v>832</v>
      </c>
      <c r="D817" s="493">
        <v>56</v>
      </c>
      <c r="E817" s="493">
        <v>1989</v>
      </c>
      <c r="F817" s="704">
        <f>G817+H817+I817</f>
        <v>52.899</v>
      </c>
      <c r="G817" s="704">
        <v>3.743</v>
      </c>
      <c r="H817" s="704">
        <v>8.8</v>
      </c>
      <c r="I817" s="704">
        <v>40.356</v>
      </c>
      <c r="J817" s="710">
        <v>2337.38</v>
      </c>
      <c r="K817" s="704">
        <f t="shared" si="130"/>
        <v>40.356</v>
      </c>
      <c r="L817" s="710">
        <f t="shared" si="130"/>
        <v>2337.38</v>
      </c>
      <c r="M817" s="650">
        <f>K817/L817</f>
        <v>0.01726548528694521</v>
      </c>
      <c r="N817" s="717">
        <v>206.9</v>
      </c>
      <c r="O817" s="508">
        <f>M817*N817</f>
        <v>3.5722289058689642</v>
      </c>
      <c r="P817" s="685">
        <f>M817*60*1000</f>
        <v>1035.9291172167127</v>
      </c>
      <c r="Q817" s="509">
        <f>P817*N817/1000</f>
        <v>214.33373435213787</v>
      </c>
      <c r="S817" s="63"/>
      <c r="T817" s="63"/>
    </row>
    <row r="818" spans="1:20" ht="12.75">
      <c r="A818" s="1223"/>
      <c r="B818" s="480">
        <v>4</v>
      </c>
      <c r="C818" s="522" t="s">
        <v>833</v>
      </c>
      <c r="D818" s="493">
        <v>32</v>
      </c>
      <c r="E818" s="493">
        <v>1964</v>
      </c>
      <c r="F818" s="704">
        <f>G818+H818+I818</f>
        <v>28.55</v>
      </c>
      <c r="G818" s="704">
        <v>2.531</v>
      </c>
      <c r="H818" s="704">
        <v>5.12</v>
      </c>
      <c r="I818" s="704">
        <v>20.899</v>
      </c>
      <c r="J818" s="710">
        <v>1207.11</v>
      </c>
      <c r="K818" s="704">
        <f t="shared" si="130"/>
        <v>20.899</v>
      </c>
      <c r="L818" s="710">
        <f t="shared" si="130"/>
        <v>1207.11</v>
      </c>
      <c r="M818" s="650">
        <f>K818/L818</f>
        <v>0.01731325231337658</v>
      </c>
      <c r="N818" s="717">
        <v>206.9</v>
      </c>
      <c r="O818" s="508">
        <f>M818*N818</f>
        <v>3.5821119036376143</v>
      </c>
      <c r="P818" s="685">
        <f>M818*60*1000</f>
        <v>1038.7951388025947</v>
      </c>
      <c r="Q818" s="509">
        <f>P818*N818/1000</f>
        <v>214.92671421825685</v>
      </c>
      <c r="S818" s="63"/>
      <c r="T818" s="63"/>
    </row>
    <row r="819" spans="1:20" ht="12.75">
      <c r="A819" s="1223"/>
      <c r="B819" s="480">
        <v>5</v>
      </c>
      <c r="C819" s="887"/>
      <c r="D819" s="480"/>
      <c r="E819" s="480"/>
      <c r="F819" s="607"/>
      <c r="G819" s="607"/>
      <c r="H819" s="607"/>
      <c r="I819" s="607"/>
      <c r="J819" s="590"/>
      <c r="K819" s="607"/>
      <c r="L819" s="590"/>
      <c r="M819" s="581"/>
      <c r="N819" s="550"/>
      <c r="O819" s="550"/>
      <c r="P819" s="550"/>
      <c r="Q819" s="553"/>
      <c r="S819" s="63"/>
      <c r="T819" s="63"/>
    </row>
    <row r="820" spans="1:20" ht="12.75">
      <c r="A820" s="1223"/>
      <c r="B820" s="480">
        <v>6</v>
      </c>
      <c r="C820" s="833"/>
      <c r="D820" s="480"/>
      <c r="E820" s="480"/>
      <c r="F820" s="607"/>
      <c r="G820" s="607"/>
      <c r="H820" s="607"/>
      <c r="I820" s="607"/>
      <c r="J820" s="590"/>
      <c r="K820" s="607"/>
      <c r="L820" s="590"/>
      <c r="M820" s="581"/>
      <c r="N820" s="550"/>
      <c r="O820" s="550"/>
      <c r="P820" s="550"/>
      <c r="Q820" s="553"/>
      <c r="S820" s="63"/>
      <c r="T820" s="63"/>
    </row>
    <row r="821" spans="1:20" ht="13.5" thickBot="1">
      <c r="A821" s="1223"/>
      <c r="B821" s="480">
        <v>7</v>
      </c>
      <c r="C821" s="887"/>
      <c r="D821" s="480"/>
      <c r="E821" s="480"/>
      <c r="F821" s="607"/>
      <c r="G821" s="607"/>
      <c r="H821" s="607"/>
      <c r="I821" s="607"/>
      <c r="J821" s="590"/>
      <c r="K821" s="607"/>
      <c r="L821" s="533"/>
      <c r="M821" s="534"/>
      <c r="N821" s="535"/>
      <c r="O821" s="535"/>
      <c r="P821" s="535"/>
      <c r="Q821" s="537"/>
      <c r="S821" s="63"/>
      <c r="T821" s="63"/>
    </row>
    <row r="822" spans="1:20" ht="12.75">
      <c r="A822" s="1271" t="s">
        <v>12</v>
      </c>
      <c r="B822" s="27">
        <v>1</v>
      </c>
      <c r="C822" s="132" t="s">
        <v>834</v>
      </c>
      <c r="D822" s="133">
        <v>8</v>
      </c>
      <c r="E822" s="133">
        <v>1960</v>
      </c>
      <c r="F822" s="204">
        <f>G822+H822+I822</f>
        <v>11.303</v>
      </c>
      <c r="G822" s="204">
        <v>0.43</v>
      </c>
      <c r="H822" s="204">
        <v>1.28</v>
      </c>
      <c r="I822" s="204">
        <v>9.593</v>
      </c>
      <c r="J822" s="223">
        <v>365.71</v>
      </c>
      <c r="K822" s="204">
        <f aca="true" t="shared" si="131" ref="K822:L825">I822</f>
        <v>9.593</v>
      </c>
      <c r="L822" s="299">
        <f t="shared" si="131"/>
        <v>365.71</v>
      </c>
      <c r="M822" s="136">
        <f>K822/L822</f>
        <v>0.026231166771485605</v>
      </c>
      <c r="N822" s="134">
        <v>206.9</v>
      </c>
      <c r="O822" s="137">
        <f>M822*N822</f>
        <v>5.427228405020371</v>
      </c>
      <c r="P822" s="137">
        <f>M822*60*1000</f>
        <v>1573.8700062891362</v>
      </c>
      <c r="Q822" s="138">
        <f>P822*N822/1000</f>
        <v>325.6337043012223</v>
      </c>
      <c r="S822" s="63"/>
      <c r="T822" s="63"/>
    </row>
    <row r="823" spans="1:20" ht="12.75">
      <c r="A823" s="1273"/>
      <c r="B823" s="29">
        <v>2</v>
      </c>
      <c r="C823" s="135" t="s">
        <v>835</v>
      </c>
      <c r="D823" s="104">
        <v>25</v>
      </c>
      <c r="E823" s="104">
        <v>1966</v>
      </c>
      <c r="F823" s="179">
        <f>G823+H823+I823</f>
        <v>35.812</v>
      </c>
      <c r="G823" s="179">
        <v>1.4</v>
      </c>
      <c r="H823" s="179">
        <v>0.29</v>
      </c>
      <c r="I823" s="179">
        <v>34.122</v>
      </c>
      <c r="J823" s="224">
        <v>1267.43</v>
      </c>
      <c r="K823" s="179">
        <f t="shared" si="131"/>
        <v>34.122</v>
      </c>
      <c r="L823" s="224">
        <f t="shared" si="131"/>
        <v>1267.43</v>
      </c>
      <c r="M823" s="117">
        <f>K823/L823</f>
        <v>0.026922196886613067</v>
      </c>
      <c r="N823" s="134">
        <v>206.9</v>
      </c>
      <c r="O823" s="119">
        <f>M823*N823</f>
        <v>5.570202535840243</v>
      </c>
      <c r="P823" s="137">
        <f>M823*60*1000</f>
        <v>1615.331813196784</v>
      </c>
      <c r="Q823" s="120">
        <f>P823*N823/1000</f>
        <v>334.21215215041457</v>
      </c>
      <c r="S823" s="63"/>
      <c r="T823" s="63"/>
    </row>
    <row r="824" spans="1:20" ht="12.75">
      <c r="A824" s="1273"/>
      <c r="B824" s="29">
        <v>3</v>
      </c>
      <c r="C824" s="135" t="s">
        <v>460</v>
      </c>
      <c r="D824" s="104">
        <v>4</v>
      </c>
      <c r="E824" s="104">
        <v>1961</v>
      </c>
      <c r="F824" s="179">
        <f>G824+H824+I824</f>
        <v>5.583</v>
      </c>
      <c r="G824" s="179">
        <v>0.54</v>
      </c>
      <c r="H824" s="179">
        <v>0.573</v>
      </c>
      <c r="I824" s="179">
        <v>4.47</v>
      </c>
      <c r="J824" s="224">
        <v>161.66</v>
      </c>
      <c r="K824" s="179">
        <f t="shared" si="131"/>
        <v>4.47</v>
      </c>
      <c r="L824" s="224">
        <f t="shared" si="131"/>
        <v>161.66</v>
      </c>
      <c r="M824" s="117">
        <f>K824/L824</f>
        <v>0.02765062476803167</v>
      </c>
      <c r="N824" s="134">
        <v>206.9</v>
      </c>
      <c r="O824" s="119">
        <f>M824*N824</f>
        <v>5.720914264505753</v>
      </c>
      <c r="P824" s="137">
        <f>M824*60*1000</f>
        <v>1659.0374860819004</v>
      </c>
      <c r="Q824" s="120">
        <f>P824*N824/1000</f>
        <v>343.2548558703452</v>
      </c>
      <c r="S824" s="63"/>
      <c r="T824" s="63"/>
    </row>
    <row r="825" spans="1:20" ht="12.75">
      <c r="A825" s="1273"/>
      <c r="B825" s="29">
        <v>4</v>
      </c>
      <c r="C825" s="135" t="s">
        <v>459</v>
      </c>
      <c r="D825" s="104">
        <v>6</v>
      </c>
      <c r="E825" s="104">
        <v>1936</v>
      </c>
      <c r="F825" s="179">
        <f>G825+H825+I825</f>
        <v>8.412</v>
      </c>
      <c r="G825" s="179">
        <v>0.431</v>
      </c>
      <c r="H825" s="179">
        <v>0.06</v>
      </c>
      <c r="I825" s="179">
        <v>7.921</v>
      </c>
      <c r="J825" s="224">
        <v>266.57</v>
      </c>
      <c r="K825" s="179">
        <f t="shared" si="131"/>
        <v>7.921</v>
      </c>
      <c r="L825" s="224">
        <f t="shared" si="131"/>
        <v>266.57</v>
      </c>
      <c r="M825" s="117">
        <f>K825/L825</f>
        <v>0.029714521514048846</v>
      </c>
      <c r="N825" s="134">
        <v>206.9</v>
      </c>
      <c r="O825" s="119">
        <f>M825*N825</f>
        <v>6.147934501256707</v>
      </c>
      <c r="P825" s="137">
        <f>M825*60*1000</f>
        <v>1782.8712908429306</v>
      </c>
      <c r="Q825" s="120">
        <f>P825*N825/1000</f>
        <v>368.87607007540237</v>
      </c>
      <c r="S825" s="63"/>
      <c r="T825" s="63"/>
    </row>
    <row r="826" spans="1:20" ht="12.75">
      <c r="A826" s="1273"/>
      <c r="B826" s="29">
        <v>5</v>
      </c>
      <c r="C826" s="80"/>
      <c r="D826" s="96"/>
      <c r="E826" s="96"/>
      <c r="F826" s="150"/>
      <c r="G826" s="30"/>
      <c r="H826" s="30"/>
      <c r="I826" s="30"/>
      <c r="J826" s="31"/>
      <c r="K826" s="353"/>
      <c r="L826" s="31"/>
      <c r="M826" s="50"/>
      <c r="N826" s="30"/>
      <c r="O826" s="30"/>
      <c r="P826" s="51"/>
      <c r="Q826" s="32"/>
      <c r="S826" s="63"/>
      <c r="T826" s="63"/>
    </row>
    <row r="827" spans="1:20" ht="12.75">
      <c r="A827" s="1273"/>
      <c r="B827" s="29">
        <v>6</v>
      </c>
      <c r="C827" s="80"/>
      <c r="D827" s="29"/>
      <c r="E827" s="29"/>
      <c r="F827" s="39"/>
      <c r="G827" s="39"/>
      <c r="H827" s="39"/>
      <c r="I827" s="39"/>
      <c r="J827" s="39"/>
      <c r="K827" s="30"/>
      <c r="L827" s="39"/>
      <c r="M827" s="52"/>
      <c r="N827" s="39"/>
      <c r="O827" s="53"/>
      <c r="P827" s="54"/>
      <c r="Q827" s="55"/>
      <c r="S827" s="63"/>
      <c r="T827" s="63"/>
    </row>
    <row r="828" spans="1:20" ht="13.5" thickBot="1">
      <c r="A828" s="1274"/>
      <c r="B828" s="33">
        <v>7</v>
      </c>
      <c r="C828" s="279"/>
      <c r="D828" s="33"/>
      <c r="E828" s="33"/>
      <c r="F828" s="40"/>
      <c r="G828" s="40"/>
      <c r="H828" s="40"/>
      <c r="I828" s="40"/>
      <c r="J828" s="40"/>
      <c r="K828" s="34"/>
      <c r="L828" s="40"/>
      <c r="M828" s="280"/>
      <c r="N828" s="40"/>
      <c r="O828" s="56"/>
      <c r="P828" s="281"/>
      <c r="Q828" s="200"/>
      <c r="S828" s="63"/>
      <c r="T828" s="63"/>
    </row>
    <row r="829" spans="19:20" ht="12.75">
      <c r="S829" s="63"/>
      <c r="T829" s="63"/>
    </row>
    <row r="830" spans="19:20" ht="12.75">
      <c r="S830" s="63"/>
      <c r="T830" s="63"/>
    </row>
    <row r="831" spans="19:20" ht="12.75">
      <c r="S831" s="63"/>
      <c r="T831" s="63"/>
    </row>
    <row r="832" spans="19:20" ht="12.75">
      <c r="S832" s="63"/>
      <c r="T832" s="63"/>
    </row>
    <row r="833" spans="19:20" ht="12.75">
      <c r="S833" s="63"/>
      <c r="T833" s="63"/>
    </row>
    <row r="834" spans="19:20" ht="12.75">
      <c r="S834" s="63"/>
      <c r="T834" s="63"/>
    </row>
    <row r="835" spans="1:20" ht="14.25" customHeight="1">
      <c r="A835" s="1199" t="s">
        <v>251</v>
      </c>
      <c r="B835" s="1199"/>
      <c r="C835" s="1199"/>
      <c r="D835" s="1199"/>
      <c r="E835" s="1199"/>
      <c r="F835" s="1199"/>
      <c r="G835" s="1199"/>
      <c r="H835" s="1199"/>
      <c r="I835" s="1199"/>
      <c r="J835" s="1199"/>
      <c r="K835" s="1199"/>
      <c r="L835" s="1199"/>
      <c r="M835" s="1199"/>
      <c r="N835" s="1199"/>
      <c r="O835" s="1199"/>
      <c r="P835" s="1199"/>
      <c r="Q835" s="1199"/>
      <c r="S835" s="63"/>
      <c r="T835" s="63"/>
    </row>
    <row r="836" spans="1:20" ht="13.5" thickBot="1">
      <c r="A836" s="1277" t="s">
        <v>837</v>
      </c>
      <c r="B836" s="1278"/>
      <c r="C836" s="1278"/>
      <c r="D836" s="1278"/>
      <c r="E836" s="1278"/>
      <c r="F836" s="1278"/>
      <c r="G836" s="1278"/>
      <c r="H836" s="1278"/>
      <c r="I836" s="1278"/>
      <c r="J836" s="1278"/>
      <c r="K836" s="1278"/>
      <c r="L836" s="1278"/>
      <c r="M836" s="1278"/>
      <c r="N836" s="1278"/>
      <c r="O836" s="1278"/>
      <c r="P836" s="1278"/>
      <c r="Q836" s="1278"/>
      <c r="S836" s="63"/>
      <c r="T836" s="63"/>
    </row>
    <row r="837" spans="1:20" ht="12.75" customHeight="1">
      <c r="A837" s="1201" t="s">
        <v>1</v>
      </c>
      <c r="B837" s="1203" t="s">
        <v>0</v>
      </c>
      <c r="C837" s="1193" t="s">
        <v>2</v>
      </c>
      <c r="D837" s="1193" t="s">
        <v>3</v>
      </c>
      <c r="E837" s="1193" t="s">
        <v>13</v>
      </c>
      <c r="F837" s="1207" t="s">
        <v>14</v>
      </c>
      <c r="G837" s="1208"/>
      <c r="H837" s="1208"/>
      <c r="I837" s="1209"/>
      <c r="J837" s="1193" t="s">
        <v>4</v>
      </c>
      <c r="K837" s="1193" t="s">
        <v>15</v>
      </c>
      <c r="L837" s="1193" t="s">
        <v>5</v>
      </c>
      <c r="M837" s="1193" t="s">
        <v>6</v>
      </c>
      <c r="N837" s="1193" t="s">
        <v>16</v>
      </c>
      <c r="O837" s="1193" t="s">
        <v>17</v>
      </c>
      <c r="P837" s="1239" t="s">
        <v>25</v>
      </c>
      <c r="Q837" s="1197" t="s">
        <v>26</v>
      </c>
      <c r="S837" s="63"/>
      <c r="T837" s="63"/>
    </row>
    <row r="838" spans="1:20" s="2" customFormat="1" ht="33.75">
      <c r="A838" s="1202"/>
      <c r="B838" s="1204"/>
      <c r="C838" s="1205"/>
      <c r="D838" s="1194"/>
      <c r="E838" s="1194"/>
      <c r="F838" s="26" t="s">
        <v>18</v>
      </c>
      <c r="G838" s="26" t="s">
        <v>19</v>
      </c>
      <c r="H838" s="26" t="s">
        <v>20</v>
      </c>
      <c r="I838" s="26" t="s">
        <v>21</v>
      </c>
      <c r="J838" s="1194"/>
      <c r="K838" s="1194"/>
      <c r="L838" s="1194"/>
      <c r="M838" s="1194"/>
      <c r="N838" s="1194"/>
      <c r="O838" s="1194"/>
      <c r="P838" s="1240"/>
      <c r="Q838" s="1198"/>
      <c r="S838" s="63"/>
      <c r="T838" s="63"/>
    </row>
    <row r="839" spans="1:20" s="3" customFormat="1" ht="13.5" customHeight="1" thickBot="1">
      <c r="A839" s="1202"/>
      <c r="B839" s="1204"/>
      <c r="C839" s="1206"/>
      <c r="D839" s="42" t="s">
        <v>7</v>
      </c>
      <c r="E839" s="42" t="s">
        <v>8</v>
      </c>
      <c r="F839" s="42" t="s">
        <v>9</v>
      </c>
      <c r="G839" s="42" t="s">
        <v>9</v>
      </c>
      <c r="H839" s="42" t="s">
        <v>9</v>
      </c>
      <c r="I839" s="42" t="s">
        <v>9</v>
      </c>
      <c r="J839" s="42" t="s">
        <v>22</v>
      </c>
      <c r="K839" s="42" t="s">
        <v>9</v>
      </c>
      <c r="L839" s="42" t="s">
        <v>22</v>
      </c>
      <c r="M839" s="42" t="s">
        <v>23</v>
      </c>
      <c r="N839" s="42" t="s">
        <v>10</v>
      </c>
      <c r="O839" s="42" t="s">
        <v>24</v>
      </c>
      <c r="P839" s="43" t="s">
        <v>27</v>
      </c>
      <c r="Q839" s="44" t="s">
        <v>28</v>
      </c>
      <c r="S839" s="63"/>
      <c r="T839" s="63"/>
    </row>
    <row r="840" spans="1:20" s="67" customFormat="1" ht="12.75" customHeight="1">
      <c r="A840" s="1228" t="s">
        <v>11</v>
      </c>
      <c r="B840" s="71">
        <v>1</v>
      </c>
      <c r="C840" s="163"/>
      <c r="D840" s="126"/>
      <c r="E840" s="126"/>
      <c r="F840" s="207"/>
      <c r="G840" s="207"/>
      <c r="H840" s="207"/>
      <c r="I840" s="207"/>
      <c r="J840" s="327"/>
      <c r="K840" s="207"/>
      <c r="L840" s="219"/>
      <c r="M840" s="139"/>
      <c r="N840" s="127"/>
      <c r="O840" s="130"/>
      <c r="P840" s="130"/>
      <c r="Q840" s="164"/>
      <c r="S840" s="63"/>
      <c r="T840" s="63"/>
    </row>
    <row r="841" spans="1:20" s="67" customFormat="1" ht="12.75" customHeight="1">
      <c r="A841" s="1229"/>
      <c r="B841" s="66">
        <v>2</v>
      </c>
      <c r="C841" s="125"/>
      <c r="D841" s="99"/>
      <c r="E841" s="99"/>
      <c r="F841" s="202"/>
      <c r="G841" s="202"/>
      <c r="H841" s="202"/>
      <c r="I841" s="202"/>
      <c r="J841" s="165"/>
      <c r="K841" s="202"/>
      <c r="L841" s="220"/>
      <c r="M841" s="108"/>
      <c r="N841" s="127"/>
      <c r="O841" s="110"/>
      <c r="P841" s="130"/>
      <c r="Q841" s="111"/>
      <c r="S841" s="63"/>
      <c r="T841" s="63"/>
    </row>
    <row r="842" spans="1:20" s="67" customFormat="1" ht="12.75">
      <c r="A842" s="1229"/>
      <c r="B842" s="66">
        <v>3</v>
      </c>
      <c r="C842" s="125"/>
      <c r="D842" s="99"/>
      <c r="E842" s="99"/>
      <c r="F842" s="202"/>
      <c r="G842" s="202"/>
      <c r="H842" s="202"/>
      <c r="I842" s="202"/>
      <c r="J842" s="165"/>
      <c r="K842" s="202"/>
      <c r="L842" s="220"/>
      <c r="M842" s="108"/>
      <c r="N842" s="127"/>
      <c r="O842" s="110"/>
      <c r="P842" s="130"/>
      <c r="Q842" s="111"/>
      <c r="S842" s="63"/>
      <c r="T842" s="63"/>
    </row>
    <row r="843" spans="1:20" s="67" customFormat="1" ht="12.75">
      <c r="A843" s="1229"/>
      <c r="B843" s="66">
        <v>4</v>
      </c>
      <c r="C843" s="125"/>
      <c r="D843" s="99"/>
      <c r="E843" s="99"/>
      <c r="F843" s="202"/>
      <c r="G843" s="202"/>
      <c r="H843" s="202"/>
      <c r="I843" s="202"/>
      <c r="J843" s="165"/>
      <c r="K843" s="202"/>
      <c r="L843" s="220"/>
      <c r="M843" s="108"/>
      <c r="N843" s="127"/>
      <c r="O843" s="110"/>
      <c r="P843" s="130"/>
      <c r="Q843" s="111"/>
      <c r="S843" s="63"/>
      <c r="T843" s="63"/>
    </row>
    <row r="844" spans="1:20" s="67" customFormat="1" ht="12.75">
      <c r="A844" s="1229"/>
      <c r="B844" s="66">
        <v>5</v>
      </c>
      <c r="C844" s="125"/>
      <c r="D844" s="99"/>
      <c r="E844" s="99"/>
      <c r="F844" s="202"/>
      <c r="G844" s="202"/>
      <c r="H844" s="202"/>
      <c r="I844" s="202"/>
      <c r="J844" s="165"/>
      <c r="K844" s="202"/>
      <c r="L844" s="220"/>
      <c r="M844" s="108"/>
      <c r="N844" s="127"/>
      <c r="O844" s="110"/>
      <c r="P844" s="130"/>
      <c r="Q844" s="111"/>
      <c r="S844" s="63"/>
      <c r="T844" s="63"/>
    </row>
    <row r="845" spans="1:20" s="67" customFormat="1" ht="13.5" thickBot="1">
      <c r="A845" s="1229"/>
      <c r="B845" s="66">
        <v>6</v>
      </c>
      <c r="C845" s="128"/>
      <c r="D845" s="100"/>
      <c r="E845" s="100"/>
      <c r="F845" s="203"/>
      <c r="G845" s="203"/>
      <c r="H845" s="203"/>
      <c r="I845" s="203"/>
      <c r="J845" s="654"/>
      <c r="K845" s="203"/>
      <c r="L845" s="221"/>
      <c r="M845" s="140"/>
      <c r="N845" s="129"/>
      <c r="O845" s="222"/>
      <c r="P845" s="141"/>
      <c r="Q845" s="131"/>
      <c r="S845" s="63"/>
      <c r="T845" s="63"/>
    </row>
    <row r="846" spans="1:20" ht="12.75">
      <c r="A846" s="1218" t="s">
        <v>29</v>
      </c>
      <c r="B846" s="404">
        <v>1</v>
      </c>
      <c r="C846" s="429" t="s">
        <v>461</v>
      </c>
      <c r="D846" s="404">
        <v>40</v>
      </c>
      <c r="E846" s="404">
        <v>1998</v>
      </c>
      <c r="F846" s="379">
        <f aca="true" t="shared" si="132" ref="F846:F861">SUM(G846+H846+I846)</f>
        <v>35.4</v>
      </c>
      <c r="G846" s="430">
        <v>4.5</v>
      </c>
      <c r="H846" s="430">
        <v>6.4</v>
      </c>
      <c r="I846" s="430">
        <v>24.5</v>
      </c>
      <c r="J846" s="431">
        <v>2183.72</v>
      </c>
      <c r="K846" s="430">
        <v>24</v>
      </c>
      <c r="L846" s="431">
        <v>2133.76</v>
      </c>
      <c r="M846" s="809">
        <f aca="true" t="shared" si="133" ref="M846:M861">SUM(K846/L846)</f>
        <v>0.011247750449910016</v>
      </c>
      <c r="N846" s="742">
        <v>215.8</v>
      </c>
      <c r="O846" s="420">
        <f aca="true" t="shared" si="134" ref="O846:O861">SUM(M846*N846)</f>
        <v>2.427264547090582</v>
      </c>
      <c r="P846" s="432">
        <f aca="true" t="shared" si="135" ref="P846:P861">M846*60*1000</f>
        <v>674.865026994601</v>
      </c>
      <c r="Q846" s="980">
        <f aca="true" t="shared" si="136" ref="Q846:Q861">SUM(O846*60)</f>
        <v>145.63587282543492</v>
      </c>
      <c r="S846" s="63"/>
      <c r="T846" s="63"/>
    </row>
    <row r="847" spans="1:20" ht="12.75">
      <c r="A847" s="1219"/>
      <c r="B847" s="377">
        <v>2</v>
      </c>
      <c r="C847" s="414" t="s">
        <v>462</v>
      </c>
      <c r="D847" s="377">
        <v>40</v>
      </c>
      <c r="E847" s="377">
        <v>1986</v>
      </c>
      <c r="F847" s="379">
        <f t="shared" si="132"/>
        <v>38</v>
      </c>
      <c r="G847" s="379">
        <v>5.5</v>
      </c>
      <c r="H847" s="379">
        <v>6.4</v>
      </c>
      <c r="I847" s="379">
        <v>26.1</v>
      </c>
      <c r="J847" s="380">
        <v>2246.36</v>
      </c>
      <c r="K847" s="379">
        <v>26.1</v>
      </c>
      <c r="L847" s="380">
        <v>2246.4</v>
      </c>
      <c r="M847" s="381">
        <f t="shared" si="133"/>
        <v>0.011618589743589744</v>
      </c>
      <c r="N847" s="382">
        <v>215.8</v>
      </c>
      <c r="O847" s="382">
        <f t="shared" si="134"/>
        <v>2.5072916666666667</v>
      </c>
      <c r="P847" s="420">
        <f t="shared" si="135"/>
        <v>697.1153846153845</v>
      </c>
      <c r="Q847" s="980">
        <f t="shared" si="136"/>
        <v>150.4375</v>
      </c>
      <c r="S847" s="63"/>
      <c r="T847" s="63"/>
    </row>
    <row r="848" spans="1:20" ht="12.75">
      <c r="A848" s="1219"/>
      <c r="B848" s="377">
        <v>3</v>
      </c>
      <c r="C848" s="414" t="s">
        <v>463</v>
      </c>
      <c r="D848" s="377">
        <v>40</v>
      </c>
      <c r="E848" s="377">
        <v>1980</v>
      </c>
      <c r="F848" s="379">
        <f t="shared" si="132"/>
        <v>39.1</v>
      </c>
      <c r="G848" s="379">
        <v>3.4</v>
      </c>
      <c r="H848" s="379">
        <v>6.4</v>
      </c>
      <c r="I848" s="379">
        <v>29.3</v>
      </c>
      <c r="J848" s="380">
        <v>2313.6</v>
      </c>
      <c r="K848" s="379">
        <v>29.3</v>
      </c>
      <c r="L848" s="380">
        <v>2313.6</v>
      </c>
      <c r="M848" s="381">
        <f t="shared" si="133"/>
        <v>0.012664246196403873</v>
      </c>
      <c r="N848" s="382">
        <v>215.8</v>
      </c>
      <c r="O848" s="382">
        <f t="shared" si="134"/>
        <v>2.732944329183956</v>
      </c>
      <c r="P848" s="420">
        <f t="shared" si="135"/>
        <v>759.8547717842323</v>
      </c>
      <c r="Q848" s="980">
        <f t="shared" si="136"/>
        <v>163.97665975103735</v>
      </c>
      <c r="S848" s="63"/>
      <c r="T848" s="63"/>
    </row>
    <row r="849" spans="1:20" ht="12.75">
      <c r="A849" s="1219"/>
      <c r="B849" s="377">
        <v>4</v>
      </c>
      <c r="C849" s="414" t="s">
        <v>464</v>
      </c>
      <c r="D849" s="377">
        <v>39</v>
      </c>
      <c r="E849" s="377">
        <v>1992</v>
      </c>
      <c r="F849" s="379">
        <f t="shared" si="132"/>
        <v>41.9</v>
      </c>
      <c r="G849" s="379">
        <v>5.3</v>
      </c>
      <c r="H849" s="379">
        <v>6.2</v>
      </c>
      <c r="I849" s="379">
        <v>30.4</v>
      </c>
      <c r="J849" s="380">
        <v>2279.7</v>
      </c>
      <c r="K849" s="379">
        <v>30.4</v>
      </c>
      <c r="L849" s="380">
        <v>2279.7</v>
      </c>
      <c r="M849" s="381">
        <f t="shared" si="133"/>
        <v>0.013335087950168882</v>
      </c>
      <c r="N849" s="382">
        <v>215.8</v>
      </c>
      <c r="O849" s="382">
        <f t="shared" si="134"/>
        <v>2.877711979646445</v>
      </c>
      <c r="P849" s="420">
        <f t="shared" si="135"/>
        <v>800.1052770101329</v>
      </c>
      <c r="Q849" s="980">
        <f t="shared" si="136"/>
        <v>172.6627187787867</v>
      </c>
      <c r="S849" s="63"/>
      <c r="T849" s="63"/>
    </row>
    <row r="850" spans="1:20" ht="12.75">
      <c r="A850" s="1219"/>
      <c r="B850" s="377">
        <v>5</v>
      </c>
      <c r="C850" s="414" t="s">
        <v>466</v>
      </c>
      <c r="D850" s="377">
        <v>20</v>
      </c>
      <c r="E850" s="377">
        <v>1997</v>
      </c>
      <c r="F850" s="379">
        <f t="shared" si="132"/>
        <v>22.2</v>
      </c>
      <c r="G850" s="379">
        <v>2.3</v>
      </c>
      <c r="H850" s="379">
        <v>3.2</v>
      </c>
      <c r="I850" s="379">
        <v>16.7</v>
      </c>
      <c r="J850" s="380">
        <v>1186.4</v>
      </c>
      <c r="K850" s="379">
        <v>16.7</v>
      </c>
      <c r="L850" s="380">
        <v>1186.4</v>
      </c>
      <c r="M850" s="381">
        <f t="shared" si="133"/>
        <v>0.014076196898179365</v>
      </c>
      <c r="N850" s="382">
        <v>215.8</v>
      </c>
      <c r="O850" s="382">
        <f t="shared" si="134"/>
        <v>3.0376432906271074</v>
      </c>
      <c r="P850" s="420">
        <f t="shared" si="135"/>
        <v>844.5718138907619</v>
      </c>
      <c r="Q850" s="980">
        <f t="shared" si="136"/>
        <v>182.25859743762643</v>
      </c>
      <c r="S850" s="63"/>
      <c r="T850" s="63"/>
    </row>
    <row r="851" spans="1:20" ht="12.75">
      <c r="A851" s="1219"/>
      <c r="B851" s="377">
        <v>6</v>
      </c>
      <c r="C851" s="414" t="s">
        <v>465</v>
      </c>
      <c r="D851" s="377">
        <v>16</v>
      </c>
      <c r="E851" s="377">
        <v>1991</v>
      </c>
      <c r="F851" s="379">
        <f t="shared" si="132"/>
        <v>20.8</v>
      </c>
      <c r="G851" s="379">
        <v>2.4</v>
      </c>
      <c r="H851" s="379">
        <v>2.6</v>
      </c>
      <c r="I851" s="379">
        <v>15.8</v>
      </c>
      <c r="J851" s="380">
        <v>1070.04</v>
      </c>
      <c r="K851" s="379">
        <v>15.8</v>
      </c>
      <c r="L851" s="380">
        <v>1070.04</v>
      </c>
      <c r="M851" s="381">
        <f t="shared" si="133"/>
        <v>0.014765803147545888</v>
      </c>
      <c r="N851" s="382">
        <v>215.8</v>
      </c>
      <c r="O851" s="382">
        <f t="shared" si="134"/>
        <v>3.186460319240403</v>
      </c>
      <c r="P851" s="420">
        <f t="shared" si="135"/>
        <v>885.9481888527533</v>
      </c>
      <c r="Q851" s="980">
        <f t="shared" si="136"/>
        <v>191.18761915442417</v>
      </c>
      <c r="S851" s="63"/>
      <c r="T851" s="63"/>
    </row>
    <row r="852" spans="1:20" ht="12.75">
      <c r="A852" s="1219"/>
      <c r="B852" s="377">
        <v>7</v>
      </c>
      <c r="C852" s="414" t="s">
        <v>473</v>
      </c>
      <c r="D852" s="377">
        <v>40</v>
      </c>
      <c r="E852" s="377">
        <v>1980</v>
      </c>
      <c r="F852" s="379">
        <f t="shared" si="132"/>
        <v>45.400000000000006</v>
      </c>
      <c r="G852" s="379">
        <v>4.8</v>
      </c>
      <c r="H852" s="379">
        <v>6.4</v>
      </c>
      <c r="I852" s="379">
        <v>34.2</v>
      </c>
      <c r="J852" s="380">
        <v>2208.76</v>
      </c>
      <c r="K852" s="379">
        <v>34.2</v>
      </c>
      <c r="L852" s="380">
        <v>2208.8</v>
      </c>
      <c r="M852" s="419">
        <f t="shared" si="133"/>
        <v>0.015483520463600145</v>
      </c>
      <c r="N852" s="420">
        <v>215.8</v>
      </c>
      <c r="O852" s="420">
        <f t="shared" si="134"/>
        <v>3.3413437160449115</v>
      </c>
      <c r="P852" s="420">
        <f t="shared" si="135"/>
        <v>929.0112278160087</v>
      </c>
      <c r="Q852" s="980">
        <f t="shared" si="136"/>
        <v>200.4806229626947</v>
      </c>
      <c r="S852" s="63"/>
      <c r="T852" s="63"/>
    </row>
    <row r="853" spans="1:20" ht="12.75">
      <c r="A853" s="1219"/>
      <c r="B853" s="377">
        <v>8</v>
      </c>
      <c r="C853" s="414" t="s">
        <v>469</v>
      </c>
      <c r="D853" s="377">
        <v>50</v>
      </c>
      <c r="E853" s="377">
        <v>1978</v>
      </c>
      <c r="F853" s="417">
        <f t="shared" si="132"/>
        <v>54.1</v>
      </c>
      <c r="G853" s="379">
        <v>5.5</v>
      </c>
      <c r="H853" s="379">
        <v>8</v>
      </c>
      <c r="I853" s="379">
        <v>40.6</v>
      </c>
      <c r="J853" s="380">
        <v>2609.15</v>
      </c>
      <c r="K853" s="379">
        <v>40.6</v>
      </c>
      <c r="L853" s="380">
        <v>2609.1</v>
      </c>
      <c r="M853" s="381">
        <f t="shared" si="133"/>
        <v>0.015560921390517804</v>
      </c>
      <c r="N853" s="420">
        <v>215.8</v>
      </c>
      <c r="O853" s="420">
        <f t="shared" si="134"/>
        <v>3.358046836073742</v>
      </c>
      <c r="P853" s="420">
        <f t="shared" si="135"/>
        <v>933.6552834310683</v>
      </c>
      <c r="Q853" s="980">
        <f t="shared" si="136"/>
        <v>201.48281016442454</v>
      </c>
      <c r="S853" s="63"/>
      <c r="T853" s="63"/>
    </row>
    <row r="854" spans="1:20" ht="12.75">
      <c r="A854" s="1219"/>
      <c r="B854" s="377">
        <v>9</v>
      </c>
      <c r="C854" s="414" t="s">
        <v>471</v>
      </c>
      <c r="D854" s="377">
        <v>20</v>
      </c>
      <c r="E854" s="377">
        <v>1979</v>
      </c>
      <c r="F854" s="417">
        <f t="shared" si="132"/>
        <v>22.099999999999998</v>
      </c>
      <c r="G854" s="379">
        <v>1.6</v>
      </c>
      <c r="H854" s="379">
        <v>3.1</v>
      </c>
      <c r="I854" s="379">
        <v>17.4</v>
      </c>
      <c r="J854" s="380">
        <v>1073.91</v>
      </c>
      <c r="K854" s="379">
        <v>17.4</v>
      </c>
      <c r="L854" s="380">
        <v>1073.9</v>
      </c>
      <c r="M854" s="381">
        <f t="shared" si="133"/>
        <v>0.016202625942825215</v>
      </c>
      <c r="N854" s="420">
        <v>215.8</v>
      </c>
      <c r="O854" s="420">
        <f t="shared" si="134"/>
        <v>3.4965266784616817</v>
      </c>
      <c r="P854" s="420">
        <f t="shared" si="135"/>
        <v>972.157556569513</v>
      </c>
      <c r="Q854" s="980">
        <f t="shared" si="136"/>
        <v>209.7916007077009</v>
      </c>
      <c r="S854" s="63"/>
      <c r="T854" s="63"/>
    </row>
    <row r="855" spans="1:20" ht="13.5" customHeight="1" thickBot="1">
      <c r="A855" s="1220"/>
      <c r="B855" s="388">
        <v>10</v>
      </c>
      <c r="C855" s="422" t="s">
        <v>468</v>
      </c>
      <c r="D855" s="388">
        <v>50</v>
      </c>
      <c r="E855" s="388">
        <v>1969</v>
      </c>
      <c r="F855" s="389">
        <f t="shared" si="132"/>
        <v>54.6</v>
      </c>
      <c r="G855" s="389">
        <v>4.5</v>
      </c>
      <c r="H855" s="389">
        <v>7.9</v>
      </c>
      <c r="I855" s="389">
        <v>42.2</v>
      </c>
      <c r="J855" s="390">
        <v>2573.06</v>
      </c>
      <c r="K855" s="389">
        <v>42.2</v>
      </c>
      <c r="L855" s="390">
        <v>2573.1</v>
      </c>
      <c r="M855" s="391">
        <f t="shared" si="133"/>
        <v>0.01640045081807936</v>
      </c>
      <c r="N855" s="392">
        <v>215.8</v>
      </c>
      <c r="O855" s="392">
        <f t="shared" si="134"/>
        <v>3.5392172865415263</v>
      </c>
      <c r="P855" s="392">
        <f t="shared" si="135"/>
        <v>984.0270490847616</v>
      </c>
      <c r="Q855" s="816">
        <f t="shared" si="136"/>
        <v>212.35303719249157</v>
      </c>
      <c r="S855" s="63"/>
      <c r="T855" s="63"/>
    </row>
    <row r="856" spans="1:20" ht="13.5" customHeight="1">
      <c r="A856" s="1261" t="s">
        <v>30</v>
      </c>
      <c r="B856" s="564">
        <v>1</v>
      </c>
      <c r="C856" s="573" t="s">
        <v>470</v>
      </c>
      <c r="D856" s="574">
        <v>50</v>
      </c>
      <c r="E856" s="574">
        <v>1973</v>
      </c>
      <c r="F856" s="765">
        <f t="shared" si="132"/>
        <v>57.2</v>
      </c>
      <c r="G856" s="765">
        <v>7.8</v>
      </c>
      <c r="H856" s="765">
        <v>7.8</v>
      </c>
      <c r="I856" s="765">
        <v>41.6</v>
      </c>
      <c r="J856" s="768">
        <v>2510.26</v>
      </c>
      <c r="K856" s="765">
        <v>41.6</v>
      </c>
      <c r="L856" s="768">
        <v>2510.3</v>
      </c>
      <c r="M856" s="982">
        <f t="shared" si="133"/>
        <v>0.016571724495080268</v>
      </c>
      <c r="N856" s="981">
        <v>215.8</v>
      </c>
      <c r="O856" s="981">
        <f t="shared" si="134"/>
        <v>3.576178146038322</v>
      </c>
      <c r="P856" s="981">
        <f t="shared" si="135"/>
        <v>994.303469704816</v>
      </c>
      <c r="Q856" s="570">
        <f t="shared" si="136"/>
        <v>214.5706887622993</v>
      </c>
      <c r="S856" s="63"/>
      <c r="T856" s="63"/>
    </row>
    <row r="857" spans="1:20" ht="12.75">
      <c r="A857" s="1262"/>
      <c r="B857" s="565">
        <v>2</v>
      </c>
      <c r="C857" s="575" t="s">
        <v>467</v>
      </c>
      <c r="D857" s="565">
        <v>35</v>
      </c>
      <c r="E857" s="565">
        <v>1993</v>
      </c>
      <c r="F857" s="566">
        <f t="shared" si="132"/>
        <v>47.9</v>
      </c>
      <c r="G857" s="566">
        <v>4</v>
      </c>
      <c r="H857" s="566">
        <v>5.6</v>
      </c>
      <c r="I857" s="566">
        <v>38.3</v>
      </c>
      <c r="J857" s="567">
        <v>2275.2</v>
      </c>
      <c r="K857" s="566">
        <v>38.3</v>
      </c>
      <c r="L857" s="567">
        <v>2275.2</v>
      </c>
      <c r="M857" s="568">
        <f t="shared" si="133"/>
        <v>0.01683368495077356</v>
      </c>
      <c r="N857" s="569">
        <v>215.8</v>
      </c>
      <c r="O857" s="569">
        <f t="shared" si="134"/>
        <v>3.632709212376934</v>
      </c>
      <c r="P857" s="569">
        <f t="shared" si="135"/>
        <v>1010.0210970464136</v>
      </c>
      <c r="Q857" s="884">
        <f t="shared" si="136"/>
        <v>217.96255274261603</v>
      </c>
      <c r="S857" s="63"/>
      <c r="T857" s="63"/>
    </row>
    <row r="858" spans="1:20" ht="12.75">
      <c r="A858" s="1262"/>
      <c r="B858" s="565">
        <v>3</v>
      </c>
      <c r="C858" s="575" t="s">
        <v>475</v>
      </c>
      <c r="D858" s="565">
        <v>28</v>
      </c>
      <c r="E858" s="565">
        <v>1998</v>
      </c>
      <c r="F858" s="765">
        <f t="shared" si="132"/>
        <v>27.700000000000003</v>
      </c>
      <c r="G858" s="566">
        <v>1.7</v>
      </c>
      <c r="H858" s="566">
        <v>4.4</v>
      </c>
      <c r="I858" s="566">
        <v>21.6</v>
      </c>
      <c r="J858" s="567">
        <v>1228.24</v>
      </c>
      <c r="K858" s="566">
        <v>21.6</v>
      </c>
      <c r="L858" s="567">
        <v>1228.2</v>
      </c>
      <c r="M858" s="982">
        <f t="shared" si="133"/>
        <v>0.017586712261846604</v>
      </c>
      <c r="N858" s="983">
        <v>215.8</v>
      </c>
      <c r="O858" s="569">
        <f t="shared" si="134"/>
        <v>3.7952125061064974</v>
      </c>
      <c r="P858" s="569">
        <f t="shared" si="135"/>
        <v>1055.2027357107963</v>
      </c>
      <c r="Q858" s="884">
        <f t="shared" si="136"/>
        <v>227.71275036638986</v>
      </c>
      <c r="S858" s="63"/>
      <c r="T858" s="63"/>
    </row>
    <row r="859" spans="1:20" ht="12.75">
      <c r="A859" s="1262"/>
      <c r="B859" s="565">
        <v>4</v>
      </c>
      <c r="C859" s="575" t="s">
        <v>474</v>
      </c>
      <c r="D859" s="565">
        <v>40</v>
      </c>
      <c r="E859" s="565">
        <v>1975</v>
      </c>
      <c r="F859" s="765">
        <f t="shared" si="132"/>
        <v>48.699999999999996</v>
      </c>
      <c r="G859" s="566">
        <v>2</v>
      </c>
      <c r="H859" s="566">
        <v>6.4</v>
      </c>
      <c r="I859" s="566">
        <v>40.3</v>
      </c>
      <c r="J859" s="567">
        <v>2260.93</v>
      </c>
      <c r="K859" s="566">
        <v>40.3</v>
      </c>
      <c r="L859" s="567">
        <v>2260.9</v>
      </c>
      <c r="M859" s="568">
        <f t="shared" si="133"/>
        <v>0.017824760051307</v>
      </c>
      <c r="N859" s="981">
        <v>215.8</v>
      </c>
      <c r="O859" s="981">
        <f t="shared" si="134"/>
        <v>3.8465832190720506</v>
      </c>
      <c r="P859" s="569">
        <f t="shared" si="135"/>
        <v>1069.48560307842</v>
      </c>
      <c r="Q859" s="884">
        <f t="shared" si="136"/>
        <v>230.79499314432303</v>
      </c>
      <c r="S859" s="63"/>
      <c r="T859" s="63"/>
    </row>
    <row r="860" spans="1:20" ht="12.75">
      <c r="A860" s="1262"/>
      <c r="B860" s="565">
        <v>5</v>
      </c>
      <c r="C860" s="575" t="s">
        <v>472</v>
      </c>
      <c r="D860" s="565">
        <v>10</v>
      </c>
      <c r="E860" s="565">
        <v>1968</v>
      </c>
      <c r="F860" s="765">
        <f t="shared" si="132"/>
        <v>14.9</v>
      </c>
      <c r="G860" s="566">
        <v>0.9</v>
      </c>
      <c r="H860" s="566">
        <v>1.6</v>
      </c>
      <c r="I860" s="566">
        <v>12.4</v>
      </c>
      <c r="J860" s="567">
        <v>662.08</v>
      </c>
      <c r="K860" s="566">
        <v>12.4</v>
      </c>
      <c r="L860" s="567">
        <v>665.81</v>
      </c>
      <c r="M860" s="568">
        <f t="shared" si="133"/>
        <v>0.01862393175230171</v>
      </c>
      <c r="N860" s="981">
        <v>215.8</v>
      </c>
      <c r="O860" s="981">
        <f t="shared" si="134"/>
        <v>4.019044472146709</v>
      </c>
      <c r="P860" s="569">
        <f t="shared" si="135"/>
        <v>1117.4359051381027</v>
      </c>
      <c r="Q860" s="570">
        <f t="shared" si="136"/>
        <v>241.14266832880256</v>
      </c>
      <c r="S860" s="63"/>
      <c r="T860" s="63"/>
    </row>
    <row r="861" spans="1:20" ht="12.75">
      <c r="A861" s="1262"/>
      <c r="B861" s="565">
        <v>6</v>
      </c>
      <c r="C861" s="575" t="s">
        <v>479</v>
      </c>
      <c r="D861" s="565">
        <v>28</v>
      </c>
      <c r="E861" s="565">
        <v>1969</v>
      </c>
      <c r="F861" s="765">
        <f t="shared" si="132"/>
        <v>25.3</v>
      </c>
      <c r="G861" s="566">
        <v>4</v>
      </c>
      <c r="H861" s="566">
        <v>0.3</v>
      </c>
      <c r="I861" s="566">
        <v>21</v>
      </c>
      <c r="J861" s="567">
        <v>917.1</v>
      </c>
      <c r="K861" s="566">
        <v>21</v>
      </c>
      <c r="L861" s="567">
        <v>917.1</v>
      </c>
      <c r="M861" s="982">
        <f t="shared" si="133"/>
        <v>0.02289826627412496</v>
      </c>
      <c r="N861" s="981">
        <v>215.8</v>
      </c>
      <c r="O861" s="981">
        <f t="shared" si="134"/>
        <v>4.941445861956167</v>
      </c>
      <c r="P861" s="569">
        <f t="shared" si="135"/>
        <v>1373.8959764474976</v>
      </c>
      <c r="Q861" s="984">
        <f t="shared" si="136"/>
        <v>296.48675171737</v>
      </c>
      <c r="S861" s="63"/>
      <c r="T861" s="63"/>
    </row>
    <row r="862" spans="1:20" ht="12.75">
      <c r="A862" s="1262"/>
      <c r="B862" s="565">
        <v>7</v>
      </c>
      <c r="C862" s="888"/>
      <c r="D862" s="889"/>
      <c r="E862" s="889"/>
      <c r="F862" s="890"/>
      <c r="G862" s="890"/>
      <c r="H862" s="890"/>
      <c r="I862" s="890"/>
      <c r="J862" s="891"/>
      <c r="K862" s="890"/>
      <c r="L862" s="891"/>
      <c r="M862" s="892"/>
      <c r="N862" s="893"/>
      <c r="O862" s="893"/>
      <c r="P862" s="894"/>
      <c r="Q862" s="895"/>
      <c r="S862" s="63"/>
      <c r="T862" s="63"/>
    </row>
    <row r="863" spans="1:20" ht="12.75">
      <c r="A863" s="1262"/>
      <c r="B863" s="565">
        <v>8</v>
      </c>
      <c r="C863" s="888"/>
      <c r="D863" s="889"/>
      <c r="E863" s="889"/>
      <c r="F863" s="890"/>
      <c r="G863" s="890"/>
      <c r="H863" s="890"/>
      <c r="I863" s="890"/>
      <c r="J863" s="891"/>
      <c r="K863" s="890"/>
      <c r="L863" s="891"/>
      <c r="M863" s="892"/>
      <c r="N863" s="893"/>
      <c r="O863" s="893"/>
      <c r="P863" s="893"/>
      <c r="Q863" s="896"/>
      <c r="S863" s="63"/>
      <c r="T863" s="63"/>
    </row>
    <row r="864" spans="1:20" ht="12.75">
      <c r="A864" s="1262"/>
      <c r="B864" s="565">
        <v>9</v>
      </c>
      <c r="C864" s="897"/>
      <c r="D864" s="898"/>
      <c r="E864" s="898"/>
      <c r="F864" s="849"/>
      <c r="G864" s="849"/>
      <c r="H864" s="849"/>
      <c r="I864" s="849"/>
      <c r="J864" s="758"/>
      <c r="K864" s="849"/>
      <c r="L864" s="758"/>
      <c r="M864" s="749"/>
      <c r="N864" s="750"/>
      <c r="O864" s="751"/>
      <c r="P864" s="751"/>
      <c r="Q864" s="752"/>
      <c r="S864" s="63"/>
      <c r="T864" s="63"/>
    </row>
    <row r="865" spans="1:20" ht="13.5" thickBot="1">
      <c r="A865" s="1263"/>
      <c r="B865" s="529">
        <v>10</v>
      </c>
      <c r="C865" s="899"/>
      <c r="D865" s="850"/>
      <c r="E865" s="850"/>
      <c r="F865" s="900"/>
      <c r="G865" s="900"/>
      <c r="H865" s="900"/>
      <c r="I865" s="900"/>
      <c r="J865" s="901"/>
      <c r="K865" s="900"/>
      <c r="L865" s="901"/>
      <c r="M865" s="902"/>
      <c r="N865" s="903"/>
      <c r="O865" s="904"/>
      <c r="P865" s="762"/>
      <c r="Q865" s="905"/>
      <c r="S865" s="63"/>
      <c r="T865" s="63"/>
    </row>
    <row r="866" spans="1:20" ht="12.75" customHeight="1">
      <c r="A866" s="1245" t="s">
        <v>12</v>
      </c>
      <c r="B866" s="359">
        <v>1</v>
      </c>
      <c r="C866" s="35" t="s">
        <v>480</v>
      </c>
      <c r="D866" s="27">
        <v>9</v>
      </c>
      <c r="E866" s="27" t="s">
        <v>481</v>
      </c>
      <c r="F866" s="300">
        <f aca="true" t="shared" si="137" ref="F866:F873">SUM(G866+H866+I866)</f>
        <v>5.9</v>
      </c>
      <c r="G866" s="288">
        <v>0</v>
      </c>
      <c r="H866" s="288">
        <v>0</v>
      </c>
      <c r="I866" s="288">
        <v>5.9</v>
      </c>
      <c r="J866" s="302">
        <v>255.12</v>
      </c>
      <c r="K866" s="288">
        <v>5.9</v>
      </c>
      <c r="L866" s="302">
        <v>255.1</v>
      </c>
      <c r="M866" s="812">
        <f aca="true" t="shared" si="138" ref="M866:M873">SUM(K866/L866)</f>
        <v>0.023128185025480207</v>
      </c>
      <c r="N866" s="769">
        <v>215.8</v>
      </c>
      <c r="O866" s="769">
        <f aca="true" t="shared" si="139" ref="O866:O873">SUM(M866*N866)</f>
        <v>4.991062328498629</v>
      </c>
      <c r="P866" s="555">
        <f aca="true" t="shared" si="140" ref="P866:P873">M866*60*1000</f>
        <v>1387.6911015288124</v>
      </c>
      <c r="Q866" s="985">
        <f aca="true" t="shared" si="141" ref="Q866:Q873">SUM(O866*60)</f>
        <v>299.4637397099177</v>
      </c>
      <c r="S866" s="63"/>
      <c r="T866" s="63"/>
    </row>
    <row r="867" spans="1:20" ht="12.75">
      <c r="A867" s="1246"/>
      <c r="B867" s="360">
        <v>2</v>
      </c>
      <c r="C867" s="36" t="s">
        <v>477</v>
      </c>
      <c r="D867" s="29">
        <v>12</v>
      </c>
      <c r="E867" s="29">
        <v>1963</v>
      </c>
      <c r="F867" s="162">
        <f t="shared" si="137"/>
        <v>15.7</v>
      </c>
      <c r="G867" s="162">
        <v>1</v>
      </c>
      <c r="H867" s="162">
        <v>1.7</v>
      </c>
      <c r="I867" s="162">
        <v>13</v>
      </c>
      <c r="J867" s="286">
        <v>533.92</v>
      </c>
      <c r="K867" s="162">
        <v>13</v>
      </c>
      <c r="L867" s="286">
        <v>533.9</v>
      </c>
      <c r="M867" s="232">
        <f t="shared" si="138"/>
        <v>0.02434912905038397</v>
      </c>
      <c r="N867" s="144">
        <v>215.8</v>
      </c>
      <c r="O867" s="144">
        <f t="shared" si="139"/>
        <v>5.25454204907286</v>
      </c>
      <c r="P867" s="144">
        <f t="shared" si="140"/>
        <v>1460.9477430230381</v>
      </c>
      <c r="Q867" s="985">
        <f t="shared" si="141"/>
        <v>315.27252294437164</v>
      </c>
      <c r="S867" s="63"/>
      <c r="T867" s="63"/>
    </row>
    <row r="868" spans="1:20" ht="12.75">
      <c r="A868" s="1246"/>
      <c r="B868" s="360">
        <v>3</v>
      </c>
      <c r="C868" s="36" t="s">
        <v>478</v>
      </c>
      <c r="D868" s="29">
        <v>8</v>
      </c>
      <c r="E868" s="29">
        <v>1962</v>
      </c>
      <c r="F868" s="162">
        <f t="shared" si="137"/>
        <v>10.450000000000001</v>
      </c>
      <c r="G868" s="162">
        <v>0.5</v>
      </c>
      <c r="H868" s="162">
        <v>1.3</v>
      </c>
      <c r="I868" s="162">
        <v>8.65</v>
      </c>
      <c r="J868" s="286">
        <v>349.3</v>
      </c>
      <c r="K868" s="162">
        <v>7.6</v>
      </c>
      <c r="L868" s="286">
        <v>305.787</v>
      </c>
      <c r="M868" s="232">
        <f t="shared" si="138"/>
        <v>0.024853901572009274</v>
      </c>
      <c r="N868" s="144">
        <v>215.8</v>
      </c>
      <c r="O868" s="144">
        <f t="shared" si="139"/>
        <v>5.363471959239602</v>
      </c>
      <c r="P868" s="144">
        <f t="shared" si="140"/>
        <v>1491.2340943205563</v>
      </c>
      <c r="Q868" s="985">
        <f t="shared" si="141"/>
        <v>321.8083175543761</v>
      </c>
      <c r="S868" s="63"/>
      <c r="T868" s="63"/>
    </row>
    <row r="869" spans="1:20" ht="12.75">
      <c r="A869" s="1246"/>
      <c r="B869" s="360">
        <v>4</v>
      </c>
      <c r="C869" s="36" t="s">
        <v>476</v>
      </c>
      <c r="D869" s="29">
        <v>34</v>
      </c>
      <c r="E869" s="29">
        <v>1964</v>
      </c>
      <c r="F869" s="162">
        <f t="shared" si="137"/>
        <v>30.4</v>
      </c>
      <c r="G869" s="162">
        <v>2</v>
      </c>
      <c r="H869" s="162">
        <v>0.2</v>
      </c>
      <c r="I869" s="162">
        <v>28.2</v>
      </c>
      <c r="J869" s="286">
        <v>1101.75</v>
      </c>
      <c r="K869" s="162">
        <v>28.2</v>
      </c>
      <c r="L869" s="286">
        <v>1101.8</v>
      </c>
      <c r="M869" s="232">
        <f t="shared" si="138"/>
        <v>0.025594481757124705</v>
      </c>
      <c r="N869" s="144">
        <v>215.8</v>
      </c>
      <c r="O869" s="144">
        <f t="shared" si="139"/>
        <v>5.523289163187512</v>
      </c>
      <c r="P869" s="144">
        <f t="shared" si="140"/>
        <v>1535.6689054274823</v>
      </c>
      <c r="Q869" s="985">
        <f t="shared" si="141"/>
        <v>331.3973497912507</v>
      </c>
      <c r="S869" s="63"/>
      <c r="T869" s="63"/>
    </row>
    <row r="870" spans="1:20" ht="12.75">
      <c r="A870" s="1246"/>
      <c r="B870" s="360">
        <v>5</v>
      </c>
      <c r="C870" s="36" t="s">
        <v>484</v>
      </c>
      <c r="D870" s="29">
        <v>8</v>
      </c>
      <c r="E870" s="29">
        <v>1959</v>
      </c>
      <c r="F870" s="162">
        <f t="shared" si="137"/>
        <v>7.8</v>
      </c>
      <c r="G870" s="162">
        <v>0</v>
      </c>
      <c r="H870" s="162">
        <v>0</v>
      </c>
      <c r="I870" s="162">
        <v>7.8</v>
      </c>
      <c r="J870" s="286">
        <v>303.83</v>
      </c>
      <c r="K870" s="162">
        <v>6.6</v>
      </c>
      <c r="L870" s="286">
        <v>256.9</v>
      </c>
      <c r="M870" s="232">
        <f t="shared" si="138"/>
        <v>0.025690930323082912</v>
      </c>
      <c r="N870" s="144">
        <v>215.8</v>
      </c>
      <c r="O870" s="144">
        <f t="shared" si="139"/>
        <v>5.544102763721293</v>
      </c>
      <c r="P870" s="144">
        <f t="shared" si="140"/>
        <v>1541.4558193849748</v>
      </c>
      <c r="Q870" s="985">
        <f t="shared" si="141"/>
        <v>332.64616582327756</v>
      </c>
      <c r="S870" s="63"/>
      <c r="T870" s="63"/>
    </row>
    <row r="871" spans="1:20" ht="12.75">
      <c r="A871" s="1246"/>
      <c r="B871" s="360">
        <v>6</v>
      </c>
      <c r="C871" s="36" t="s">
        <v>483</v>
      </c>
      <c r="D871" s="29">
        <v>6</v>
      </c>
      <c r="E871" s="29" t="s">
        <v>481</v>
      </c>
      <c r="F871" s="162">
        <f t="shared" si="137"/>
        <v>8.3</v>
      </c>
      <c r="G871" s="162">
        <v>0.7</v>
      </c>
      <c r="H871" s="162">
        <v>0.9</v>
      </c>
      <c r="I871" s="162">
        <v>6.7</v>
      </c>
      <c r="J871" s="286">
        <v>252.5</v>
      </c>
      <c r="K871" s="162">
        <v>6.7</v>
      </c>
      <c r="L871" s="286">
        <v>252.5</v>
      </c>
      <c r="M871" s="232">
        <f t="shared" si="138"/>
        <v>0.026534653465346534</v>
      </c>
      <c r="N871" s="144">
        <v>215.8</v>
      </c>
      <c r="O871" s="144">
        <f t="shared" si="139"/>
        <v>5.726178217821782</v>
      </c>
      <c r="P871" s="144">
        <f t="shared" si="140"/>
        <v>1592.079207920792</v>
      </c>
      <c r="Q871" s="985">
        <f t="shared" si="141"/>
        <v>343.5706930693069</v>
      </c>
      <c r="S871" s="63"/>
      <c r="T871" s="63"/>
    </row>
    <row r="872" spans="1:20" ht="12.75">
      <c r="A872" s="1246"/>
      <c r="B872" s="29">
        <v>7</v>
      </c>
      <c r="C872" s="36" t="s">
        <v>482</v>
      </c>
      <c r="D872" s="29">
        <v>12</v>
      </c>
      <c r="E872" s="29">
        <v>1962</v>
      </c>
      <c r="F872" s="162">
        <f t="shared" si="137"/>
        <v>16.7</v>
      </c>
      <c r="G872" s="162">
        <v>0.5</v>
      </c>
      <c r="H872" s="162">
        <v>1.8</v>
      </c>
      <c r="I872" s="162">
        <v>14.4</v>
      </c>
      <c r="J872" s="286">
        <v>538</v>
      </c>
      <c r="K872" s="162">
        <v>12.1</v>
      </c>
      <c r="L872" s="286">
        <v>451.7</v>
      </c>
      <c r="M872" s="232">
        <f t="shared" si="138"/>
        <v>0.026787690945317688</v>
      </c>
      <c r="N872" s="144">
        <v>215.8</v>
      </c>
      <c r="O872" s="144">
        <f t="shared" si="139"/>
        <v>5.780783705999557</v>
      </c>
      <c r="P872" s="144">
        <f t="shared" si="140"/>
        <v>1607.2614567190612</v>
      </c>
      <c r="Q872" s="985">
        <f t="shared" si="141"/>
        <v>346.84702235997344</v>
      </c>
      <c r="S872" s="63"/>
      <c r="T872" s="63"/>
    </row>
    <row r="873" spans="1:20" ht="13.5" thickBot="1">
      <c r="A873" s="1247"/>
      <c r="B873" s="828">
        <v>8</v>
      </c>
      <c r="C873" s="37" t="s">
        <v>485</v>
      </c>
      <c r="D873" s="33">
        <v>12</v>
      </c>
      <c r="E873" s="33">
        <v>1960</v>
      </c>
      <c r="F873" s="289">
        <f t="shared" si="137"/>
        <v>18.5</v>
      </c>
      <c r="G873" s="289">
        <v>0.7</v>
      </c>
      <c r="H873" s="289">
        <v>1.9</v>
      </c>
      <c r="I873" s="289">
        <v>15.9</v>
      </c>
      <c r="J873" s="292">
        <v>531.53</v>
      </c>
      <c r="K873" s="289">
        <v>14.6</v>
      </c>
      <c r="L873" s="292">
        <v>488.5</v>
      </c>
      <c r="M873" s="245">
        <f t="shared" si="138"/>
        <v>0.029887410440122823</v>
      </c>
      <c r="N873" s="246">
        <v>215.8</v>
      </c>
      <c r="O873" s="246">
        <f t="shared" si="139"/>
        <v>6.449703172978506</v>
      </c>
      <c r="P873" s="246">
        <f t="shared" si="140"/>
        <v>1793.2446264073694</v>
      </c>
      <c r="Q873" s="1138">
        <f t="shared" si="141"/>
        <v>386.98219037871036</v>
      </c>
      <c r="S873" s="63"/>
      <c r="T873" s="63"/>
    </row>
    <row r="874" spans="19:20" ht="12.75">
      <c r="S874" s="63"/>
      <c r="T874" s="63"/>
    </row>
    <row r="875" spans="19:20" ht="12.75">
      <c r="S875" s="63"/>
      <c r="T875" s="63"/>
    </row>
    <row r="876" spans="1:20" ht="15">
      <c r="A876" s="1199" t="s">
        <v>52</v>
      </c>
      <c r="B876" s="1199"/>
      <c r="C876" s="1199"/>
      <c r="D876" s="1199"/>
      <c r="E876" s="1199"/>
      <c r="F876" s="1199"/>
      <c r="G876" s="1199"/>
      <c r="H876" s="1199"/>
      <c r="I876" s="1199"/>
      <c r="J876" s="1199"/>
      <c r="K876" s="1199"/>
      <c r="L876" s="1199"/>
      <c r="M876" s="1199"/>
      <c r="N876" s="1199"/>
      <c r="O876" s="1199"/>
      <c r="P876" s="1199"/>
      <c r="Q876" s="1199"/>
      <c r="S876" s="63"/>
      <c r="T876" s="63"/>
    </row>
    <row r="877" spans="1:20" ht="13.5" thickBot="1">
      <c r="A877" s="1277" t="s">
        <v>838</v>
      </c>
      <c r="B877" s="1278"/>
      <c r="C877" s="1278"/>
      <c r="D877" s="1278"/>
      <c r="E877" s="1278"/>
      <c r="F877" s="1278"/>
      <c r="G877" s="1278"/>
      <c r="H877" s="1278"/>
      <c r="I877" s="1278"/>
      <c r="J877" s="1278"/>
      <c r="K877" s="1278"/>
      <c r="L877" s="1278"/>
      <c r="M877" s="1278"/>
      <c r="N877" s="1278"/>
      <c r="O877" s="1278"/>
      <c r="P877" s="1278"/>
      <c r="Q877" s="1278"/>
      <c r="S877" s="63"/>
      <c r="T877" s="63"/>
    </row>
    <row r="878" spans="1:20" ht="12.75" customHeight="1">
      <c r="A878" s="1201" t="s">
        <v>1</v>
      </c>
      <c r="B878" s="1203" t="s">
        <v>0</v>
      </c>
      <c r="C878" s="1193" t="s">
        <v>2</v>
      </c>
      <c r="D878" s="1193" t="s">
        <v>3</v>
      </c>
      <c r="E878" s="1193" t="s">
        <v>13</v>
      </c>
      <c r="F878" s="1207" t="s">
        <v>14</v>
      </c>
      <c r="G878" s="1208"/>
      <c r="H878" s="1208"/>
      <c r="I878" s="1209"/>
      <c r="J878" s="1193" t="s">
        <v>4</v>
      </c>
      <c r="K878" s="1193" t="s">
        <v>15</v>
      </c>
      <c r="L878" s="1193" t="s">
        <v>5</v>
      </c>
      <c r="M878" s="1193" t="s">
        <v>6</v>
      </c>
      <c r="N878" s="1193" t="s">
        <v>16</v>
      </c>
      <c r="O878" s="1193" t="s">
        <v>17</v>
      </c>
      <c r="P878" s="1239" t="s">
        <v>25</v>
      </c>
      <c r="Q878" s="1197" t="s">
        <v>26</v>
      </c>
      <c r="S878" s="63"/>
      <c r="T878" s="63"/>
    </row>
    <row r="879" spans="1:20" s="2" customFormat="1" ht="33.75">
      <c r="A879" s="1202"/>
      <c r="B879" s="1204"/>
      <c r="C879" s="1205"/>
      <c r="D879" s="1194"/>
      <c r="E879" s="1194"/>
      <c r="F879" s="26" t="s">
        <v>18</v>
      </c>
      <c r="G879" s="26" t="s">
        <v>19</v>
      </c>
      <c r="H879" s="26" t="s">
        <v>20</v>
      </c>
      <c r="I879" s="26" t="s">
        <v>21</v>
      </c>
      <c r="J879" s="1194"/>
      <c r="K879" s="1194"/>
      <c r="L879" s="1194"/>
      <c r="M879" s="1194"/>
      <c r="N879" s="1194"/>
      <c r="O879" s="1194"/>
      <c r="P879" s="1240"/>
      <c r="Q879" s="1198"/>
      <c r="S879" s="63"/>
      <c r="T879" s="63"/>
    </row>
    <row r="880" spans="1:20" s="3" customFormat="1" ht="13.5" customHeight="1" thickBot="1">
      <c r="A880" s="1202"/>
      <c r="B880" s="1204"/>
      <c r="C880" s="1206"/>
      <c r="D880" s="42" t="s">
        <v>7</v>
      </c>
      <c r="E880" s="42" t="s">
        <v>8</v>
      </c>
      <c r="F880" s="42" t="s">
        <v>9</v>
      </c>
      <c r="G880" s="42" t="s">
        <v>9</v>
      </c>
      <c r="H880" s="42" t="s">
        <v>9</v>
      </c>
      <c r="I880" s="42" t="s">
        <v>9</v>
      </c>
      <c r="J880" s="42" t="s">
        <v>22</v>
      </c>
      <c r="K880" s="42" t="s">
        <v>9</v>
      </c>
      <c r="L880" s="42" t="s">
        <v>22</v>
      </c>
      <c r="M880" s="42" t="s">
        <v>23</v>
      </c>
      <c r="N880" s="42" t="s">
        <v>10</v>
      </c>
      <c r="O880" s="42" t="s">
        <v>24</v>
      </c>
      <c r="P880" s="49" t="s">
        <v>27</v>
      </c>
      <c r="Q880" s="44" t="s">
        <v>28</v>
      </c>
      <c r="S880" s="63"/>
      <c r="T880" s="63"/>
    </row>
    <row r="881" spans="1:20" s="67" customFormat="1" ht="12.75" customHeight="1">
      <c r="A881" s="1230" t="s">
        <v>11</v>
      </c>
      <c r="B881" s="71">
        <v>1</v>
      </c>
      <c r="C881" s="163" t="s">
        <v>486</v>
      </c>
      <c r="D881" s="126">
        <v>51</v>
      </c>
      <c r="E881" s="126" t="s">
        <v>487</v>
      </c>
      <c r="F881" s="207">
        <v>25.3</v>
      </c>
      <c r="G881" s="207">
        <v>4.328</v>
      </c>
      <c r="H881" s="207">
        <v>7.84</v>
      </c>
      <c r="I881" s="207">
        <v>13.232</v>
      </c>
      <c r="J881" s="219">
        <v>2586.98</v>
      </c>
      <c r="K881" s="207">
        <v>13.2</v>
      </c>
      <c r="L881" s="219">
        <v>2587</v>
      </c>
      <c r="M881" s="139">
        <f aca="true" t="shared" si="142" ref="M881:M887">K881/L881</f>
        <v>0.005102435253189022</v>
      </c>
      <c r="N881" s="109">
        <v>224.1</v>
      </c>
      <c r="O881" s="130">
        <f aca="true" t="shared" si="143" ref="O881:O887">M881*N881</f>
        <v>1.1434557402396597</v>
      </c>
      <c r="P881" s="130">
        <f aca="true" t="shared" si="144" ref="P881:P887">M881*60*1000</f>
        <v>306.14611519134127</v>
      </c>
      <c r="Q881" s="164">
        <f aca="true" t="shared" si="145" ref="Q881:Q887">P881*N881/1000</f>
        <v>68.60734441437958</v>
      </c>
      <c r="S881" s="63"/>
      <c r="T881" s="63"/>
    </row>
    <row r="882" spans="1:20" s="67" customFormat="1" ht="13.5" customHeight="1">
      <c r="A882" s="1281"/>
      <c r="B882" s="66">
        <v>2</v>
      </c>
      <c r="C882" s="125" t="s">
        <v>839</v>
      </c>
      <c r="D882" s="99">
        <v>60</v>
      </c>
      <c r="E882" s="99">
        <v>1967</v>
      </c>
      <c r="F882" s="202">
        <v>28.3</v>
      </c>
      <c r="G882" s="202">
        <v>5.12</v>
      </c>
      <c r="H882" s="202">
        <v>9.6</v>
      </c>
      <c r="I882" s="202">
        <v>13.58</v>
      </c>
      <c r="J882" s="220">
        <v>2298.15</v>
      </c>
      <c r="K882" s="202">
        <v>13.6</v>
      </c>
      <c r="L882" s="220">
        <v>2298.2</v>
      </c>
      <c r="M882" s="108">
        <f t="shared" si="142"/>
        <v>0.005917674701940649</v>
      </c>
      <c r="N882" s="109">
        <v>224.1</v>
      </c>
      <c r="O882" s="110">
        <f t="shared" si="143"/>
        <v>1.3261509007048995</v>
      </c>
      <c r="P882" s="130">
        <f t="shared" si="144"/>
        <v>355.06048211643895</v>
      </c>
      <c r="Q882" s="111">
        <f t="shared" si="145"/>
        <v>79.56905404229397</v>
      </c>
      <c r="S882" s="63"/>
      <c r="T882" s="63"/>
    </row>
    <row r="883" spans="1:20" s="67" customFormat="1" ht="12.75" customHeight="1">
      <c r="A883" s="1281"/>
      <c r="B883" s="66">
        <v>3</v>
      </c>
      <c r="C883" s="125" t="s">
        <v>840</v>
      </c>
      <c r="D883" s="99">
        <v>6</v>
      </c>
      <c r="E883" s="99">
        <v>1956</v>
      </c>
      <c r="F883" s="202">
        <v>3.8</v>
      </c>
      <c r="G883" s="202">
        <v>0.843</v>
      </c>
      <c r="H883" s="202">
        <v>0.96</v>
      </c>
      <c r="I883" s="202">
        <v>1.99</v>
      </c>
      <c r="J883" s="220">
        <v>264.64</v>
      </c>
      <c r="K883" s="202">
        <v>2</v>
      </c>
      <c r="L883" s="220">
        <v>264.6</v>
      </c>
      <c r="M883" s="108">
        <f t="shared" si="142"/>
        <v>0.007558578987150415</v>
      </c>
      <c r="N883" s="109">
        <v>224.1</v>
      </c>
      <c r="O883" s="110">
        <f t="shared" si="143"/>
        <v>1.693877551020408</v>
      </c>
      <c r="P883" s="130">
        <f t="shared" si="144"/>
        <v>453.5147392290249</v>
      </c>
      <c r="Q883" s="111">
        <f t="shared" si="145"/>
        <v>101.63265306122447</v>
      </c>
      <c r="S883" s="63"/>
      <c r="T883" s="63"/>
    </row>
    <row r="884" spans="1:20" ht="12.75" customHeight="1">
      <c r="A884" s="1281"/>
      <c r="B884" s="21">
        <v>4</v>
      </c>
      <c r="C884" s="125" t="s">
        <v>488</v>
      </c>
      <c r="D884" s="99">
        <v>40</v>
      </c>
      <c r="E884" s="99"/>
      <c r="F884" s="202">
        <v>28.4</v>
      </c>
      <c r="G884" s="202">
        <v>3.651</v>
      </c>
      <c r="H884" s="202">
        <v>6.4</v>
      </c>
      <c r="I884" s="202">
        <v>18.349</v>
      </c>
      <c r="J884" s="220">
        <v>2232.79</v>
      </c>
      <c r="K884" s="202">
        <v>18.3</v>
      </c>
      <c r="L884" s="220">
        <v>2232.8</v>
      </c>
      <c r="M884" s="108">
        <f t="shared" si="142"/>
        <v>0.008195987101397349</v>
      </c>
      <c r="N884" s="109">
        <v>224.1</v>
      </c>
      <c r="O884" s="110">
        <f t="shared" si="143"/>
        <v>1.836720709423146</v>
      </c>
      <c r="P884" s="130">
        <f t="shared" si="144"/>
        <v>491.75922608384093</v>
      </c>
      <c r="Q884" s="111">
        <f t="shared" si="145"/>
        <v>110.20324256538875</v>
      </c>
      <c r="S884" s="63"/>
      <c r="T884" s="63"/>
    </row>
    <row r="885" spans="1:20" ht="12.75" customHeight="1">
      <c r="A885" s="1281"/>
      <c r="B885" s="21">
        <v>5</v>
      </c>
      <c r="C885" s="125" t="s">
        <v>841</v>
      </c>
      <c r="D885" s="99">
        <v>48</v>
      </c>
      <c r="E885" s="99" t="s">
        <v>487</v>
      </c>
      <c r="F885" s="202">
        <v>38.3</v>
      </c>
      <c r="G885" s="202">
        <v>3.601</v>
      </c>
      <c r="H885" s="202">
        <v>7.36</v>
      </c>
      <c r="I885" s="202">
        <v>27.304</v>
      </c>
      <c r="J885" s="220">
        <v>2591.49</v>
      </c>
      <c r="K885" s="202">
        <v>27.3</v>
      </c>
      <c r="L885" s="220">
        <v>2591.5</v>
      </c>
      <c r="M885" s="108">
        <f t="shared" si="142"/>
        <v>0.0105344395137951</v>
      </c>
      <c r="N885" s="109">
        <v>224.1</v>
      </c>
      <c r="O885" s="110">
        <f t="shared" si="143"/>
        <v>2.360767895041482</v>
      </c>
      <c r="P885" s="130">
        <f t="shared" si="144"/>
        <v>632.066370827706</v>
      </c>
      <c r="Q885" s="111">
        <f t="shared" si="145"/>
        <v>141.6460737024889</v>
      </c>
      <c r="S885" s="63"/>
      <c r="T885" s="63"/>
    </row>
    <row r="886" spans="1:20" ht="12.75" customHeight="1">
      <c r="A886" s="1281"/>
      <c r="B886" s="21">
        <v>6</v>
      </c>
      <c r="C886" s="125" t="s">
        <v>489</v>
      </c>
      <c r="D886" s="99">
        <v>36</v>
      </c>
      <c r="E886" s="99">
        <v>1967</v>
      </c>
      <c r="F886" s="202">
        <v>27.5</v>
      </c>
      <c r="G886" s="202">
        <v>3.056</v>
      </c>
      <c r="H886" s="202">
        <v>5.76</v>
      </c>
      <c r="I886" s="202">
        <v>18.584</v>
      </c>
      <c r="J886" s="220">
        <v>1500.89</v>
      </c>
      <c r="K886" s="202">
        <v>18.6</v>
      </c>
      <c r="L886" s="220">
        <v>1500.9</v>
      </c>
      <c r="M886" s="108">
        <f t="shared" si="142"/>
        <v>0.012392564461323207</v>
      </c>
      <c r="N886" s="109">
        <v>224.1</v>
      </c>
      <c r="O886" s="110">
        <f t="shared" si="143"/>
        <v>2.7771736957825306</v>
      </c>
      <c r="P886" s="130">
        <f t="shared" si="144"/>
        <v>743.5538676793925</v>
      </c>
      <c r="Q886" s="111">
        <f t="shared" si="145"/>
        <v>166.63042174695184</v>
      </c>
      <c r="S886" s="63"/>
      <c r="T886" s="63"/>
    </row>
    <row r="887" spans="1:20" ht="12.75" customHeight="1">
      <c r="A887" s="1281"/>
      <c r="B887" s="21">
        <v>7</v>
      </c>
      <c r="C887" s="125" t="s">
        <v>842</v>
      </c>
      <c r="D887" s="99">
        <v>32</v>
      </c>
      <c r="E887" s="99"/>
      <c r="F887" s="202">
        <v>26</v>
      </c>
      <c r="G887" s="202">
        <v>4.33</v>
      </c>
      <c r="H887" s="202">
        <v>0.32</v>
      </c>
      <c r="I887" s="202">
        <v>21.4</v>
      </c>
      <c r="J887" s="220">
        <v>1692.62</v>
      </c>
      <c r="K887" s="202">
        <v>21.4</v>
      </c>
      <c r="L887" s="220">
        <v>1692.6</v>
      </c>
      <c r="M887" s="108">
        <f t="shared" si="142"/>
        <v>0.012643270707786836</v>
      </c>
      <c r="N887" s="109">
        <v>224.1</v>
      </c>
      <c r="O887" s="110">
        <f t="shared" si="143"/>
        <v>2.83335696561503</v>
      </c>
      <c r="P887" s="130">
        <f t="shared" si="144"/>
        <v>758.5962424672101</v>
      </c>
      <c r="Q887" s="111">
        <f t="shared" si="145"/>
        <v>170.0014179369018</v>
      </c>
      <c r="S887" s="63"/>
      <c r="T887" s="63"/>
    </row>
    <row r="888" spans="1:20" ht="13.5" customHeight="1">
      <c r="A888" s="1281"/>
      <c r="B888" s="21">
        <v>8</v>
      </c>
      <c r="C888" s="125"/>
      <c r="D888" s="99"/>
      <c r="E888" s="99"/>
      <c r="F888" s="202"/>
      <c r="G888" s="202"/>
      <c r="H888" s="202"/>
      <c r="I888" s="202"/>
      <c r="J888" s="220"/>
      <c r="K888" s="202"/>
      <c r="L888" s="220"/>
      <c r="M888" s="108"/>
      <c r="N888" s="109"/>
      <c r="O888" s="110"/>
      <c r="P888" s="130"/>
      <c r="Q888" s="111"/>
      <c r="S888" s="63"/>
      <c r="T888" s="63"/>
    </row>
    <row r="889" spans="1:20" ht="12.75" customHeight="1">
      <c r="A889" s="1281"/>
      <c r="B889" s="21">
        <v>9</v>
      </c>
      <c r="C889" s="125"/>
      <c r="D889" s="99"/>
      <c r="E889" s="99"/>
      <c r="F889" s="202"/>
      <c r="G889" s="202"/>
      <c r="H889" s="202"/>
      <c r="I889" s="202"/>
      <c r="J889" s="220"/>
      <c r="K889" s="202"/>
      <c r="L889" s="220"/>
      <c r="M889" s="108"/>
      <c r="N889" s="109"/>
      <c r="O889" s="110"/>
      <c r="P889" s="130"/>
      <c r="Q889" s="111"/>
      <c r="S889" s="63"/>
      <c r="T889" s="63"/>
    </row>
    <row r="890" spans="1:20" ht="13.5" customHeight="1" thickBot="1">
      <c r="A890" s="1282"/>
      <c r="B890" s="47">
        <v>10</v>
      </c>
      <c r="C890" s="128"/>
      <c r="D890" s="100"/>
      <c r="E890" s="100"/>
      <c r="F890" s="203"/>
      <c r="G890" s="203"/>
      <c r="H890" s="203"/>
      <c r="I890" s="203"/>
      <c r="J890" s="221"/>
      <c r="K890" s="203"/>
      <c r="L890" s="221"/>
      <c r="M890" s="140"/>
      <c r="N890" s="129"/>
      <c r="O890" s="222"/>
      <c r="P890" s="222"/>
      <c r="Q890" s="131"/>
      <c r="S890" s="63"/>
      <c r="T890" s="63"/>
    </row>
    <row r="891" spans="1:20" ht="12.75">
      <c r="A891" s="1275" t="s">
        <v>29</v>
      </c>
      <c r="B891" s="395">
        <v>1</v>
      </c>
      <c r="C891" s="362" t="s">
        <v>843</v>
      </c>
      <c r="D891" s="363">
        <v>20</v>
      </c>
      <c r="E891" s="363">
        <v>1991</v>
      </c>
      <c r="F891" s="365">
        <v>23.7</v>
      </c>
      <c r="G891" s="365">
        <v>3.135</v>
      </c>
      <c r="H891" s="365">
        <v>3.2</v>
      </c>
      <c r="I891" s="364">
        <v>17.365</v>
      </c>
      <c r="J891" s="366">
        <v>1165.09</v>
      </c>
      <c r="K891" s="365">
        <v>17.4</v>
      </c>
      <c r="L891" s="366">
        <v>1165.1</v>
      </c>
      <c r="M891" s="367">
        <f aca="true" t="shared" si="146" ref="M891:M911">K891/L891</f>
        <v>0.014934340399965667</v>
      </c>
      <c r="N891" s="647">
        <v>224.1</v>
      </c>
      <c r="O891" s="369">
        <f aca="true" t="shared" si="147" ref="O891:O911">M891*N891</f>
        <v>3.346785683632306</v>
      </c>
      <c r="P891" s="369">
        <f aca="true" t="shared" si="148" ref="P891:P911">M891*60*1000</f>
        <v>896.06042399794</v>
      </c>
      <c r="Q891" s="370">
        <f aca="true" t="shared" si="149" ref="Q891:Q911">P891*N891/1000</f>
        <v>200.80714101793836</v>
      </c>
      <c r="S891" s="63"/>
      <c r="T891" s="63"/>
    </row>
    <row r="892" spans="1:20" s="67" customFormat="1" ht="12.75">
      <c r="A892" s="1219"/>
      <c r="B892" s="407">
        <v>2</v>
      </c>
      <c r="C892" s="362" t="s">
        <v>844</v>
      </c>
      <c r="D892" s="363">
        <v>41</v>
      </c>
      <c r="E892" s="363"/>
      <c r="F892" s="364">
        <v>43.6</v>
      </c>
      <c r="G892" s="364">
        <v>2.852</v>
      </c>
      <c r="H892" s="364">
        <v>6.4</v>
      </c>
      <c r="I892" s="364">
        <v>34.25</v>
      </c>
      <c r="J892" s="372">
        <v>2287.82</v>
      </c>
      <c r="K892" s="364">
        <v>34.3</v>
      </c>
      <c r="L892" s="372">
        <v>2287.8</v>
      </c>
      <c r="M892" s="367">
        <f t="shared" si="146"/>
        <v>0.014992569280531512</v>
      </c>
      <c r="N892" s="373">
        <v>224.1</v>
      </c>
      <c r="O892" s="369">
        <f t="shared" si="147"/>
        <v>3.3598347757671116</v>
      </c>
      <c r="P892" s="369">
        <f t="shared" si="148"/>
        <v>899.5541568318907</v>
      </c>
      <c r="Q892" s="370">
        <f t="shared" si="149"/>
        <v>201.59008654602673</v>
      </c>
      <c r="S892" s="70"/>
      <c r="T892" s="70"/>
    </row>
    <row r="893" spans="1:20" ht="12.75">
      <c r="A893" s="1219"/>
      <c r="B893" s="377">
        <v>3</v>
      </c>
      <c r="C893" s="362" t="s">
        <v>845</v>
      </c>
      <c r="D893" s="363">
        <v>35</v>
      </c>
      <c r="E893" s="363">
        <v>1965</v>
      </c>
      <c r="F893" s="364">
        <v>24.2</v>
      </c>
      <c r="G893" s="364">
        <v>2.323</v>
      </c>
      <c r="H893" s="364">
        <v>1.75</v>
      </c>
      <c r="I893" s="364">
        <v>20.067</v>
      </c>
      <c r="J893" s="372">
        <v>1324.88</v>
      </c>
      <c r="K893" s="364">
        <v>20.1</v>
      </c>
      <c r="L893" s="372">
        <v>1324.9</v>
      </c>
      <c r="M893" s="374">
        <f t="shared" si="146"/>
        <v>0.015170956298588573</v>
      </c>
      <c r="N893" s="373">
        <v>224.1</v>
      </c>
      <c r="O893" s="369">
        <f t="shared" si="147"/>
        <v>3.399811306513699</v>
      </c>
      <c r="P893" s="369">
        <f t="shared" si="148"/>
        <v>910.2573779153144</v>
      </c>
      <c r="Q893" s="375">
        <f t="shared" si="149"/>
        <v>203.98867839082195</v>
      </c>
      <c r="S893" s="63"/>
      <c r="T893" s="63"/>
    </row>
    <row r="894" spans="1:20" ht="12.75">
      <c r="A894" s="1219"/>
      <c r="B894" s="377">
        <v>4</v>
      </c>
      <c r="C894" s="362" t="s">
        <v>846</v>
      </c>
      <c r="D894" s="363">
        <v>41</v>
      </c>
      <c r="E894" s="363">
        <v>1981</v>
      </c>
      <c r="F894" s="364">
        <v>44.6</v>
      </c>
      <c r="G894" s="364">
        <v>3.879</v>
      </c>
      <c r="H894" s="364">
        <v>6.41</v>
      </c>
      <c r="I894" s="364">
        <v>34.311</v>
      </c>
      <c r="J894" s="372">
        <v>2246.86</v>
      </c>
      <c r="K894" s="364">
        <v>34.3</v>
      </c>
      <c r="L894" s="372">
        <v>2246.9</v>
      </c>
      <c r="M894" s="374">
        <f t="shared" si="146"/>
        <v>0.015265476879255863</v>
      </c>
      <c r="N894" s="373">
        <v>224.1</v>
      </c>
      <c r="O894" s="376">
        <f t="shared" si="147"/>
        <v>3.4209933686412386</v>
      </c>
      <c r="P894" s="369">
        <f t="shared" si="148"/>
        <v>915.9286127553518</v>
      </c>
      <c r="Q894" s="375">
        <f t="shared" si="149"/>
        <v>205.2596021184743</v>
      </c>
      <c r="S894" s="63"/>
      <c r="T894" s="63"/>
    </row>
    <row r="895" spans="1:20" ht="12.75">
      <c r="A895" s="1219"/>
      <c r="B895" s="377">
        <v>5</v>
      </c>
      <c r="C895" s="362" t="s">
        <v>847</v>
      </c>
      <c r="D895" s="363">
        <v>45</v>
      </c>
      <c r="E895" s="363"/>
      <c r="F895" s="364">
        <v>57.6</v>
      </c>
      <c r="G895" s="364">
        <v>5.756</v>
      </c>
      <c r="H895" s="364">
        <v>7.2</v>
      </c>
      <c r="I895" s="364">
        <v>44.644</v>
      </c>
      <c r="J895" s="372">
        <v>2911.41</v>
      </c>
      <c r="K895" s="364">
        <v>44.6</v>
      </c>
      <c r="L895" s="372">
        <v>2911.4</v>
      </c>
      <c r="M895" s="374">
        <f t="shared" si="146"/>
        <v>0.015319090471937899</v>
      </c>
      <c r="N895" s="373">
        <v>224.1</v>
      </c>
      <c r="O895" s="376">
        <f t="shared" si="147"/>
        <v>3.4330081747612833</v>
      </c>
      <c r="P895" s="369">
        <f t="shared" si="148"/>
        <v>919.1454283162739</v>
      </c>
      <c r="Q895" s="375">
        <f t="shared" si="149"/>
        <v>205.98049048567697</v>
      </c>
      <c r="S895" s="63"/>
      <c r="T895" s="63"/>
    </row>
    <row r="896" spans="1:20" ht="12.75">
      <c r="A896" s="1219"/>
      <c r="B896" s="377">
        <v>6</v>
      </c>
      <c r="C896" s="362" t="s">
        <v>490</v>
      </c>
      <c r="D896" s="363">
        <v>40</v>
      </c>
      <c r="E896" s="363">
        <v>1986</v>
      </c>
      <c r="F896" s="364">
        <v>46.8</v>
      </c>
      <c r="G896" s="364">
        <v>5.428</v>
      </c>
      <c r="H896" s="364">
        <v>6.4</v>
      </c>
      <c r="I896" s="364">
        <v>34.972</v>
      </c>
      <c r="J896" s="372">
        <v>2268.74</v>
      </c>
      <c r="K896" s="364">
        <v>35</v>
      </c>
      <c r="L896" s="372">
        <v>2268.7</v>
      </c>
      <c r="M896" s="374">
        <f t="shared" si="146"/>
        <v>0.015427337241592103</v>
      </c>
      <c r="N896" s="373">
        <v>224.1</v>
      </c>
      <c r="O896" s="376">
        <f t="shared" si="147"/>
        <v>3.4572662758407904</v>
      </c>
      <c r="P896" s="369">
        <f t="shared" si="148"/>
        <v>925.6402344955262</v>
      </c>
      <c r="Q896" s="375">
        <f t="shared" si="149"/>
        <v>207.4359765504474</v>
      </c>
      <c r="S896" s="63"/>
      <c r="T896" s="63"/>
    </row>
    <row r="897" spans="1:20" ht="12.75">
      <c r="A897" s="1219"/>
      <c r="B897" s="377">
        <v>7</v>
      </c>
      <c r="C897" s="362" t="s">
        <v>848</v>
      </c>
      <c r="D897" s="363">
        <v>40</v>
      </c>
      <c r="E897" s="363">
        <v>1988</v>
      </c>
      <c r="F897" s="364">
        <v>45.5</v>
      </c>
      <c r="G897" s="364">
        <v>5.224</v>
      </c>
      <c r="H897" s="364">
        <v>6.4</v>
      </c>
      <c r="I897" s="364">
        <v>33.876</v>
      </c>
      <c r="J897" s="372">
        <v>2194.44</v>
      </c>
      <c r="K897" s="364">
        <v>33.9</v>
      </c>
      <c r="L897" s="372">
        <v>2194.4</v>
      </c>
      <c r="M897" s="374">
        <f t="shared" si="146"/>
        <v>0.015448414145096609</v>
      </c>
      <c r="N897" s="373">
        <v>224.1</v>
      </c>
      <c r="O897" s="376">
        <f t="shared" si="147"/>
        <v>3.46198960991615</v>
      </c>
      <c r="P897" s="369">
        <f t="shared" si="148"/>
        <v>926.9048487057964</v>
      </c>
      <c r="Q897" s="375">
        <f t="shared" si="149"/>
        <v>207.719376594969</v>
      </c>
      <c r="S897" s="63"/>
      <c r="T897" s="63"/>
    </row>
    <row r="898" spans="1:20" ht="12.75">
      <c r="A898" s="1219"/>
      <c r="B898" s="377">
        <v>8</v>
      </c>
      <c r="C898" s="362" t="s">
        <v>849</v>
      </c>
      <c r="D898" s="363">
        <v>40</v>
      </c>
      <c r="E898" s="363">
        <v>1979</v>
      </c>
      <c r="F898" s="364">
        <v>44.6</v>
      </c>
      <c r="G898" s="364">
        <v>4.373</v>
      </c>
      <c r="H898" s="364">
        <v>6.4</v>
      </c>
      <c r="I898" s="364">
        <v>33.827</v>
      </c>
      <c r="J898" s="372">
        <v>2184.18</v>
      </c>
      <c r="K898" s="364">
        <v>33.8</v>
      </c>
      <c r="L898" s="372">
        <v>2184.2</v>
      </c>
      <c r="M898" s="374">
        <f t="shared" si="146"/>
        <v>0.015474773372401794</v>
      </c>
      <c r="N898" s="373">
        <v>224.1</v>
      </c>
      <c r="O898" s="376">
        <f t="shared" si="147"/>
        <v>3.467896712755242</v>
      </c>
      <c r="P898" s="369">
        <f t="shared" si="148"/>
        <v>928.4864023441077</v>
      </c>
      <c r="Q898" s="375">
        <f t="shared" si="149"/>
        <v>208.07380276531453</v>
      </c>
      <c r="S898" s="63"/>
      <c r="T898" s="63"/>
    </row>
    <row r="899" spans="1:20" ht="12.75">
      <c r="A899" s="1276"/>
      <c r="B899" s="411">
        <v>9</v>
      </c>
      <c r="C899" s="362" t="s">
        <v>850</v>
      </c>
      <c r="D899" s="363">
        <v>12</v>
      </c>
      <c r="E899" s="363">
        <v>1966</v>
      </c>
      <c r="F899" s="364">
        <v>15.1</v>
      </c>
      <c r="G899" s="364">
        <v>1.426</v>
      </c>
      <c r="H899" s="364">
        <v>1.92</v>
      </c>
      <c r="I899" s="364">
        <v>11.754</v>
      </c>
      <c r="J899" s="372">
        <v>761.84</v>
      </c>
      <c r="K899" s="364">
        <v>11.8</v>
      </c>
      <c r="L899" s="372">
        <v>761.8</v>
      </c>
      <c r="M899" s="374">
        <f t="shared" si="146"/>
        <v>0.015489629824100815</v>
      </c>
      <c r="N899" s="373">
        <v>224.1</v>
      </c>
      <c r="O899" s="376">
        <f t="shared" si="147"/>
        <v>3.4712260435809927</v>
      </c>
      <c r="P899" s="369">
        <f t="shared" si="148"/>
        <v>929.3777894460488</v>
      </c>
      <c r="Q899" s="375">
        <f t="shared" si="149"/>
        <v>208.27356261485954</v>
      </c>
      <c r="S899" s="63"/>
      <c r="T899" s="63"/>
    </row>
    <row r="900" spans="1:20" ht="13.5" customHeight="1" thickBot="1">
      <c r="A900" s="1220"/>
      <c r="B900" s="388">
        <v>10</v>
      </c>
      <c r="C900" s="397" t="s">
        <v>851</v>
      </c>
      <c r="D900" s="398">
        <v>24</v>
      </c>
      <c r="E900" s="398">
        <v>1991</v>
      </c>
      <c r="F900" s="399">
        <v>30.7</v>
      </c>
      <c r="G900" s="399">
        <v>3.041</v>
      </c>
      <c r="H900" s="399">
        <v>3.84</v>
      </c>
      <c r="I900" s="399">
        <v>23.919</v>
      </c>
      <c r="J900" s="400">
        <v>1527.39</v>
      </c>
      <c r="K900" s="399">
        <v>23.9</v>
      </c>
      <c r="L900" s="400">
        <v>1527.4</v>
      </c>
      <c r="M900" s="401">
        <f t="shared" si="146"/>
        <v>0.01564750556501244</v>
      </c>
      <c r="N900" s="452">
        <v>224.1</v>
      </c>
      <c r="O900" s="402">
        <f t="shared" si="147"/>
        <v>3.5066059971192876</v>
      </c>
      <c r="P900" s="402">
        <f t="shared" si="148"/>
        <v>938.8503339007464</v>
      </c>
      <c r="Q900" s="403">
        <f t="shared" si="149"/>
        <v>210.39635982715726</v>
      </c>
      <c r="S900" s="63"/>
      <c r="T900" s="63"/>
    </row>
    <row r="901" spans="1:20" ht="12.75">
      <c r="A901" s="1221" t="s">
        <v>30</v>
      </c>
      <c r="B901" s="22">
        <v>1</v>
      </c>
      <c r="C901" s="176" t="s">
        <v>852</v>
      </c>
      <c r="D901" s="178">
        <v>13</v>
      </c>
      <c r="E901" s="178">
        <v>1950</v>
      </c>
      <c r="F901" s="252">
        <v>15.3</v>
      </c>
      <c r="G901" s="252">
        <v>0.662</v>
      </c>
      <c r="H901" s="252">
        <v>1.84</v>
      </c>
      <c r="I901" s="252">
        <v>12.767</v>
      </c>
      <c r="J901" s="225">
        <v>580.31</v>
      </c>
      <c r="K901" s="252">
        <v>12.8</v>
      </c>
      <c r="L901" s="298">
        <v>580.3</v>
      </c>
      <c r="M901" s="170">
        <f t="shared" si="146"/>
        <v>0.02205755643632604</v>
      </c>
      <c r="N901" s="652">
        <v>224.1</v>
      </c>
      <c r="O901" s="169">
        <f t="shared" si="147"/>
        <v>4.943098397380665</v>
      </c>
      <c r="P901" s="169">
        <f t="shared" si="148"/>
        <v>1323.4533861795624</v>
      </c>
      <c r="Q901" s="171">
        <f t="shared" si="149"/>
        <v>296.5859038428399</v>
      </c>
      <c r="S901" s="63"/>
      <c r="T901" s="63"/>
    </row>
    <row r="902" spans="1:20" ht="12.75">
      <c r="A902" s="1223"/>
      <c r="B902" s="24">
        <v>2</v>
      </c>
      <c r="C902" s="166" t="s">
        <v>853</v>
      </c>
      <c r="D902" s="102">
        <v>32</v>
      </c>
      <c r="E902" s="102"/>
      <c r="F902" s="183">
        <v>47.3</v>
      </c>
      <c r="G902" s="183">
        <v>4.239</v>
      </c>
      <c r="H902" s="183">
        <v>5.12</v>
      </c>
      <c r="I902" s="183">
        <v>38.041</v>
      </c>
      <c r="J902" s="226">
        <v>1722.7</v>
      </c>
      <c r="K902" s="183">
        <v>38</v>
      </c>
      <c r="L902" s="226">
        <v>1722.7</v>
      </c>
      <c r="M902" s="113">
        <f t="shared" si="146"/>
        <v>0.022058396702850175</v>
      </c>
      <c r="N902" s="114">
        <v>224.1</v>
      </c>
      <c r="O902" s="115">
        <f t="shared" si="147"/>
        <v>4.9432867011087245</v>
      </c>
      <c r="P902" s="169">
        <f t="shared" si="148"/>
        <v>1323.5038021710106</v>
      </c>
      <c r="Q902" s="116">
        <f t="shared" si="149"/>
        <v>296.5972020665235</v>
      </c>
      <c r="S902" s="63"/>
      <c r="T902" s="63"/>
    </row>
    <row r="903" spans="1:20" ht="12.75">
      <c r="A903" s="1223"/>
      <c r="B903" s="24">
        <v>3</v>
      </c>
      <c r="C903" s="166" t="s">
        <v>854</v>
      </c>
      <c r="D903" s="102">
        <v>22</v>
      </c>
      <c r="E903" s="102">
        <v>1982</v>
      </c>
      <c r="F903" s="183">
        <v>31</v>
      </c>
      <c r="G903" s="183">
        <v>1.956</v>
      </c>
      <c r="H903" s="183">
        <v>3.52</v>
      </c>
      <c r="I903" s="183">
        <v>25.524</v>
      </c>
      <c r="J903" s="226">
        <v>1153.74</v>
      </c>
      <c r="K903" s="183">
        <v>25.5</v>
      </c>
      <c r="L903" s="226">
        <v>1153.7</v>
      </c>
      <c r="M903" s="113">
        <f t="shared" si="146"/>
        <v>0.022102799687960473</v>
      </c>
      <c r="N903" s="114">
        <v>224.1</v>
      </c>
      <c r="O903" s="115">
        <f t="shared" si="147"/>
        <v>4.953237410071941</v>
      </c>
      <c r="P903" s="169">
        <f t="shared" si="148"/>
        <v>1326.1679812776283</v>
      </c>
      <c r="Q903" s="116">
        <f t="shared" si="149"/>
        <v>297.1942446043165</v>
      </c>
      <c r="S903" s="63"/>
      <c r="T903" s="63"/>
    </row>
    <row r="904" spans="1:20" ht="12.75">
      <c r="A904" s="1223"/>
      <c r="B904" s="24">
        <v>4</v>
      </c>
      <c r="C904" s="166" t="s">
        <v>855</v>
      </c>
      <c r="D904" s="102">
        <v>8</v>
      </c>
      <c r="E904" s="102">
        <v>1959</v>
      </c>
      <c r="F904" s="183">
        <v>9.7</v>
      </c>
      <c r="G904" s="183">
        <v>0.255</v>
      </c>
      <c r="H904" s="183">
        <v>1.28</v>
      </c>
      <c r="I904" s="183">
        <v>8.065</v>
      </c>
      <c r="J904" s="226">
        <v>361.47</v>
      </c>
      <c r="K904" s="183">
        <v>8.1</v>
      </c>
      <c r="L904" s="226">
        <v>361.5</v>
      </c>
      <c r="M904" s="113">
        <f t="shared" si="146"/>
        <v>0.022406639004149378</v>
      </c>
      <c r="N904" s="114">
        <v>224.1</v>
      </c>
      <c r="O904" s="115">
        <f t="shared" si="147"/>
        <v>5.021327800829876</v>
      </c>
      <c r="P904" s="169">
        <f t="shared" si="148"/>
        <v>1344.3983402489628</v>
      </c>
      <c r="Q904" s="116">
        <f t="shared" si="149"/>
        <v>301.2796680497925</v>
      </c>
      <c r="S904" s="63"/>
      <c r="T904" s="63"/>
    </row>
    <row r="905" spans="1:20" ht="12.75">
      <c r="A905" s="1223"/>
      <c r="B905" s="24">
        <v>5</v>
      </c>
      <c r="C905" s="166" t="s">
        <v>599</v>
      </c>
      <c r="D905" s="102">
        <v>11</v>
      </c>
      <c r="E905" s="102">
        <v>1961</v>
      </c>
      <c r="F905" s="183">
        <v>14.9</v>
      </c>
      <c r="G905" s="183">
        <v>0.902</v>
      </c>
      <c r="H905" s="183">
        <v>1.52</v>
      </c>
      <c r="I905" s="183">
        <v>12.478</v>
      </c>
      <c r="J905" s="226">
        <v>552.31</v>
      </c>
      <c r="K905" s="183">
        <v>12.5</v>
      </c>
      <c r="L905" s="226">
        <v>552.3</v>
      </c>
      <c r="M905" s="113">
        <f t="shared" si="146"/>
        <v>0.02263262719536484</v>
      </c>
      <c r="N905" s="114">
        <v>224.1</v>
      </c>
      <c r="O905" s="115">
        <f t="shared" si="147"/>
        <v>5.071971754481261</v>
      </c>
      <c r="P905" s="169">
        <f t="shared" si="148"/>
        <v>1357.9576317218905</v>
      </c>
      <c r="Q905" s="116">
        <f t="shared" si="149"/>
        <v>304.3183052688757</v>
      </c>
      <c r="S905" s="63"/>
      <c r="T905" s="63"/>
    </row>
    <row r="906" spans="1:20" ht="12.75">
      <c r="A906" s="1223"/>
      <c r="B906" s="24">
        <v>6</v>
      </c>
      <c r="C906" s="166" t="s">
        <v>492</v>
      </c>
      <c r="D906" s="102">
        <v>8</v>
      </c>
      <c r="E906" s="102">
        <v>1951</v>
      </c>
      <c r="F906" s="183">
        <v>9.2</v>
      </c>
      <c r="G906" s="183">
        <v>0.909</v>
      </c>
      <c r="H906" s="183">
        <v>1.28</v>
      </c>
      <c r="I906" s="183">
        <v>7.011</v>
      </c>
      <c r="J906" s="226">
        <v>300.96</v>
      </c>
      <c r="K906" s="183">
        <v>7</v>
      </c>
      <c r="L906" s="226">
        <v>301</v>
      </c>
      <c r="M906" s="113">
        <f t="shared" si="146"/>
        <v>0.023255813953488372</v>
      </c>
      <c r="N906" s="114">
        <v>224.1</v>
      </c>
      <c r="O906" s="115">
        <f t="shared" si="147"/>
        <v>5.211627906976744</v>
      </c>
      <c r="P906" s="169">
        <f t="shared" si="148"/>
        <v>1395.3488372093025</v>
      </c>
      <c r="Q906" s="116">
        <f t="shared" si="149"/>
        <v>312.6976744186047</v>
      </c>
      <c r="S906" s="63"/>
      <c r="T906" s="63"/>
    </row>
    <row r="907" spans="1:20" ht="12.75">
      <c r="A907" s="1223"/>
      <c r="B907" s="24">
        <v>7</v>
      </c>
      <c r="C907" s="166" t="s">
        <v>856</v>
      </c>
      <c r="D907" s="102">
        <v>8</v>
      </c>
      <c r="E907" s="102">
        <v>1980</v>
      </c>
      <c r="F907" s="183">
        <v>11.4</v>
      </c>
      <c r="G907" s="183">
        <v>0.56</v>
      </c>
      <c r="H907" s="183">
        <v>1.28</v>
      </c>
      <c r="I907" s="183">
        <v>9.471</v>
      </c>
      <c r="J907" s="226">
        <v>398.99</v>
      </c>
      <c r="K907" s="183">
        <v>9.5</v>
      </c>
      <c r="L907" s="226">
        <v>399</v>
      </c>
      <c r="M907" s="113">
        <f t="shared" si="146"/>
        <v>0.023809523809523808</v>
      </c>
      <c r="N907" s="114">
        <v>224.1</v>
      </c>
      <c r="O907" s="115">
        <f t="shared" si="147"/>
        <v>5.335714285714285</v>
      </c>
      <c r="P907" s="169">
        <f t="shared" si="148"/>
        <v>1428.5714285714284</v>
      </c>
      <c r="Q907" s="116">
        <f t="shared" si="149"/>
        <v>320.1428571428571</v>
      </c>
      <c r="S907" s="63"/>
      <c r="T907" s="63"/>
    </row>
    <row r="908" spans="1:20" ht="12.75">
      <c r="A908" s="1223"/>
      <c r="B908" s="24">
        <v>8</v>
      </c>
      <c r="C908" s="166" t="s">
        <v>493</v>
      </c>
      <c r="D908" s="102">
        <v>10</v>
      </c>
      <c r="E908" s="102"/>
      <c r="F908" s="183">
        <v>16.5</v>
      </c>
      <c r="G908" s="183">
        <v>1.019</v>
      </c>
      <c r="H908" s="183">
        <v>1.6</v>
      </c>
      <c r="I908" s="183">
        <v>13.881</v>
      </c>
      <c r="J908" s="226">
        <v>541.41</v>
      </c>
      <c r="K908" s="183">
        <v>13.9</v>
      </c>
      <c r="L908" s="226">
        <v>541.4</v>
      </c>
      <c r="M908" s="113">
        <f t="shared" si="146"/>
        <v>0.025674178056889548</v>
      </c>
      <c r="N908" s="114">
        <v>224.1</v>
      </c>
      <c r="O908" s="115">
        <f t="shared" si="147"/>
        <v>5.753583302548948</v>
      </c>
      <c r="P908" s="169">
        <f t="shared" si="148"/>
        <v>1540.4506834133729</v>
      </c>
      <c r="Q908" s="116">
        <f t="shared" si="149"/>
        <v>345.21499815293686</v>
      </c>
      <c r="S908" s="63"/>
      <c r="T908" s="63"/>
    </row>
    <row r="909" spans="1:20" ht="12.75">
      <c r="A909" s="1224"/>
      <c r="B909" s="58">
        <v>9</v>
      </c>
      <c r="C909" s="166" t="s">
        <v>857</v>
      </c>
      <c r="D909" s="102">
        <v>8</v>
      </c>
      <c r="E909" s="102">
        <v>1958</v>
      </c>
      <c r="F909" s="183">
        <v>11.1</v>
      </c>
      <c r="G909" s="183">
        <v>0.764</v>
      </c>
      <c r="H909" s="183">
        <v>1.12</v>
      </c>
      <c r="I909" s="183">
        <v>9.216</v>
      </c>
      <c r="J909" s="226">
        <v>356.49</v>
      </c>
      <c r="K909" s="183">
        <v>9.2</v>
      </c>
      <c r="L909" s="226">
        <v>356.5</v>
      </c>
      <c r="M909" s="113">
        <f t="shared" si="146"/>
        <v>0.025806451612903222</v>
      </c>
      <c r="N909" s="114">
        <v>224.1</v>
      </c>
      <c r="O909" s="115">
        <f t="shared" si="147"/>
        <v>5.783225806451612</v>
      </c>
      <c r="P909" s="169">
        <f t="shared" si="148"/>
        <v>1548.3870967741932</v>
      </c>
      <c r="Q909" s="116">
        <f t="shared" si="149"/>
        <v>346.99354838709667</v>
      </c>
      <c r="S909" s="63"/>
      <c r="T909" s="63"/>
    </row>
    <row r="910" spans="1:20" ht="13.5" thickBot="1">
      <c r="A910" s="1225"/>
      <c r="B910" s="25">
        <v>10</v>
      </c>
      <c r="C910" s="177" t="s">
        <v>494</v>
      </c>
      <c r="D910" s="103">
        <v>10</v>
      </c>
      <c r="E910" s="103">
        <v>1976</v>
      </c>
      <c r="F910" s="251">
        <v>11.5</v>
      </c>
      <c r="G910" s="251">
        <v>0.8</v>
      </c>
      <c r="H910" s="251">
        <v>0</v>
      </c>
      <c r="I910" s="251">
        <v>10.7</v>
      </c>
      <c r="J910" s="227">
        <v>411.49</v>
      </c>
      <c r="K910" s="251">
        <v>10.7</v>
      </c>
      <c r="L910" s="227">
        <v>411.5</v>
      </c>
      <c r="M910" s="172">
        <f t="shared" si="146"/>
        <v>0.02600243013365735</v>
      </c>
      <c r="N910" s="283">
        <v>224.1</v>
      </c>
      <c r="O910" s="173">
        <f t="shared" si="147"/>
        <v>5.827144592952612</v>
      </c>
      <c r="P910" s="173">
        <f t="shared" si="148"/>
        <v>1560.1458080194411</v>
      </c>
      <c r="Q910" s="174">
        <f t="shared" si="149"/>
        <v>349.62867557715674</v>
      </c>
      <c r="S910" s="63"/>
      <c r="T910" s="63"/>
    </row>
    <row r="911" spans="1:20" ht="12.75">
      <c r="A911" s="1271" t="s">
        <v>12</v>
      </c>
      <c r="B911" s="27">
        <v>1</v>
      </c>
      <c r="C911" s="132" t="s">
        <v>858</v>
      </c>
      <c r="D911" s="133">
        <v>3</v>
      </c>
      <c r="E911" s="133">
        <v>1940</v>
      </c>
      <c r="F911" s="204">
        <v>5</v>
      </c>
      <c r="G911" s="204">
        <v>0</v>
      </c>
      <c r="H911" s="204">
        <v>0</v>
      </c>
      <c r="I911" s="204">
        <v>5</v>
      </c>
      <c r="J911" s="223">
        <v>112.26</v>
      </c>
      <c r="K911" s="204">
        <v>5</v>
      </c>
      <c r="L911" s="299">
        <v>112.26</v>
      </c>
      <c r="M911" s="136">
        <f t="shared" si="146"/>
        <v>0.044539461963299484</v>
      </c>
      <c r="N911" s="134">
        <v>224.1</v>
      </c>
      <c r="O911" s="137">
        <f t="shared" si="147"/>
        <v>9.981293425975414</v>
      </c>
      <c r="P911" s="137">
        <f t="shared" si="148"/>
        <v>2672.367717797969</v>
      </c>
      <c r="Q911" s="138">
        <f t="shared" si="149"/>
        <v>598.8776055585248</v>
      </c>
      <c r="S911" s="63"/>
      <c r="T911" s="63"/>
    </row>
    <row r="912" spans="1:20" ht="12.75">
      <c r="A912" s="1272"/>
      <c r="B912" s="59">
        <v>2</v>
      </c>
      <c r="C912" s="135"/>
      <c r="D912" s="104"/>
      <c r="E912" s="104"/>
      <c r="F912" s="179"/>
      <c r="G912" s="179"/>
      <c r="H912" s="179"/>
      <c r="I912" s="179"/>
      <c r="J912" s="224"/>
      <c r="K912" s="179"/>
      <c r="L912" s="224"/>
      <c r="M912" s="117"/>
      <c r="N912" s="134"/>
      <c r="O912" s="119"/>
      <c r="P912" s="137"/>
      <c r="Q912" s="120"/>
      <c r="S912" s="63"/>
      <c r="T912" s="63"/>
    </row>
    <row r="913" spans="1:20" ht="12.75">
      <c r="A913" s="1272"/>
      <c r="B913" s="59">
        <v>3</v>
      </c>
      <c r="C913" s="135"/>
      <c r="D913" s="104"/>
      <c r="E913" s="104"/>
      <c r="F913" s="179"/>
      <c r="G913" s="179"/>
      <c r="H913" s="179"/>
      <c r="I913" s="179"/>
      <c r="J913" s="224"/>
      <c r="K913" s="179"/>
      <c r="L913" s="224"/>
      <c r="M913" s="117"/>
      <c r="N913" s="134"/>
      <c r="O913" s="119"/>
      <c r="P913" s="137"/>
      <c r="Q913" s="120"/>
      <c r="S913" s="63"/>
      <c r="T913" s="63"/>
    </row>
    <row r="914" spans="1:20" ht="12.75">
      <c r="A914" s="1273"/>
      <c r="B914" s="29">
        <v>4</v>
      </c>
      <c r="C914" s="135"/>
      <c r="D914" s="104"/>
      <c r="E914" s="104"/>
      <c r="F914" s="179"/>
      <c r="G914" s="179"/>
      <c r="H914" s="179"/>
      <c r="I914" s="179"/>
      <c r="J914" s="224"/>
      <c r="K914" s="179"/>
      <c r="L914" s="224"/>
      <c r="M914" s="117"/>
      <c r="N914" s="134"/>
      <c r="O914" s="119"/>
      <c r="P914" s="137"/>
      <c r="Q914" s="120"/>
      <c r="S914" s="63"/>
      <c r="T914" s="63"/>
    </row>
    <row r="915" spans="1:20" ht="12.75">
      <c r="A915" s="1273"/>
      <c r="B915" s="29">
        <v>5</v>
      </c>
      <c r="C915" s="135"/>
      <c r="D915" s="104"/>
      <c r="E915" s="104"/>
      <c r="F915" s="179"/>
      <c r="G915" s="179"/>
      <c r="H915" s="179"/>
      <c r="I915" s="179"/>
      <c r="J915" s="224"/>
      <c r="K915" s="179"/>
      <c r="L915" s="224"/>
      <c r="M915" s="117"/>
      <c r="N915" s="134"/>
      <c r="O915" s="119"/>
      <c r="P915" s="137"/>
      <c r="Q915" s="120"/>
      <c r="S915" s="63"/>
      <c r="T915" s="63"/>
    </row>
    <row r="916" spans="1:20" ht="12.75">
      <c r="A916" s="1273"/>
      <c r="B916" s="29">
        <v>6</v>
      </c>
      <c r="C916" s="135"/>
      <c r="D916" s="104"/>
      <c r="E916" s="104"/>
      <c r="F916" s="179"/>
      <c r="G916" s="179"/>
      <c r="H916" s="179"/>
      <c r="I916" s="179"/>
      <c r="J916" s="224"/>
      <c r="K916" s="179"/>
      <c r="L916" s="224"/>
      <c r="M916" s="117"/>
      <c r="N916" s="134"/>
      <c r="O916" s="119"/>
      <c r="P916" s="137"/>
      <c r="Q916" s="120"/>
      <c r="S916" s="63"/>
      <c r="T916" s="63"/>
    </row>
    <row r="917" spans="1:20" ht="12.75">
      <c r="A917" s="1273"/>
      <c r="B917" s="29">
        <v>7</v>
      </c>
      <c r="C917" s="135"/>
      <c r="D917" s="104"/>
      <c r="E917" s="104"/>
      <c r="F917" s="179"/>
      <c r="G917" s="179"/>
      <c r="H917" s="179"/>
      <c r="I917" s="179"/>
      <c r="J917" s="224"/>
      <c r="K917" s="179"/>
      <c r="L917" s="224"/>
      <c r="M917" s="117"/>
      <c r="N917" s="134"/>
      <c r="O917" s="119"/>
      <c r="P917" s="137"/>
      <c r="Q917" s="120"/>
      <c r="S917" s="63"/>
      <c r="T917" s="63"/>
    </row>
    <row r="918" spans="1:20" ht="12.75">
      <c r="A918" s="1273"/>
      <c r="B918" s="29">
        <v>8</v>
      </c>
      <c r="C918" s="135"/>
      <c r="D918" s="104"/>
      <c r="E918" s="104"/>
      <c r="F918" s="179"/>
      <c r="G918" s="179"/>
      <c r="H918" s="179"/>
      <c r="I918" s="179"/>
      <c r="J918" s="224"/>
      <c r="K918" s="179"/>
      <c r="L918" s="224"/>
      <c r="M918" s="117"/>
      <c r="N918" s="134"/>
      <c r="O918" s="119"/>
      <c r="P918" s="137"/>
      <c r="Q918" s="120"/>
      <c r="S918" s="63"/>
      <c r="T918" s="63"/>
    </row>
    <row r="919" spans="1:20" ht="12.75">
      <c r="A919" s="1273"/>
      <c r="B919" s="29">
        <v>9</v>
      </c>
      <c r="C919" s="209"/>
      <c r="D919" s="104"/>
      <c r="E919" s="104"/>
      <c r="F919" s="179"/>
      <c r="G919" s="179"/>
      <c r="H919" s="179"/>
      <c r="I919" s="179"/>
      <c r="J919" s="224"/>
      <c r="K919" s="179"/>
      <c r="L919" s="224"/>
      <c r="M919" s="117"/>
      <c r="N919" s="134"/>
      <c r="O919" s="119"/>
      <c r="P919" s="137"/>
      <c r="Q919" s="120"/>
      <c r="S919" s="63"/>
      <c r="T919" s="63"/>
    </row>
    <row r="920" spans="1:20" ht="13.5" thickBot="1">
      <c r="A920" s="1274"/>
      <c r="B920" s="33">
        <v>10</v>
      </c>
      <c r="C920" s="210"/>
      <c r="D920" s="105"/>
      <c r="E920" s="105"/>
      <c r="F920" s="205"/>
      <c r="G920" s="205"/>
      <c r="H920" s="205"/>
      <c r="I920" s="205"/>
      <c r="J920" s="278"/>
      <c r="K920" s="205"/>
      <c r="L920" s="278"/>
      <c r="M920" s="121"/>
      <c r="N920" s="998"/>
      <c r="O920" s="123"/>
      <c r="P920" s="123"/>
      <c r="Q920" s="124"/>
      <c r="S920" s="63"/>
      <c r="T920" s="63"/>
    </row>
    <row r="921" spans="14:20" ht="12.75">
      <c r="N921" s="198"/>
      <c r="S921" s="63"/>
      <c r="T921" s="63"/>
    </row>
    <row r="922" spans="19:20" ht="12.75">
      <c r="S922" s="63"/>
      <c r="T922" s="63"/>
    </row>
    <row r="923" spans="19:20" ht="12.75">
      <c r="S923" s="63"/>
      <c r="T923" s="63"/>
    </row>
    <row r="924" spans="1:20" ht="15">
      <c r="A924" s="1199" t="s">
        <v>580</v>
      </c>
      <c r="B924" s="1199"/>
      <c r="C924" s="1199"/>
      <c r="D924" s="1199"/>
      <c r="E924" s="1199"/>
      <c r="F924" s="1199"/>
      <c r="G924" s="1199"/>
      <c r="H924" s="1199"/>
      <c r="I924" s="1199"/>
      <c r="J924" s="1199"/>
      <c r="K924" s="1199"/>
      <c r="L924" s="1199"/>
      <c r="M924" s="1199"/>
      <c r="N924" s="1199"/>
      <c r="O924" s="1199"/>
      <c r="P924" s="1199"/>
      <c r="Q924" s="1199"/>
      <c r="S924" s="63"/>
      <c r="T924" s="63"/>
    </row>
    <row r="925" spans="1:20" ht="13.5" thickBot="1">
      <c r="A925" s="1200" t="s">
        <v>859</v>
      </c>
      <c r="B925" s="1255"/>
      <c r="C925" s="1255"/>
      <c r="D925" s="1255"/>
      <c r="E925" s="1255"/>
      <c r="F925" s="1255"/>
      <c r="G925" s="1255"/>
      <c r="H925" s="1255"/>
      <c r="I925" s="1255"/>
      <c r="J925" s="1255"/>
      <c r="K925" s="1255"/>
      <c r="L925" s="1255"/>
      <c r="M925" s="1255"/>
      <c r="N925" s="1255"/>
      <c r="O925" s="1255"/>
      <c r="P925" s="1255"/>
      <c r="Q925" s="1255"/>
      <c r="S925" s="63"/>
      <c r="T925" s="63"/>
    </row>
    <row r="926" spans="1:20" ht="12.75" customHeight="1">
      <c r="A926" s="1201" t="s">
        <v>1</v>
      </c>
      <c r="B926" s="1203" t="s">
        <v>0</v>
      </c>
      <c r="C926" s="1193" t="s">
        <v>2</v>
      </c>
      <c r="D926" s="1193" t="s">
        <v>3</v>
      </c>
      <c r="E926" s="1193" t="s">
        <v>13</v>
      </c>
      <c r="F926" s="1207" t="s">
        <v>14</v>
      </c>
      <c r="G926" s="1208"/>
      <c r="H926" s="1208"/>
      <c r="I926" s="1209"/>
      <c r="J926" s="1193" t="s">
        <v>4</v>
      </c>
      <c r="K926" s="1193" t="s">
        <v>15</v>
      </c>
      <c r="L926" s="1193" t="s">
        <v>5</v>
      </c>
      <c r="M926" s="1193" t="s">
        <v>6</v>
      </c>
      <c r="N926" s="1193" t="s">
        <v>16</v>
      </c>
      <c r="O926" s="1195" t="s">
        <v>17</v>
      </c>
      <c r="P926" s="1193" t="s">
        <v>25</v>
      </c>
      <c r="Q926" s="1197" t="s">
        <v>26</v>
      </c>
      <c r="S926" s="63"/>
      <c r="T926" s="63"/>
    </row>
    <row r="927" spans="1:20" s="2" customFormat="1" ht="33.75">
      <c r="A927" s="1202"/>
      <c r="B927" s="1204"/>
      <c r="C927" s="1205"/>
      <c r="D927" s="1194"/>
      <c r="E927" s="1194"/>
      <c r="F927" s="26" t="s">
        <v>18</v>
      </c>
      <c r="G927" s="26" t="s">
        <v>19</v>
      </c>
      <c r="H927" s="26" t="s">
        <v>20</v>
      </c>
      <c r="I927" s="26" t="s">
        <v>21</v>
      </c>
      <c r="J927" s="1194"/>
      <c r="K927" s="1194"/>
      <c r="L927" s="1194"/>
      <c r="M927" s="1194"/>
      <c r="N927" s="1194"/>
      <c r="O927" s="1196"/>
      <c r="P927" s="1194"/>
      <c r="Q927" s="1198"/>
      <c r="S927" s="63"/>
      <c r="T927" s="63"/>
    </row>
    <row r="928" spans="1:20" s="3" customFormat="1" ht="13.5" customHeight="1" thickBot="1">
      <c r="A928" s="1259"/>
      <c r="B928" s="1256"/>
      <c r="C928" s="1206"/>
      <c r="D928" s="42" t="s">
        <v>7</v>
      </c>
      <c r="E928" s="42" t="s">
        <v>8</v>
      </c>
      <c r="F928" s="42" t="s">
        <v>9</v>
      </c>
      <c r="G928" s="42" t="s">
        <v>9</v>
      </c>
      <c r="H928" s="42" t="s">
        <v>9</v>
      </c>
      <c r="I928" s="42" t="s">
        <v>9</v>
      </c>
      <c r="J928" s="42" t="s">
        <v>22</v>
      </c>
      <c r="K928" s="42" t="s">
        <v>9</v>
      </c>
      <c r="L928" s="42" t="s">
        <v>22</v>
      </c>
      <c r="M928" s="42" t="s">
        <v>23</v>
      </c>
      <c r="N928" s="42" t="s">
        <v>10</v>
      </c>
      <c r="O928" s="42" t="s">
        <v>24</v>
      </c>
      <c r="P928" s="43" t="s">
        <v>27</v>
      </c>
      <c r="Q928" s="44" t="s">
        <v>28</v>
      </c>
      <c r="S928" s="63"/>
      <c r="T928" s="63"/>
    </row>
    <row r="929" spans="1:20" s="3" customFormat="1" ht="13.5" customHeight="1">
      <c r="A929" s="1248" t="s">
        <v>11</v>
      </c>
      <c r="B929" s="71">
        <v>1</v>
      </c>
      <c r="C929" s="16" t="s">
        <v>860</v>
      </c>
      <c r="D929" s="21">
        <v>55</v>
      </c>
      <c r="E929" s="21" t="s">
        <v>64</v>
      </c>
      <c r="F929" s="202">
        <f>G929+H929+I929</f>
        <v>24.65</v>
      </c>
      <c r="G929" s="202">
        <v>4.34</v>
      </c>
      <c r="H929" s="202">
        <v>8.81</v>
      </c>
      <c r="I929" s="202">
        <v>11.5</v>
      </c>
      <c r="J929" s="149">
        <v>2979.08</v>
      </c>
      <c r="K929" s="202">
        <v>11.5</v>
      </c>
      <c r="L929" s="149">
        <v>2979.1</v>
      </c>
      <c r="M929" s="108">
        <f>K929/L929</f>
        <v>0.0038602262428250145</v>
      </c>
      <c r="N929" s="109">
        <v>206.1</v>
      </c>
      <c r="O929" s="110">
        <f>M929*N929</f>
        <v>0.7955926286462355</v>
      </c>
      <c r="P929" s="130">
        <f>M929*60*1000</f>
        <v>231.61357456950088</v>
      </c>
      <c r="Q929" s="111">
        <f>P929*N929/1000</f>
        <v>47.73555771877413</v>
      </c>
      <c r="S929" s="63"/>
      <c r="T929" s="63"/>
    </row>
    <row r="930" spans="1:20" s="3" customFormat="1" ht="13.5" customHeight="1">
      <c r="A930" s="1249"/>
      <c r="B930" s="66">
        <v>2</v>
      </c>
      <c r="C930" s="16" t="s">
        <v>861</v>
      </c>
      <c r="D930" s="21">
        <v>20</v>
      </c>
      <c r="E930" s="21" t="s">
        <v>64</v>
      </c>
      <c r="F930" s="202">
        <f>G930+H930+I930</f>
        <v>9.425999999999998</v>
      </c>
      <c r="G930" s="202">
        <v>2.09</v>
      </c>
      <c r="H930" s="202">
        <v>3.26</v>
      </c>
      <c r="I930" s="202">
        <v>4.076</v>
      </c>
      <c r="J930" s="149">
        <v>1055.4</v>
      </c>
      <c r="K930" s="202">
        <v>4.076</v>
      </c>
      <c r="L930" s="149">
        <v>1055.4</v>
      </c>
      <c r="M930" s="108">
        <f>K930/L930</f>
        <v>0.003862042827364032</v>
      </c>
      <c r="N930" s="109">
        <v>206.1</v>
      </c>
      <c r="O930" s="110">
        <f>M930*N930</f>
        <v>0.795967026719727</v>
      </c>
      <c r="P930" s="130">
        <f>M930*60*1000</f>
        <v>231.72256964184191</v>
      </c>
      <c r="Q930" s="111">
        <f>P930*N930/1000</f>
        <v>47.758021603183614</v>
      </c>
      <c r="S930" s="63"/>
      <c r="T930" s="63"/>
    </row>
    <row r="931" spans="1:20" s="3" customFormat="1" ht="13.5" customHeight="1">
      <c r="A931" s="1249"/>
      <c r="B931" s="66">
        <v>3</v>
      </c>
      <c r="C931" s="906" t="s">
        <v>862</v>
      </c>
      <c r="D931" s="65">
        <v>36</v>
      </c>
      <c r="E931" s="65" t="s">
        <v>64</v>
      </c>
      <c r="F931" s="202">
        <f>G931+H931+I931</f>
        <v>18.939999999999998</v>
      </c>
      <c r="G931" s="202">
        <v>3.37</v>
      </c>
      <c r="H931" s="202">
        <v>5.87</v>
      </c>
      <c r="I931" s="202">
        <v>9.7</v>
      </c>
      <c r="J931" s="303">
        <v>2305.31</v>
      </c>
      <c r="K931" s="202">
        <v>9.37</v>
      </c>
      <c r="L931" s="303">
        <v>2232.72</v>
      </c>
      <c r="M931" s="108">
        <f>K931/L931</f>
        <v>0.004196674907735856</v>
      </c>
      <c r="N931" s="109">
        <v>206.1</v>
      </c>
      <c r="O931" s="110">
        <f>M931*N931</f>
        <v>0.8649346984843599</v>
      </c>
      <c r="P931" s="130">
        <f>M931*60*1000</f>
        <v>251.80049446415137</v>
      </c>
      <c r="Q931" s="111">
        <f>P931*N931/1000</f>
        <v>51.8960819090616</v>
      </c>
      <c r="S931" s="63"/>
      <c r="T931" s="63"/>
    </row>
    <row r="932" spans="1:20" s="3" customFormat="1" ht="13.5" customHeight="1">
      <c r="A932" s="1249"/>
      <c r="B932" s="21">
        <v>4</v>
      </c>
      <c r="C932" s="906" t="s">
        <v>863</v>
      </c>
      <c r="D932" s="65">
        <v>40</v>
      </c>
      <c r="E932" s="65" t="s">
        <v>64</v>
      </c>
      <c r="F932" s="202">
        <f>G932+H932+I932</f>
        <v>26.630000000000003</v>
      </c>
      <c r="G932" s="202">
        <v>4.79</v>
      </c>
      <c r="H932" s="202">
        <v>6.44</v>
      </c>
      <c r="I932" s="202">
        <v>15.4</v>
      </c>
      <c r="J932" s="303">
        <v>2287.45</v>
      </c>
      <c r="K932" s="202">
        <v>15.4</v>
      </c>
      <c r="L932" s="303">
        <v>2287.45</v>
      </c>
      <c r="M932" s="108">
        <f>K932/L932</f>
        <v>0.006732387593171436</v>
      </c>
      <c r="N932" s="109">
        <v>206.1</v>
      </c>
      <c r="O932" s="110">
        <f>M932*N932</f>
        <v>1.3875450829526328</v>
      </c>
      <c r="P932" s="130">
        <f>M932*60*1000</f>
        <v>403.9432555902861</v>
      </c>
      <c r="Q932" s="111">
        <f>P932*N932/1000</f>
        <v>83.25270497715796</v>
      </c>
      <c r="S932" s="63"/>
      <c r="T932" s="63"/>
    </row>
    <row r="933" spans="1:20" s="3" customFormat="1" ht="13.5" customHeight="1">
      <c r="A933" s="1249"/>
      <c r="B933" s="21">
        <v>5</v>
      </c>
      <c r="C933" s="906" t="s">
        <v>864</v>
      </c>
      <c r="D933" s="21">
        <v>60</v>
      </c>
      <c r="E933" s="21" t="s">
        <v>64</v>
      </c>
      <c r="F933" s="207">
        <f>G933+H933+I933</f>
        <v>34.159</v>
      </c>
      <c r="G933" s="207">
        <v>6.069</v>
      </c>
      <c r="H933" s="207">
        <v>0.59</v>
      </c>
      <c r="I933" s="207">
        <v>27.5</v>
      </c>
      <c r="J933" s="303">
        <v>3373.53</v>
      </c>
      <c r="K933" s="207">
        <v>27.5</v>
      </c>
      <c r="L933" s="303">
        <v>3373.5</v>
      </c>
      <c r="M933" s="139">
        <f>K933/L933</f>
        <v>0.008151771157551505</v>
      </c>
      <c r="N933" s="109">
        <v>206.1</v>
      </c>
      <c r="O933" s="130">
        <f>M933*N933</f>
        <v>1.6800800355713652</v>
      </c>
      <c r="P933" s="130">
        <f>M933*60*1000</f>
        <v>489.1062694530903</v>
      </c>
      <c r="Q933" s="111">
        <f>P933*N933/1000</f>
        <v>100.80480213428191</v>
      </c>
      <c r="S933" s="63"/>
      <c r="T933" s="63"/>
    </row>
    <row r="934" spans="1:20" s="3" customFormat="1" ht="13.5" customHeight="1">
      <c r="A934" s="1249"/>
      <c r="B934" s="21">
        <v>6</v>
      </c>
      <c r="C934" s="125"/>
      <c r="D934" s="99"/>
      <c r="E934" s="99"/>
      <c r="F934" s="202"/>
      <c r="G934" s="202"/>
      <c r="H934" s="202"/>
      <c r="I934" s="202"/>
      <c r="J934" s="220"/>
      <c r="K934" s="202"/>
      <c r="L934" s="220"/>
      <c r="M934" s="108"/>
      <c r="N934" s="109"/>
      <c r="O934" s="110"/>
      <c r="P934" s="130"/>
      <c r="Q934" s="111"/>
      <c r="S934" s="63"/>
      <c r="T934" s="63"/>
    </row>
    <row r="935" spans="1:20" s="3" customFormat="1" ht="13.5" customHeight="1">
      <c r="A935" s="1249"/>
      <c r="B935" s="21">
        <v>7</v>
      </c>
      <c r="C935" s="125"/>
      <c r="D935" s="99"/>
      <c r="E935" s="99"/>
      <c r="F935" s="202"/>
      <c r="G935" s="202"/>
      <c r="H935" s="202"/>
      <c r="I935" s="202"/>
      <c r="J935" s="220"/>
      <c r="K935" s="202"/>
      <c r="L935" s="220"/>
      <c r="M935" s="108"/>
      <c r="N935" s="109"/>
      <c r="O935" s="110"/>
      <c r="P935" s="130"/>
      <c r="Q935" s="111"/>
      <c r="S935" s="63"/>
      <c r="T935" s="63"/>
    </row>
    <row r="936" spans="1:20" s="3" customFormat="1" ht="13.5" customHeight="1" thickBot="1">
      <c r="A936" s="1250"/>
      <c r="B936" s="21">
        <v>8</v>
      </c>
      <c r="C936" s="128"/>
      <c r="D936" s="100"/>
      <c r="E936" s="100"/>
      <c r="F936" s="203"/>
      <c r="G936" s="203"/>
      <c r="H936" s="203"/>
      <c r="I936" s="203"/>
      <c r="J936" s="221"/>
      <c r="K936" s="203"/>
      <c r="L936" s="221"/>
      <c r="M936" s="140"/>
      <c r="N936" s="129"/>
      <c r="O936" s="222"/>
      <c r="P936" s="141"/>
      <c r="Q936" s="131"/>
      <c r="S936" s="63"/>
      <c r="T936" s="63"/>
    </row>
    <row r="937" spans="1:20" ht="12.75" customHeight="1">
      <c r="A937" s="1242" t="s">
        <v>29</v>
      </c>
      <c r="B937" s="404">
        <v>1</v>
      </c>
      <c r="C937" s="429" t="s">
        <v>582</v>
      </c>
      <c r="D937" s="404">
        <v>80</v>
      </c>
      <c r="E937" s="404" t="s">
        <v>64</v>
      </c>
      <c r="F937" s="430">
        <f>G937+H937+I937</f>
        <v>63.94</v>
      </c>
      <c r="G937" s="430">
        <v>5.7</v>
      </c>
      <c r="H937" s="430">
        <v>13.03</v>
      </c>
      <c r="I937" s="430">
        <v>45.21</v>
      </c>
      <c r="J937" s="431">
        <v>3919.9</v>
      </c>
      <c r="K937" s="430">
        <v>41.6</v>
      </c>
      <c r="L937" s="431">
        <v>3635.24</v>
      </c>
      <c r="M937" s="447">
        <f aca="true" t="shared" si="150" ref="M937:M967">K937/L937</f>
        <v>0.011443536052640266</v>
      </c>
      <c r="N937" s="448">
        <v>206.1</v>
      </c>
      <c r="O937" s="449">
        <f aca="true" t="shared" si="151" ref="O937:O967">M937*N937</f>
        <v>2.358512780449159</v>
      </c>
      <c r="P937" s="449">
        <f aca="true" t="shared" si="152" ref="P937:P967">M937*60*1000</f>
        <v>686.612163158416</v>
      </c>
      <c r="Q937" s="450">
        <f aca="true" t="shared" si="153" ref="Q937:Q967">P937*N937/1000</f>
        <v>141.51076682694955</v>
      </c>
      <c r="R937" s="6"/>
      <c r="S937" s="63"/>
      <c r="T937" s="63"/>
    </row>
    <row r="938" spans="1:20" ht="12.75">
      <c r="A938" s="1243"/>
      <c r="B938" s="377">
        <v>2</v>
      </c>
      <c r="C938" s="414" t="s">
        <v>583</v>
      </c>
      <c r="D938" s="377">
        <v>85</v>
      </c>
      <c r="E938" s="377" t="s">
        <v>64</v>
      </c>
      <c r="F938" s="379">
        <f aca="true" t="shared" si="154" ref="F938:F967">SUM(G938:I938)</f>
        <v>65.32</v>
      </c>
      <c r="G938" s="379">
        <v>5.15</v>
      </c>
      <c r="H938" s="379">
        <v>13.86</v>
      </c>
      <c r="I938" s="379">
        <v>46.31</v>
      </c>
      <c r="J938" s="380">
        <v>3854.08</v>
      </c>
      <c r="K938" s="379">
        <v>45.88</v>
      </c>
      <c r="L938" s="380">
        <v>3819.34</v>
      </c>
      <c r="M938" s="374">
        <f t="shared" si="150"/>
        <v>0.012012546670367132</v>
      </c>
      <c r="N938" s="373">
        <v>206.1</v>
      </c>
      <c r="O938" s="376">
        <f t="shared" si="151"/>
        <v>2.475785868762666</v>
      </c>
      <c r="P938" s="369">
        <f t="shared" si="152"/>
        <v>720.7528002220279</v>
      </c>
      <c r="Q938" s="375">
        <f t="shared" si="153"/>
        <v>148.54715212575996</v>
      </c>
      <c r="R938" s="6"/>
      <c r="S938" s="63"/>
      <c r="T938" s="63"/>
    </row>
    <row r="939" spans="1:20" ht="12.75">
      <c r="A939" s="1243"/>
      <c r="B939" s="377">
        <v>3</v>
      </c>
      <c r="C939" s="414" t="s">
        <v>588</v>
      </c>
      <c r="D939" s="395">
        <v>36</v>
      </c>
      <c r="E939" s="377" t="s">
        <v>64</v>
      </c>
      <c r="F939" s="379">
        <f t="shared" si="154"/>
        <v>37.57</v>
      </c>
      <c r="G939" s="379">
        <v>3.5</v>
      </c>
      <c r="H939" s="379">
        <v>5.95</v>
      </c>
      <c r="I939" s="379">
        <v>28.12</v>
      </c>
      <c r="J939" s="380">
        <v>2354.69</v>
      </c>
      <c r="K939" s="379">
        <v>25.5</v>
      </c>
      <c r="L939" s="380">
        <v>2070.59</v>
      </c>
      <c r="M939" s="374">
        <f t="shared" si="150"/>
        <v>0.012315330413070669</v>
      </c>
      <c r="N939" s="373">
        <v>206.1</v>
      </c>
      <c r="O939" s="376">
        <f t="shared" si="151"/>
        <v>2.5381895981338647</v>
      </c>
      <c r="P939" s="369">
        <f t="shared" si="152"/>
        <v>738.9198247842401</v>
      </c>
      <c r="Q939" s="375">
        <f t="shared" si="153"/>
        <v>152.29137588803187</v>
      </c>
      <c r="R939" s="6"/>
      <c r="S939" s="63"/>
      <c r="T939" s="63"/>
    </row>
    <row r="940" spans="1:20" ht="12.75">
      <c r="A940" s="1243"/>
      <c r="B940" s="377">
        <v>4</v>
      </c>
      <c r="C940" s="414" t="s">
        <v>581</v>
      </c>
      <c r="D940" s="395">
        <v>60</v>
      </c>
      <c r="E940" s="377" t="s">
        <v>64</v>
      </c>
      <c r="F940" s="379">
        <f t="shared" si="154"/>
        <v>42.7</v>
      </c>
      <c r="G940" s="379">
        <v>2.83</v>
      </c>
      <c r="H940" s="379">
        <v>9.78</v>
      </c>
      <c r="I940" s="379">
        <v>30.09</v>
      </c>
      <c r="J940" s="380">
        <v>2404.54</v>
      </c>
      <c r="K940" s="379">
        <v>30.09</v>
      </c>
      <c r="L940" s="380">
        <v>2404.54</v>
      </c>
      <c r="M940" s="374">
        <f t="shared" si="150"/>
        <v>0.012513828008683574</v>
      </c>
      <c r="N940" s="373">
        <v>206.1</v>
      </c>
      <c r="O940" s="376">
        <f t="shared" si="151"/>
        <v>2.5790999525896847</v>
      </c>
      <c r="P940" s="369">
        <f t="shared" si="152"/>
        <v>750.8296805210144</v>
      </c>
      <c r="Q940" s="375">
        <f t="shared" si="153"/>
        <v>154.74599715538108</v>
      </c>
      <c r="R940" s="6"/>
      <c r="S940" s="63"/>
      <c r="T940" s="63"/>
    </row>
    <row r="941" spans="1:20" ht="12.75">
      <c r="A941" s="1243"/>
      <c r="B941" s="377">
        <v>5</v>
      </c>
      <c r="C941" s="414" t="s">
        <v>589</v>
      </c>
      <c r="D941" s="377">
        <v>45</v>
      </c>
      <c r="E941" s="377" t="s">
        <v>64</v>
      </c>
      <c r="F941" s="379">
        <f t="shared" si="154"/>
        <v>41.1</v>
      </c>
      <c r="G941" s="379">
        <v>3.67</v>
      </c>
      <c r="H941" s="379">
        <v>7.34</v>
      </c>
      <c r="I941" s="379">
        <v>30.09</v>
      </c>
      <c r="J941" s="380">
        <v>2356.23</v>
      </c>
      <c r="K941" s="379">
        <v>30.09</v>
      </c>
      <c r="L941" s="380">
        <v>2356.23</v>
      </c>
      <c r="M941" s="374">
        <f t="shared" si="150"/>
        <v>0.012770400173157968</v>
      </c>
      <c r="N941" s="373">
        <v>206.1</v>
      </c>
      <c r="O941" s="376">
        <f t="shared" si="151"/>
        <v>2.6319794756878574</v>
      </c>
      <c r="P941" s="376">
        <f t="shared" si="152"/>
        <v>766.224010389478</v>
      </c>
      <c r="Q941" s="375">
        <f t="shared" si="153"/>
        <v>157.91876854127142</v>
      </c>
      <c r="R941" s="6"/>
      <c r="S941" s="63"/>
      <c r="T941" s="63"/>
    </row>
    <row r="942" spans="1:20" ht="12.75">
      <c r="A942" s="1243"/>
      <c r="B942" s="377">
        <v>6</v>
      </c>
      <c r="C942" s="414" t="s">
        <v>585</v>
      </c>
      <c r="D942" s="395">
        <v>45</v>
      </c>
      <c r="E942" s="377" t="s">
        <v>64</v>
      </c>
      <c r="F942" s="379">
        <f t="shared" si="154"/>
        <v>41.9</v>
      </c>
      <c r="G942" s="379">
        <v>3.72</v>
      </c>
      <c r="H942" s="379">
        <v>7.34</v>
      </c>
      <c r="I942" s="379">
        <v>30.84</v>
      </c>
      <c r="J942" s="380">
        <v>2363.02</v>
      </c>
      <c r="K942" s="379">
        <v>30.84</v>
      </c>
      <c r="L942" s="380">
        <v>2363.02</v>
      </c>
      <c r="M942" s="367">
        <f t="shared" si="150"/>
        <v>0.013051095631860923</v>
      </c>
      <c r="N942" s="373">
        <v>206.1</v>
      </c>
      <c r="O942" s="369">
        <f t="shared" si="151"/>
        <v>2.689830809726536</v>
      </c>
      <c r="P942" s="369">
        <f t="shared" si="152"/>
        <v>783.0657379116554</v>
      </c>
      <c r="Q942" s="370">
        <f t="shared" si="153"/>
        <v>161.3898485835922</v>
      </c>
      <c r="R942" s="6"/>
      <c r="S942" s="63"/>
      <c r="T942" s="63"/>
    </row>
    <row r="943" spans="1:20" ht="12.75">
      <c r="A943" s="1243"/>
      <c r="B943" s="377">
        <v>7</v>
      </c>
      <c r="C943" s="414" t="s">
        <v>584</v>
      </c>
      <c r="D943" s="395">
        <v>80</v>
      </c>
      <c r="E943" s="377" t="s">
        <v>64</v>
      </c>
      <c r="F943" s="379">
        <f t="shared" si="154"/>
        <v>72.53999999999999</v>
      </c>
      <c r="G943" s="379">
        <v>5.99</v>
      </c>
      <c r="H943" s="379">
        <v>13.05</v>
      </c>
      <c r="I943" s="379">
        <v>53.5</v>
      </c>
      <c r="J943" s="380">
        <v>3925.41</v>
      </c>
      <c r="K943" s="379">
        <v>49.8</v>
      </c>
      <c r="L943" s="380">
        <v>3670.74</v>
      </c>
      <c r="M943" s="374">
        <f t="shared" si="150"/>
        <v>0.013566746759508981</v>
      </c>
      <c r="N943" s="373">
        <v>206.1</v>
      </c>
      <c r="O943" s="369">
        <f t="shared" si="151"/>
        <v>2.796106507134801</v>
      </c>
      <c r="P943" s="369">
        <f t="shared" si="152"/>
        <v>814.0048055705389</v>
      </c>
      <c r="Q943" s="375">
        <f t="shared" si="153"/>
        <v>167.76639042808804</v>
      </c>
      <c r="R943" s="6"/>
      <c r="S943" s="63"/>
      <c r="T943" s="63"/>
    </row>
    <row r="944" spans="1:20" ht="12.75">
      <c r="A944" s="1243"/>
      <c r="B944" s="377">
        <v>8</v>
      </c>
      <c r="C944" s="414" t="s">
        <v>587</v>
      </c>
      <c r="D944" s="377">
        <v>80</v>
      </c>
      <c r="E944" s="377" t="s">
        <v>64</v>
      </c>
      <c r="F944" s="379">
        <f t="shared" si="154"/>
        <v>72.3</v>
      </c>
      <c r="G944" s="379">
        <v>6.1</v>
      </c>
      <c r="H944" s="379">
        <v>12.9</v>
      </c>
      <c r="I944" s="379">
        <v>53.3</v>
      </c>
      <c r="J944" s="380">
        <v>3898.3</v>
      </c>
      <c r="K944" s="379">
        <v>46.6</v>
      </c>
      <c r="L944" s="380">
        <v>3435.94</v>
      </c>
      <c r="M944" s="374">
        <f t="shared" si="150"/>
        <v>0.013562518553874631</v>
      </c>
      <c r="N944" s="373">
        <v>206.1</v>
      </c>
      <c r="O944" s="376">
        <f t="shared" si="151"/>
        <v>2.7952350739535614</v>
      </c>
      <c r="P944" s="376">
        <f t="shared" si="152"/>
        <v>813.7511132324778</v>
      </c>
      <c r="Q944" s="375">
        <f t="shared" si="153"/>
        <v>167.71410443721368</v>
      </c>
      <c r="R944" s="6"/>
      <c r="S944" s="63"/>
      <c r="T944" s="63"/>
    </row>
    <row r="945" spans="1:20" ht="13.5" customHeight="1">
      <c r="A945" s="1243"/>
      <c r="B945" s="377">
        <v>9</v>
      </c>
      <c r="C945" s="414" t="s">
        <v>590</v>
      </c>
      <c r="D945" s="377">
        <v>20</v>
      </c>
      <c r="E945" s="377" t="s">
        <v>64</v>
      </c>
      <c r="F945" s="379">
        <f t="shared" si="154"/>
        <v>18.87</v>
      </c>
      <c r="G945" s="746">
        <v>1.23</v>
      </c>
      <c r="H945" s="746">
        <v>3.26</v>
      </c>
      <c r="I945" s="746">
        <v>14.38</v>
      </c>
      <c r="J945" s="380">
        <v>1055.4</v>
      </c>
      <c r="K945" s="379">
        <v>14.38</v>
      </c>
      <c r="L945" s="380">
        <v>1041.58</v>
      </c>
      <c r="M945" s="374">
        <f t="shared" si="150"/>
        <v>0.013805948654928091</v>
      </c>
      <c r="N945" s="373">
        <v>206.1</v>
      </c>
      <c r="O945" s="376">
        <f t="shared" si="151"/>
        <v>2.8454060177806797</v>
      </c>
      <c r="P945" s="376">
        <f t="shared" si="152"/>
        <v>828.3569192956854</v>
      </c>
      <c r="Q945" s="375">
        <f t="shared" si="153"/>
        <v>170.72436106684077</v>
      </c>
      <c r="R945" s="6"/>
      <c r="S945" s="63"/>
      <c r="T945" s="63"/>
    </row>
    <row r="946" spans="1:20" ht="13.5" customHeight="1" thickBot="1">
      <c r="A946" s="1244"/>
      <c r="B946" s="386">
        <v>10</v>
      </c>
      <c r="C946" s="799" t="s">
        <v>592</v>
      </c>
      <c r="D946" s="800">
        <v>45</v>
      </c>
      <c r="E946" s="800" t="s">
        <v>64</v>
      </c>
      <c r="F946" s="443">
        <f t="shared" si="154"/>
        <v>44.709999999999994</v>
      </c>
      <c r="G946" s="434">
        <v>4.39</v>
      </c>
      <c r="H946" s="434">
        <v>7.34</v>
      </c>
      <c r="I946" s="443">
        <v>32.98</v>
      </c>
      <c r="J946" s="801">
        <v>2336.24</v>
      </c>
      <c r="K946" s="443">
        <v>32.98</v>
      </c>
      <c r="L946" s="801">
        <v>2336.24</v>
      </c>
      <c r="M946" s="646">
        <f t="shared" si="150"/>
        <v>0.014116700339006267</v>
      </c>
      <c r="N946" s="647">
        <v>206.1</v>
      </c>
      <c r="O946" s="495">
        <f t="shared" si="151"/>
        <v>2.9094519398691916</v>
      </c>
      <c r="P946" s="987">
        <f t="shared" si="152"/>
        <v>847.002020340376</v>
      </c>
      <c r="Q946" s="496">
        <f t="shared" si="153"/>
        <v>174.5671163921515</v>
      </c>
      <c r="R946" s="6"/>
      <c r="S946" s="63"/>
      <c r="T946" s="63"/>
    </row>
    <row r="947" spans="1:20" ht="12.75">
      <c r="A947" s="1371" t="s">
        <v>30</v>
      </c>
      <c r="B947" s="564">
        <v>1</v>
      </c>
      <c r="C947" s="572" t="s">
        <v>586</v>
      </c>
      <c r="D947" s="564">
        <v>40</v>
      </c>
      <c r="E947" s="564" t="s">
        <v>64</v>
      </c>
      <c r="F947" s="764">
        <f t="shared" si="154"/>
        <v>43.49</v>
      </c>
      <c r="G947" s="764">
        <v>4.28</v>
      </c>
      <c r="H947" s="764">
        <v>6.44</v>
      </c>
      <c r="I947" s="764">
        <v>32.77</v>
      </c>
      <c r="J947" s="767">
        <v>2278.59</v>
      </c>
      <c r="K947" s="764">
        <v>32.77</v>
      </c>
      <c r="L947" s="767">
        <v>2278.59</v>
      </c>
      <c r="M947" s="759">
        <f t="shared" si="150"/>
        <v>0.014381700964192768</v>
      </c>
      <c r="N947" s="757">
        <v>206.1</v>
      </c>
      <c r="O947" s="760">
        <f t="shared" si="151"/>
        <v>2.9640685687201294</v>
      </c>
      <c r="P947" s="760">
        <f t="shared" si="152"/>
        <v>862.902057851566</v>
      </c>
      <c r="Q947" s="761">
        <f t="shared" si="153"/>
        <v>177.84411412320776</v>
      </c>
      <c r="S947" s="63"/>
      <c r="T947" s="63"/>
    </row>
    <row r="948" spans="1:20" ht="12.75">
      <c r="A948" s="1372"/>
      <c r="B948" s="565">
        <v>2</v>
      </c>
      <c r="C948" s="575" t="s">
        <v>594</v>
      </c>
      <c r="D948" s="565">
        <v>20</v>
      </c>
      <c r="E948" s="565" t="s">
        <v>64</v>
      </c>
      <c r="F948" s="566">
        <f t="shared" si="154"/>
        <v>23.48</v>
      </c>
      <c r="G948" s="766">
        <v>4.55</v>
      </c>
      <c r="H948" s="766">
        <v>3.27</v>
      </c>
      <c r="I948" s="766">
        <v>15.66</v>
      </c>
      <c r="J948" s="567">
        <v>957.78</v>
      </c>
      <c r="K948" s="566">
        <v>14.57</v>
      </c>
      <c r="L948" s="567">
        <v>902.07</v>
      </c>
      <c r="M948" s="753">
        <f t="shared" si="150"/>
        <v>0.016151739887148447</v>
      </c>
      <c r="N948" s="754">
        <v>206.1</v>
      </c>
      <c r="O948" s="755">
        <f t="shared" si="151"/>
        <v>3.3288735907412947</v>
      </c>
      <c r="P948" s="755">
        <f t="shared" si="152"/>
        <v>969.1043932289068</v>
      </c>
      <c r="Q948" s="756">
        <f t="shared" si="153"/>
        <v>199.73241544447768</v>
      </c>
      <c r="S948" s="63"/>
      <c r="T948" s="63"/>
    </row>
    <row r="949" spans="1:20" ht="12.75">
      <c r="A949" s="1372"/>
      <c r="B949" s="565">
        <v>3</v>
      </c>
      <c r="C949" s="575" t="s">
        <v>596</v>
      </c>
      <c r="D949" s="565">
        <v>31</v>
      </c>
      <c r="E949" s="565" t="s">
        <v>64</v>
      </c>
      <c r="F949" s="566">
        <f t="shared" si="154"/>
        <v>28.23</v>
      </c>
      <c r="G949" s="766">
        <v>1.58</v>
      </c>
      <c r="H949" s="766">
        <v>2.53</v>
      </c>
      <c r="I949" s="766">
        <v>24.12</v>
      </c>
      <c r="J949" s="567">
        <v>1226.64</v>
      </c>
      <c r="K949" s="566">
        <v>19.6</v>
      </c>
      <c r="L949" s="567">
        <v>1202.59</v>
      </c>
      <c r="M949" s="753">
        <f t="shared" si="150"/>
        <v>0.01629815647893297</v>
      </c>
      <c r="N949" s="754">
        <v>206.1</v>
      </c>
      <c r="O949" s="755">
        <f t="shared" si="151"/>
        <v>3.359050050308085</v>
      </c>
      <c r="P949" s="755">
        <f t="shared" si="152"/>
        <v>977.8893887359783</v>
      </c>
      <c r="Q949" s="756">
        <f t="shared" si="153"/>
        <v>201.5430030184851</v>
      </c>
      <c r="S949" s="63"/>
      <c r="T949" s="63"/>
    </row>
    <row r="950" spans="1:20" ht="12.75">
      <c r="A950" s="1372"/>
      <c r="B950" s="565">
        <v>4</v>
      </c>
      <c r="C950" s="575" t="s">
        <v>591</v>
      </c>
      <c r="D950" s="565">
        <v>40</v>
      </c>
      <c r="E950" s="565" t="s">
        <v>64</v>
      </c>
      <c r="F950" s="566">
        <f t="shared" si="154"/>
        <v>52.22</v>
      </c>
      <c r="G950" s="766">
        <v>3.67</v>
      </c>
      <c r="H950" s="766">
        <v>6.52</v>
      </c>
      <c r="I950" s="766">
        <v>42.03</v>
      </c>
      <c r="J950" s="567">
        <v>2512.91</v>
      </c>
      <c r="K950" s="566">
        <v>42.03</v>
      </c>
      <c r="L950" s="567">
        <v>2512.91</v>
      </c>
      <c r="M950" s="753">
        <f t="shared" si="150"/>
        <v>0.01672562885260515</v>
      </c>
      <c r="N950" s="754">
        <v>206.1</v>
      </c>
      <c r="O950" s="755">
        <f t="shared" si="151"/>
        <v>3.447152106521921</v>
      </c>
      <c r="P950" s="755">
        <f t="shared" si="152"/>
        <v>1003.537731156309</v>
      </c>
      <c r="Q950" s="756">
        <f t="shared" si="153"/>
        <v>206.82912639131527</v>
      </c>
      <c r="S950" s="63"/>
      <c r="T950" s="63"/>
    </row>
    <row r="951" spans="1:20" ht="12.75">
      <c r="A951" s="1372"/>
      <c r="B951" s="565">
        <v>5</v>
      </c>
      <c r="C951" s="575" t="s">
        <v>603</v>
      </c>
      <c r="D951" s="565">
        <v>41</v>
      </c>
      <c r="E951" s="565" t="s">
        <v>64</v>
      </c>
      <c r="F951" s="566">
        <f t="shared" si="154"/>
        <v>38.41</v>
      </c>
      <c r="G951" s="766">
        <v>3.06</v>
      </c>
      <c r="H951" s="766">
        <v>0.45</v>
      </c>
      <c r="I951" s="766">
        <v>34.9</v>
      </c>
      <c r="J951" s="567">
        <v>1881.35</v>
      </c>
      <c r="K951" s="566">
        <v>32.36</v>
      </c>
      <c r="L951" s="567">
        <v>1790.34</v>
      </c>
      <c r="M951" s="753">
        <f t="shared" si="150"/>
        <v>0.018074779092239462</v>
      </c>
      <c r="N951" s="754">
        <v>206.1</v>
      </c>
      <c r="O951" s="755">
        <f t="shared" si="151"/>
        <v>3.725211970910553</v>
      </c>
      <c r="P951" s="755">
        <f t="shared" si="152"/>
        <v>1084.4867455343676</v>
      </c>
      <c r="Q951" s="756">
        <f t="shared" si="153"/>
        <v>223.51271825463317</v>
      </c>
      <c r="S951" s="63"/>
      <c r="T951" s="63"/>
    </row>
    <row r="952" spans="1:20" ht="12.75">
      <c r="A952" s="1372"/>
      <c r="B952" s="565">
        <v>6</v>
      </c>
      <c r="C952" s="575" t="s">
        <v>604</v>
      </c>
      <c r="D952" s="565">
        <v>44</v>
      </c>
      <c r="E952" s="565" t="s">
        <v>64</v>
      </c>
      <c r="F952" s="566">
        <f t="shared" si="154"/>
        <v>39.37</v>
      </c>
      <c r="G952" s="766">
        <v>2.75</v>
      </c>
      <c r="H952" s="766">
        <v>0.4</v>
      </c>
      <c r="I952" s="766">
        <v>36.22</v>
      </c>
      <c r="J952" s="567">
        <v>1849.35</v>
      </c>
      <c r="K952" s="566">
        <v>32.17</v>
      </c>
      <c r="L952" s="567">
        <v>1721.5</v>
      </c>
      <c r="M952" s="753">
        <f t="shared" si="150"/>
        <v>0.018687191402846356</v>
      </c>
      <c r="N952" s="754">
        <v>206.1</v>
      </c>
      <c r="O952" s="755">
        <f t="shared" si="151"/>
        <v>3.8514301481266338</v>
      </c>
      <c r="P952" s="755">
        <f t="shared" si="152"/>
        <v>1121.2314841707814</v>
      </c>
      <c r="Q952" s="756">
        <f t="shared" si="153"/>
        <v>231.08580888759803</v>
      </c>
      <c r="S952" s="63"/>
      <c r="T952" s="63"/>
    </row>
    <row r="953" spans="1:20" ht="12.75">
      <c r="A953" s="1372"/>
      <c r="B953" s="565">
        <v>7</v>
      </c>
      <c r="C953" s="575" t="s">
        <v>597</v>
      </c>
      <c r="D953" s="565">
        <v>20</v>
      </c>
      <c r="E953" s="565" t="s">
        <v>64</v>
      </c>
      <c r="F953" s="566">
        <f t="shared" si="154"/>
        <v>24.13</v>
      </c>
      <c r="G953" s="766">
        <v>1.33</v>
      </c>
      <c r="H953" s="766">
        <v>3.26</v>
      </c>
      <c r="I953" s="766">
        <v>19.54</v>
      </c>
      <c r="J953" s="567">
        <v>1042.41</v>
      </c>
      <c r="K953" s="566">
        <v>19.54</v>
      </c>
      <c r="L953" s="567">
        <v>1042.41</v>
      </c>
      <c r="M953" s="753">
        <f t="shared" si="150"/>
        <v>0.018745023551193864</v>
      </c>
      <c r="N953" s="754">
        <v>206.1</v>
      </c>
      <c r="O953" s="755">
        <f t="shared" si="151"/>
        <v>3.8633493539010555</v>
      </c>
      <c r="P953" s="755">
        <f t="shared" si="152"/>
        <v>1124.701413071632</v>
      </c>
      <c r="Q953" s="756">
        <f t="shared" si="153"/>
        <v>231.80096123406335</v>
      </c>
      <c r="S953" s="63"/>
      <c r="T953" s="63"/>
    </row>
    <row r="954" spans="1:20" ht="12.75">
      <c r="A954" s="1372"/>
      <c r="B954" s="565">
        <v>8</v>
      </c>
      <c r="C954" s="575" t="s">
        <v>595</v>
      </c>
      <c r="D954" s="565">
        <v>24</v>
      </c>
      <c r="E954" s="565" t="s">
        <v>64</v>
      </c>
      <c r="F954" s="566">
        <f t="shared" si="154"/>
        <v>24</v>
      </c>
      <c r="G954" s="766">
        <v>2.45</v>
      </c>
      <c r="H954" s="766">
        <v>0.23</v>
      </c>
      <c r="I954" s="766">
        <v>21.32</v>
      </c>
      <c r="J954" s="567">
        <v>1111.86</v>
      </c>
      <c r="K954" s="566">
        <v>18.58</v>
      </c>
      <c r="L954" s="567">
        <v>980.15</v>
      </c>
      <c r="M954" s="753">
        <f t="shared" si="150"/>
        <v>0.018956282201703818</v>
      </c>
      <c r="N954" s="754">
        <v>206.1</v>
      </c>
      <c r="O954" s="755">
        <f t="shared" si="151"/>
        <v>3.906889761771157</v>
      </c>
      <c r="P954" s="755">
        <f t="shared" si="152"/>
        <v>1137.3769321022291</v>
      </c>
      <c r="Q954" s="756">
        <f t="shared" si="153"/>
        <v>234.41338570626942</v>
      </c>
      <c r="S954" s="63"/>
      <c r="T954" s="63"/>
    </row>
    <row r="955" spans="1:20" ht="12.75">
      <c r="A955" s="1373"/>
      <c r="B955" s="576">
        <v>9</v>
      </c>
      <c r="C955" s="575" t="s">
        <v>491</v>
      </c>
      <c r="D955" s="565">
        <v>41</v>
      </c>
      <c r="E955" s="565" t="s">
        <v>64</v>
      </c>
      <c r="F955" s="566">
        <f t="shared" si="154"/>
        <v>19.12</v>
      </c>
      <c r="G955" s="766">
        <v>1.16</v>
      </c>
      <c r="H955" s="766">
        <v>0.2</v>
      </c>
      <c r="I955" s="766">
        <v>17.76</v>
      </c>
      <c r="J955" s="567">
        <v>910.85</v>
      </c>
      <c r="K955" s="566">
        <v>16.75</v>
      </c>
      <c r="L955" s="567">
        <v>867.57</v>
      </c>
      <c r="M955" s="753">
        <f t="shared" si="150"/>
        <v>0.0193067994513411</v>
      </c>
      <c r="N955" s="754">
        <v>206.1</v>
      </c>
      <c r="O955" s="755">
        <f t="shared" si="151"/>
        <v>3.9791313669214006</v>
      </c>
      <c r="P955" s="755">
        <f t="shared" si="152"/>
        <v>1158.4079670804658</v>
      </c>
      <c r="Q955" s="756">
        <f t="shared" si="153"/>
        <v>238.747882015284</v>
      </c>
      <c r="S955" s="63"/>
      <c r="T955" s="63"/>
    </row>
    <row r="956" spans="1:20" ht="13.5" thickBot="1">
      <c r="A956" s="1374"/>
      <c r="B956" s="529">
        <v>10</v>
      </c>
      <c r="C956" s="841" t="s">
        <v>599</v>
      </c>
      <c r="D956" s="529">
        <v>42</v>
      </c>
      <c r="E956" s="529" t="s">
        <v>64</v>
      </c>
      <c r="F956" s="885">
        <f t="shared" si="154"/>
        <v>40.449999999999996</v>
      </c>
      <c r="G956" s="1141">
        <v>2.6</v>
      </c>
      <c r="H956" s="1141">
        <v>0.44</v>
      </c>
      <c r="I956" s="1141">
        <v>37.41</v>
      </c>
      <c r="J956" s="530">
        <v>1954.43</v>
      </c>
      <c r="K956" s="885">
        <v>36.27</v>
      </c>
      <c r="L956" s="530">
        <v>1862.1</v>
      </c>
      <c r="M956" s="902">
        <f t="shared" si="150"/>
        <v>0.019478008699855005</v>
      </c>
      <c r="N956" s="903">
        <v>206.1</v>
      </c>
      <c r="O956" s="904">
        <f t="shared" si="151"/>
        <v>4.0144175930401165</v>
      </c>
      <c r="P956" s="904">
        <f t="shared" si="152"/>
        <v>1168.6805219913003</v>
      </c>
      <c r="Q956" s="905">
        <f t="shared" si="153"/>
        <v>240.865055582407</v>
      </c>
      <c r="S956" s="63"/>
      <c r="T956" s="63"/>
    </row>
    <row r="957" spans="1:20" ht="13.5" customHeight="1">
      <c r="A957" s="1245" t="s">
        <v>12</v>
      </c>
      <c r="B957" s="27">
        <v>1</v>
      </c>
      <c r="C957" s="1139" t="s">
        <v>606</v>
      </c>
      <c r="D957" s="613">
        <v>22</v>
      </c>
      <c r="E957" s="613" t="s">
        <v>64</v>
      </c>
      <c r="F957" s="559">
        <f t="shared" si="154"/>
        <v>21.53</v>
      </c>
      <c r="G957" s="1140">
        <v>1.33</v>
      </c>
      <c r="H957" s="1140">
        <v>0.22</v>
      </c>
      <c r="I957" s="1140">
        <v>19.98</v>
      </c>
      <c r="J957" s="617">
        <v>896.35</v>
      </c>
      <c r="K957" s="559">
        <v>13.87</v>
      </c>
      <c r="L957" s="617">
        <v>640.15</v>
      </c>
      <c r="M957" s="691">
        <f t="shared" si="150"/>
        <v>0.02166679684448957</v>
      </c>
      <c r="N957" s="719">
        <v>206.1</v>
      </c>
      <c r="O957" s="693">
        <f t="shared" si="151"/>
        <v>4.4655268296493</v>
      </c>
      <c r="P957" s="693">
        <f t="shared" si="152"/>
        <v>1300.0078106693743</v>
      </c>
      <c r="Q957" s="694">
        <f t="shared" si="153"/>
        <v>267.93160977895803</v>
      </c>
      <c r="S957" s="63"/>
      <c r="T957" s="63"/>
    </row>
    <row r="958" spans="1:20" ht="12.75">
      <c r="A958" s="1246"/>
      <c r="B958" s="59">
        <v>2</v>
      </c>
      <c r="C958" s="908" t="s">
        <v>593</v>
      </c>
      <c r="D958" s="909">
        <v>14</v>
      </c>
      <c r="E958" s="909" t="s">
        <v>64</v>
      </c>
      <c r="F958" s="642">
        <f t="shared" si="154"/>
        <v>15.276</v>
      </c>
      <c r="G958" s="992">
        <v>1.096</v>
      </c>
      <c r="H958" s="992">
        <v>0.13</v>
      </c>
      <c r="I958" s="992">
        <v>14.05</v>
      </c>
      <c r="J958" s="994">
        <v>617.86</v>
      </c>
      <c r="K958" s="642">
        <v>14.05</v>
      </c>
      <c r="L958" s="994">
        <v>617.86</v>
      </c>
      <c r="M958" s="988">
        <f t="shared" si="150"/>
        <v>0.022739779238015085</v>
      </c>
      <c r="N958" s="995">
        <v>206.1</v>
      </c>
      <c r="O958" s="989">
        <f t="shared" si="151"/>
        <v>4.686668500954909</v>
      </c>
      <c r="P958" s="989">
        <f t="shared" si="152"/>
        <v>1364.3867542809053</v>
      </c>
      <c r="Q958" s="990">
        <f t="shared" si="153"/>
        <v>281.2001100572945</v>
      </c>
      <c r="S958" s="63"/>
      <c r="T958" s="63"/>
    </row>
    <row r="959" spans="1:20" ht="12.75">
      <c r="A959" s="1246"/>
      <c r="B959" s="59">
        <v>3</v>
      </c>
      <c r="C959" s="469" t="s">
        <v>600</v>
      </c>
      <c r="D959" s="470">
        <v>24</v>
      </c>
      <c r="E959" s="470" t="s">
        <v>64</v>
      </c>
      <c r="F959" s="609">
        <f t="shared" si="154"/>
        <v>23.380000000000003</v>
      </c>
      <c r="G959" s="991">
        <v>1.17</v>
      </c>
      <c r="H959" s="991">
        <v>0.25</v>
      </c>
      <c r="I959" s="991">
        <v>21.96</v>
      </c>
      <c r="J959" s="593">
        <v>924.4</v>
      </c>
      <c r="K959" s="609">
        <v>21.96</v>
      </c>
      <c r="L959" s="593">
        <v>923.76</v>
      </c>
      <c r="M959" s="695">
        <f t="shared" si="150"/>
        <v>0.02377240841777085</v>
      </c>
      <c r="N959" s="692">
        <v>206.1</v>
      </c>
      <c r="O959" s="696">
        <f t="shared" si="151"/>
        <v>4.899493374902573</v>
      </c>
      <c r="P959" s="696">
        <f t="shared" si="152"/>
        <v>1426.344505066251</v>
      </c>
      <c r="Q959" s="697">
        <f t="shared" si="153"/>
        <v>293.96960249415434</v>
      </c>
      <c r="S959" s="63"/>
      <c r="T959" s="63"/>
    </row>
    <row r="960" spans="1:20" ht="12.75">
      <c r="A960" s="1246"/>
      <c r="B960" s="29">
        <v>4</v>
      </c>
      <c r="C960" s="469" t="s">
        <v>602</v>
      </c>
      <c r="D960" s="470">
        <v>22</v>
      </c>
      <c r="E960" s="470" t="s">
        <v>64</v>
      </c>
      <c r="F960" s="609">
        <f t="shared" si="154"/>
        <v>19.213</v>
      </c>
      <c r="G960" s="991">
        <v>1.48</v>
      </c>
      <c r="H960" s="991">
        <v>0.163</v>
      </c>
      <c r="I960" s="991">
        <v>17.57</v>
      </c>
      <c r="J960" s="593">
        <v>892</v>
      </c>
      <c r="K960" s="609">
        <v>14.6</v>
      </c>
      <c r="L960" s="593">
        <v>602.03</v>
      </c>
      <c r="M960" s="695">
        <f t="shared" si="150"/>
        <v>0.02425128315864658</v>
      </c>
      <c r="N960" s="692">
        <v>206.1</v>
      </c>
      <c r="O960" s="696">
        <f t="shared" si="151"/>
        <v>4.99818945899706</v>
      </c>
      <c r="P960" s="696">
        <f t="shared" si="152"/>
        <v>1455.076989518795</v>
      </c>
      <c r="Q960" s="697">
        <f t="shared" si="153"/>
        <v>299.89136753982365</v>
      </c>
      <c r="S960" s="63"/>
      <c r="T960" s="63"/>
    </row>
    <row r="961" spans="1:20" ht="12.75">
      <c r="A961" s="1246"/>
      <c r="B961" s="29">
        <v>5</v>
      </c>
      <c r="C961" s="469" t="s">
        <v>598</v>
      </c>
      <c r="D961" s="470">
        <v>107</v>
      </c>
      <c r="E961" s="470" t="s">
        <v>64</v>
      </c>
      <c r="F961" s="609">
        <f t="shared" si="154"/>
        <v>88.44</v>
      </c>
      <c r="G961" s="991">
        <v>3.67</v>
      </c>
      <c r="H961" s="991">
        <v>17.37</v>
      </c>
      <c r="I961" s="991">
        <v>67.4</v>
      </c>
      <c r="J961" s="593">
        <v>2639.07</v>
      </c>
      <c r="K961" s="609">
        <v>61.95</v>
      </c>
      <c r="L961" s="593">
        <v>2449.16</v>
      </c>
      <c r="M961" s="695">
        <f t="shared" si="150"/>
        <v>0.02529438664685035</v>
      </c>
      <c r="N961" s="692">
        <v>206.1</v>
      </c>
      <c r="O961" s="696">
        <f t="shared" si="151"/>
        <v>5.213173087915857</v>
      </c>
      <c r="P961" s="696">
        <f t="shared" si="152"/>
        <v>1517.663198811021</v>
      </c>
      <c r="Q961" s="697">
        <f t="shared" si="153"/>
        <v>312.7903852749514</v>
      </c>
      <c r="S961" s="63"/>
      <c r="T961" s="63"/>
    </row>
    <row r="962" spans="1:20" ht="12.75">
      <c r="A962" s="1246"/>
      <c r="B962" s="29">
        <v>6</v>
      </c>
      <c r="C962" s="469" t="s">
        <v>601</v>
      </c>
      <c r="D962" s="470">
        <v>42</v>
      </c>
      <c r="E962" s="470" t="s">
        <v>64</v>
      </c>
      <c r="F962" s="609">
        <f t="shared" si="154"/>
        <v>36.78</v>
      </c>
      <c r="G962" s="991">
        <v>1.73</v>
      </c>
      <c r="H962" s="991">
        <v>0.37</v>
      </c>
      <c r="I962" s="991">
        <v>34.68</v>
      </c>
      <c r="J962" s="593">
        <v>1469.95</v>
      </c>
      <c r="K962" s="609">
        <v>30.16</v>
      </c>
      <c r="L962" s="593">
        <v>1078.77</v>
      </c>
      <c r="M962" s="695">
        <f t="shared" si="150"/>
        <v>0.027957766715796695</v>
      </c>
      <c r="N962" s="692">
        <v>206.1</v>
      </c>
      <c r="O962" s="696">
        <f t="shared" si="151"/>
        <v>5.762095720125699</v>
      </c>
      <c r="P962" s="696">
        <f t="shared" si="152"/>
        <v>1677.4660029478016</v>
      </c>
      <c r="Q962" s="697">
        <f t="shared" si="153"/>
        <v>345.7257432075419</v>
      </c>
      <c r="S962" s="63"/>
      <c r="T962" s="63"/>
    </row>
    <row r="963" spans="1:20" ht="12.75">
      <c r="A963" s="1246"/>
      <c r="B963" s="29">
        <v>7</v>
      </c>
      <c r="C963" s="469" t="s">
        <v>609</v>
      </c>
      <c r="D963" s="470">
        <v>4</v>
      </c>
      <c r="E963" s="470" t="s">
        <v>64</v>
      </c>
      <c r="F963" s="609">
        <f t="shared" si="154"/>
        <v>8.64</v>
      </c>
      <c r="G963" s="991">
        <v>0.46</v>
      </c>
      <c r="H963" s="991">
        <v>0.65</v>
      </c>
      <c r="I963" s="991">
        <v>7.53</v>
      </c>
      <c r="J963" s="593">
        <v>258.86</v>
      </c>
      <c r="K963" s="609">
        <v>7.53</v>
      </c>
      <c r="L963" s="593">
        <v>258.86</v>
      </c>
      <c r="M963" s="695">
        <f t="shared" si="150"/>
        <v>0.029089082901954725</v>
      </c>
      <c r="N963" s="692">
        <v>206.1</v>
      </c>
      <c r="O963" s="696">
        <f t="shared" si="151"/>
        <v>5.995259986092869</v>
      </c>
      <c r="P963" s="696">
        <f t="shared" si="152"/>
        <v>1745.3449741172835</v>
      </c>
      <c r="Q963" s="697">
        <f t="shared" si="153"/>
        <v>359.71559916557214</v>
      </c>
      <c r="S963" s="63"/>
      <c r="T963" s="63"/>
    </row>
    <row r="964" spans="1:20" ht="12.75">
      <c r="A964" s="1246"/>
      <c r="B964" s="64">
        <v>8</v>
      </c>
      <c r="C964" s="469" t="s">
        <v>605</v>
      </c>
      <c r="D964" s="470">
        <v>19</v>
      </c>
      <c r="E964" s="470" t="s">
        <v>64</v>
      </c>
      <c r="F964" s="609">
        <f t="shared" si="154"/>
        <v>20.59</v>
      </c>
      <c r="G964" s="991">
        <v>0.46</v>
      </c>
      <c r="H964" s="991">
        <v>0.18</v>
      </c>
      <c r="I964" s="991">
        <v>19.95</v>
      </c>
      <c r="J964" s="593">
        <v>617.38</v>
      </c>
      <c r="K964" s="609">
        <v>14.22</v>
      </c>
      <c r="L964" s="593">
        <v>474.16</v>
      </c>
      <c r="M964" s="695">
        <f t="shared" si="150"/>
        <v>0.029989876834823688</v>
      </c>
      <c r="N964" s="692">
        <v>206.1</v>
      </c>
      <c r="O964" s="696">
        <f t="shared" si="151"/>
        <v>6.180913615657162</v>
      </c>
      <c r="P964" s="696">
        <f t="shared" si="152"/>
        <v>1799.3926100894214</v>
      </c>
      <c r="Q964" s="697">
        <f t="shared" si="153"/>
        <v>370.8548169394297</v>
      </c>
      <c r="S964" s="63"/>
      <c r="T964" s="63"/>
    </row>
    <row r="965" spans="1:20" ht="12.75">
      <c r="A965" s="1246"/>
      <c r="B965" s="29">
        <v>9</v>
      </c>
      <c r="C965" s="469" t="s">
        <v>610</v>
      </c>
      <c r="D965" s="470">
        <v>4</v>
      </c>
      <c r="E965" s="470" t="s">
        <v>64</v>
      </c>
      <c r="F965" s="609">
        <f t="shared" si="154"/>
        <v>7.64</v>
      </c>
      <c r="G965" s="609">
        <v>0.1</v>
      </c>
      <c r="H965" s="609">
        <v>0.04</v>
      </c>
      <c r="I965" s="609">
        <v>7.5</v>
      </c>
      <c r="J965" s="593">
        <v>220.46</v>
      </c>
      <c r="K965" s="609">
        <v>4.515</v>
      </c>
      <c r="L965" s="593">
        <v>141.88</v>
      </c>
      <c r="M965" s="695">
        <f t="shared" si="150"/>
        <v>0.03182266704257119</v>
      </c>
      <c r="N965" s="692">
        <v>206.1</v>
      </c>
      <c r="O965" s="696">
        <f t="shared" si="151"/>
        <v>6.558651677473922</v>
      </c>
      <c r="P965" s="696">
        <f t="shared" si="152"/>
        <v>1909.3600225542714</v>
      </c>
      <c r="Q965" s="697">
        <f t="shared" si="153"/>
        <v>393.5191006484353</v>
      </c>
      <c r="S965" s="63"/>
      <c r="T965" s="63"/>
    </row>
    <row r="966" spans="1:20" ht="12.75">
      <c r="A966" s="1246"/>
      <c r="B966" s="29">
        <v>10</v>
      </c>
      <c r="C966" s="469" t="s">
        <v>607</v>
      </c>
      <c r="D966" s="470">
        <v>4</v>
      </c>
      <c r="E966" s="470" t="s">
        <v>64</v>
      </c>
      <c r="F966" s="609">
        <f t="shared" si="154"/>
        <v>5.215</v>
      </c>
      <c r="G966" s="991">
        <v>0.1</v>
      </c>
      <c r="H966" s="991">
        <v>0.04</v>
      </c>
      <c r="I966" s="991">
        <v>5.075</v>
      </c>
      <c r="J966" s="593">
        <v>152.25</v>
      </c>
      <c r="K966" s="609">
        <v>5.075</v>
      </c>
      <c r="L966" s="593">
        <v>152.25</v>
      </c>
      <c r="M966" s="695">
        <f t="shared" si="150"/>
        <v>0.03333333333333333</v>
      </c>
      <c r="N966" s="692">
        <v>206.1</v>
      </c>
      <c r="O966" s="696">
        <f t="shared" si="151"/>
        <v>6.87</v>
      </c>
      <c r="P966" s="696">
        <f t="shared" si="152"/>
        <v>2000</v>
      </c>
      <c r="Q966" s="697">
        <f t="shared" si="153"/>
        <v>412.2</v>
      </c>
      <c r="S966" s="63"/>
      <c r="T966" s="63"/>
    </row>
    <row r="967" spans="1:20" ht="13.5" thickBot="1">
      <c r="A967" s="1246"/>
      <c r="B967" s="59">
        <v>11</v>
      </c>
      <c r="C967" s="473" t="s">
        <v>608</v>
      </c>
      <c r="D967" s="474">
        <v>6</v>
      </c>
      <c r="E967" s="474" t="s">
        <v>64</v>
      </c>
      <c r="F967" s="610">
        <f t="shared" si="154"/>
        <v>11.61</v>
      </c>
      <c r="G967" s="993">
        <v>0</v>
      </c>
      <c r="H967" s="993">
        <v>0</v>
      </c>
      <c r="I967" s="993">
        <v>11.61</v>
      </c>
      <c r="J967" s="594">
        <v>321.15</v>
      </c>
      <c r="K967" s="610">
        <v>11.61</v>
      </c>
      <c r="L967" s="594">
        <v>321.15</v>
      </c>
      <c r="M967" s="698">
        <f t="shared" si="150"/>
        <v>0.03615133115366651</v>
      </c>
      <c r="N967" s="702">
        <v>206.1</v>
      </c>
      <c r="O967" s="699">
        <f t="shared" si="151"/>
        <v>7.450789350770668</v>
      </c>
      <c r="P967" s="699">
        <f t="shared" si="152"/>
        <v>2169.0798692199905</v>
      </c>
      <c r="Q967" s="700">
        <f t="shared" si="153"/>
        <v>447.04736104624004</v>
      </c>
      <c r="S967" s="63"/>
      <c r="T967" s="63"/>
    </row>
    <row r="968" spans="19:20" ht="12.75">
      <c r="S968" s="63"/>
      <c r="T968" s="63"/>
    </row>
    <row r="969" spans="1:20" ht="15">
      <c r="A969" s="1199" t="s">
        <v>54</v>
      </c>
      <c r="B969" s="1199"/>
      <c r="C969" s="1199"/>
      <c r="D969" s="1199"/>
      <c r="E969" s="1199"/>
      <c r="F969" s="1199"/>
      <c r="G969" s="1199"/>
      <c r="H969" s="1199"/>
      <c r="I969" s="1199"/>
      <c r="J969" s="1199"/>
      <c r="K969" s="1199"/>
      <c r="L969" s="1199"/>
      <c r="M969" s="1199"/>
      <c r="N969" s="1199"/>
      <c r="O969" s="1199"/>
      <c r="P969" s="1199"/>
      <c r="Q969" s="1199"/>
      <c r="S969" s="63"/>
      <c r="T969" s="63"/>
    </row>
    <row r="970" spans="1:20" ht="13.5" thickBot="1">
      <c r="A970" s="1200" t="s">
        <v>865</v>
      </c>
      <c r="B970" s="1255"/>
      <c r="C970" s="1255"/>
      <c r="D970" s="1255"/>
      <c r="E970" s="1255"/>
      <c r="F970" s="1255"/>
      <c r="G970" s="1255"/>
      <c r="H970" s="1255"/>
      <c r="I970" s="1255"/>
      <c r="J970" s="1255"/>
      <c r="K970" s="1255"/>
      <c r="L970" s="1255"/>
      <c r="M970" s="1255"/>
      <c r="N970" s="1255"/>
      <c r="O970" s="1255"/>
      <c r="P970" s="1255"/>
      <c r="Q970" s="1255"/>
      <c r="S970" s="63"/>
      <c r="T970" s="63"/>
    </row>
    <row r="971" spans="1:20" ht="12.75" customHeight="1">
      <c r="A971" s="1201" t="s">
        <v>1</v>
      </c>
      <c r="B971" s="1203" t="s">
        <v>0</v>
      </c>
      <c r="C971" s="1193" t="s">
        <v>2</v>
      </c>
      <c r="D971" s="1193" t="s">
        <v>3</v>
      </c>
      <c r="E971" s="1193" t="s">
        <v>13</v>
      </c>
      <c r="F971" s="1207" t="s">
        <v>14</v>
      </c>
      <c r="G971" s="1208"/>
      <c r="H971" s="1208"/>
      <c r="I971" s="1209"/>
      <c r="J971" s="1193" t="s">
        <v>4</v>
      </c>
      <c r="K971" s="1193" t="s">
        <v>15</v>
      </c>
      <c r="L971" s="1193" t="s">
        <v>5</v>
      </c>
      <c r="M971" s="1193" t="s">
        <v>6</v>
      </c>
      <c r="N971" s="1193" t="s">
        <v>16</v>
      </c>
      <c r="O971" s="1195" t="s">
        <v>17</v>
      </c>
      <c r="P971" s="1193" t="s">
        <v>25</v>
      </c>
      <c r="Q971" s="1197" t="s">
        <v>26</v>
      </c>
      <c r="S971" s="63"/>
      <c r="T971" s="63"/>
    </row>
    <row r="972" spans="1:20" s="2" customFormat="1" ht="33.75">
      <c r="A972" s="1202"/>
      <c r="B972" s="1204"/>
      <c r="C972" s="1205"/>
      <c r="D972" s="1194"/>
      <c r="E972" s="1194"/>
      <c r="F972" s="26" t="s">
        <v>18</v>
      </c>
      <c r="G972" s="26" t="s">
        <v>19</v>
      </c>
      <c r="H972" s="26" t="s">
        <v>20</v>
      </c>
      <c r="I972" s="26" t="s">
        <v>21</v>
      </c>
      <c r="J972" s="1194"/>
      <c r="K972" s="1194"/>
      <c r="L972" s="1194"/>
      <c r="M972" s="1194"/>
      <c r="N972" s="1194"/>
      <c r="O972" s="1196"/>
      <c r="P972" s="1194"/>
      <c r="Q972" s="1198"/>
      <c r="S972" s="63"/>
      <c r="T972" s="63"/>
    </row>
    <row r="973" spans="1:20" s="3" customFormat="1" ht="13.5" customHeight="1" thickBot="1">
      <c r="A973" s="1259"/>
      <c r="B973" s="1256"/>
      <c r="C973" s="1206"/>
      <c r="D973" s="42" t="s">
        <v>7</v>
      </c>
      <c r="E973" s="42" t="s">
        <v>8</v>
      </c>
      <c r="F973" s="42" t="s">
        <v>9</v>
      </c>
      <c r="G973" s="42" t="s">
        <v>9</v>
      </c>
      <c r="H973" s="42" t="s">
        <v>9</v>
      </c>
      <c r="I973" s="42" t="s">
        <v>9</v>
      </c>
      <c r="J973" s="42" t="s">
        <v>22</v>
      </c>
      <c r="K973" s="42" t="s">
        <v>9</v>
      </c>
      <c r="L973" s="42" t="s">
        <v>22</v>
      </c>
      <c r="M973" s="42" t="s">
        <v>131</v>
      </c>
      <c r="N973" s="42" t="s">
        <v>10</v>
      </c>
      <c r="O973" s="42" t="s">
        <v>132</v>
      </c>
      <c r="P973" s="43" t="s">
        <v>27</v>
      </c>
      <c r="Q973" s="44" t="s">
        <v>28</v>
      </c>
      <c r="S973" s="63"/>
      <c r="T973" s="63"/>
    </row>
    <row r="974" spans="1:20" s="3" customFormat="1" ht="13.5" customHeight="1">
      <c r="A974" s="1375" t="s">
        <v>222</v>
      </c>
      <c r="B974" s="229">
        <v>1</v>
      </c>
      <c r="C974" s="163" t="s">
        <v>866</v>
      </c>
      <c r="D974" s="126">
        <v>25</v>
      </c>
      <c r="E974" s="126">
        <v>1986</v>
      </c>
      <c r="F974" s="207">
        <v>16.745</v>
      </c>
      <c r="G974" s="207">
        <v>2.24</v>
      </c>
      <c r="H974" s="207">
        <v>4</v>
      </c>
      <c r="I974" s="207">
        <v>10.505</v>
      </c>
      <c r="J974" s="219">
        <v>1339.97</v>
      </c>
      <c r="K974" s="207">
        <v>10.505</v>
      </c>
      <c r="L974" s="219">
        <v>1339.97</v>
      </c>
      <c r="M974" s="139">
        <f>K974/L974</f>
        <v>0.007839727755098995</v>
      </c>
      <c r="N974" s="127">
        <v>216.6</v>
      </c>
      <c r="O974" s="460">
        <f>M974*N974</f>
        <v>1.6980850317544423</v>
      </c>
      <c r="P974" s="460">
        <f>M974*60*1000</f>
        <v>470.38366530593964</v>
      </c>
      <c r="Q974" s="461">
        <f>P974*N974/1000</f>
        <v>101.88510190526652</v>
      </c>
      <c r="S974" s="63"/>
      <c r="T974" s="63"/>
    </row>
    <row r="975" spans="1:20" s="3" customFormat="1" ht="13.5" customHeight="1">
      <c r="A975" s="1287"/>
      <c r="B975" s="336">
        <v>2</v>
      </c>
      <c r="C975" s="125" t="s">
        <v>867</v>
      </c>
      <c r="D975" s="99">
        <v>12</v>
      </c>
      <c r="E975" s="99">
        <v>1994</v>
      </c>
      <c r="F975" s="202">
        <v>8.693</v>
      </c>
      <c r="G975" s="202">
        <v>1.008</v>
      </c>
      <c r="H975" s="202">
        <v>1.6</v>
      </c>
      <c r="I975" s="202">
        <v>5.765</v>
      </c>
      <c r="J975" s="220">
        <v>664.21</v>
      </c>
      <c r="K975" s="202">
        <v>5.765</v>
      </c>
      <c r="L975" s="220">
        <v>664.21</v>
      </c>
      <c r="M975" s="108">
        <f>K975/L975</f>
        <v>0.008679483898164735</v>
      </c>
      <c r="N975" s="109">
        <v>216.6</v>
      </c>
      <c r="O975" s="462">
        <f>M975*N975</f>
        <v>1.8799762123424817</v>
      </c>
      <c r="P975" s="460">
        <f>M975*60*1000</f>
        <v>520.7690338898842</v>
      </c>
      <c r="Q975" s="463">
        <f>P975*N975/1000</f>
        <v>112.79857274054892</v>
      </c>
      <c r="S975" s="63"/>
      <c r="T975" s="63"/>
    </row>
    <row r="976" spans="1:20" s="3" customFormat="1" ht="13.5" customHeight="1">
      <c r="A976" s="1287"/>
      <c r="B976" s="88">
        <v>3</v>
      </c>
      <c r="C976" s="125" t="s">
        <v>868</v>
      </c>
      <c r="D976" s="99">
        <v>30</v>
      </c>
      <c r="E976" s="99">
        <v>1990</v>
      </c>
      <c r="F976" s="202">
        <v>22.18</v>
      </c>
      <c r="G976" s="202">
        <v>3.079</v>
      </c>
      <c r="H976" s="202">
        <v>4.8</v>
      </c>
      <c r="I976" s="202">
        <v>14.3</v>
      </c>
      <c r="J976" s="220">
        <v>1613.48</v>
      </c>
      <c r="K976" s="202">
        <v>14.3</v>
      </c>
      <c r="L976" s="220">
        <v>1613.5</v>
      </c>
      <c r="M976" s="108">
        <f>K976/L976</f>
        <v>0.008862720793306477</v>
      </c>
      <c r="N976" s="109">
        <v>216.6</v>
      </c>
      <c r="O976" s="462">
        <f>M976*N976</f>
        <v>1.9196653238301828</v>
      </c>
      <c r="P976" s="460">
        <f>M976*60*1000</f>
        <v>531.7632475983887</v>
      </c>
      <c r="Q976" s="463">
        <f>P976*N976/1000</f>
        <v>115.179919429811</v>
      </c>
      <c r="S976" s="63"/>
      <c r="T976" s="63"/>
    </row>
    <row r="977" spans="1:20" s="3" customFormat="1" ht="13.5" customHeight="1">
      <c r="A977" s="1287"/>
      <c r="B977" s="88">
        <v>4</v>
      </c>
      <c r="C977" s="125"/>
      <c r="D977" s="99"/>
      <c r="E977" s="99"/>
      <c r="F977" s="202"/>
      <c r="G977" s="202"/>
      <c r="H977" s="202"/>
      <c r="I977" s="202"/>
      <c r="J977" s="220"/>
      <c r="K977" s="202"/>
      <c r="L977" s="220"/>
      <c r="M977" s="108"/>
      <c r="N977" s="109"/>
      <c r="O977" s="110"/>
      <c r="P977" s="130"/>
      <c r="Q977" s="111"/>
      <c r="S977" s="63"/>
      <c r="T977" s="63"/>
    </row>
    <row r="978" spans="1:20" s="3" customFormat="1" ht="13.5" customHeight="1">
      <c r="A978" s="1287"/>
      <c r="B978" s="229">
        <v>5</v>
      </c>
      <c r="C978" s="89"/>
      <c r="D978" s="211"/>
      <c r="E978" s="211"/>
      <c r="F978" s="308"/>
      <c r="G978" s="308"/>
      <c r="H978" s="308"/>
      <c r="I978" s="308"/>
      <c r="J978" s="310"/>
      <c r="K978" s="308"/>
      <c r="L978" s="310"/>
      <c r="M978" s="211"/>
      <c r="N978" s="211"/>
      <c r="O978" s="211"/>
      <c r="P978" s="211"/>
      <c r="Q978" s="213"/>
      <c r="S978" s="63"/>
      <c r="T978" s="63"/>
    </row>
    <row r="979" spans="1:20" s="3" customFormat="1" ht="13.5" customHeight="1">
      <c r="A979" s="1287"/>
      <c r="B979" s="336">
        <v>6</v>
      </c>
      <c r="C979" s="89"/>
      <c r="D979" s="211"/>
      <c r="E979" s="211"/>
      <c r="F979" s="308"/>
      <c r="G979" s="308"/>
      <c r="H979" s="308"/>
      <c r="I979" s="308"/>
      <c r="J979" s="310"/>
      <c r="K979" s="308"/>
      <c r="L979" s="310"/>
      <c r="M979" s="211"/>
      <c r="N979" s="211"/>
      <c r="O979" s="211"/>
      <c r="P979" s="211"/>
      <c r="Q979" s="213"/>
      <c r="S979" s="63"/>
      <c r="T979" s="63"/>
    </row>
    <row r="980" spans="1:20" s="3" customFormat="1" ht="13.5" customHeight="1">
      <c r="A980" s="1287"/>
      <c r="B980" s="336">
        <v>7</v>
      </c>
      <c r="C980" s="89"/>
      <c r="D980" s="211"/>
      <c r="E980" s="211"/>
      <c r="F980" s="308"/>
      <c r="G980" s="308"/>
      <c r="H980" s="308"/>
      <c r="I980" s="308"/>
      <c r="J980" s="310"/>
      <c r="K980" s="308"/>
      <c r="L980" s="310"/>
      <c r="M980" s="211"/>
      <c r="N980" s="211"/>
      <c r="O980" s="211"/>
      <c r="P980" s="211"/>
      <c r="Q980" s="213"/>
      <c r="S980" s="63"/>
      <c r="T980" s="63"/>
    </row>
    <row r="981" spans="1:20" s="3" customFormat="1" ht="13.5" customHeight="1" thickBot="1">
      <c r="A981" s="1288"/>
      <c r="B981" s="146">
        <v>8</v>
      </c>
      <c r="C981" s="206"/>
      <c r="D981" s="212"/>
      <c r="E981" s="212"/>
      <c r="F981" s="309"/>
      <c r="G981" s="309"/>
      <c r="H981" s="309"/>
      <c r="I981" s="309"/>
      <c r="J981" s="310"/>
      <c r="K981" s="308"/>
      <c r="L981" s="310"/>
      <c r="M981" s="212"/>
      <c r="N981" s="212"/>
      <c r="O981" s="212"/>
      <c r="P981" s="212"/>
      <c r="Q981" s="214"/>
      <c r="S981" s="63"/>
      <c r="T981" s="63"/>
    </row>
    <row r="982" spans="1:20" ht="11.25" customHeight="1">
      <c r="A982" s="1242" t="s">
        <v>29</v>
      </c>
      <c r="B982" s="404">
        <v>1</v>
      </c>
      <c r="C982" s="362" t="s">
        <v>869</v>
      </c>
      <c r="D982" s="363">
        <v>40</v>
      </c>
      <c r="E982" s="363">
        <v>1974</v>
      </c>
      <c r="F982" s="365">
        <v>41.416</v>
      </c>
      <c r="G982" s="365">
        <v>3.975</v>
      </c>
      <c r="H982" s="365">
        <v>6.4</v>
      </c>
      <c r="I982" s="364">
        <v>31.041</v>
      </c>
      <c r="J982" s="366">
        <v>2261.31</v>
      </c>
      <c r="K982" s="365">
        <v>31.041</v>
      </c>
      <c r="L982" s="366">
        <v>2261.31</v>
      </c>
      <c r="M982" s="367">
        <f>K982/L982</f>
        <v>0.013726998951934941</v>
      </c>
      <c r="N982" s="368">
        <v>216.6</v>
      </c>
      <c r="O982" s="369">
        <f>M982*N982</f>
        <v>2.9732679729891083</v>
      </c>
      <c r="P982" s="369">
        <f>M982*60*1000</f>
        <v>823.6199371160965</v>
      </c>
      <c r="Q982" s="370">
        <f>P982*N982/1000</f>
        <v>178.3960783793465</v>
      </c>
      <c r="R982" s="6"/>
      <c r="S982" s="63"/>
      <c r="T982" s="63"/>
    </row>
    <row r="983" spans="1:20" ht="12.75" customHeight="1">
      <c r="A983" s="1243"/>
      <c r="B983" s="377">
        <v>2</v>
      </c>
      <c r="C983" s="362" t="s">
        <v>870</v>
      </c>
      <c r="D983" s="363">
        <v>40</v>
      </c>
      <c r="E983" s="363">
        <v>1990</v>
      </c>
      <c r="F983" s="364">
        <v>42.615</v>
      </c>
      <c r="G983" s="364">
        <v>3.751</v>
      </c>
      <c r="H983" s="364">
        <v>6.4</v>
      </c>
      <c r="I983" s="364">
        <v>32.464</v>
      </c>
      <c r="J983" s="372">
        <v>2277.29</v>
      </c>
      <c r="K983" s="364">
        <v>32.464</v>
      </c>
      <c r="L983" s="372">
        <v>2277.29</v>
      </c>
      <c r="M983" s="367">
        <f>K983/L983</f>
        <v>0.01425554057673814</v>
      </c>
      <c r="N983" s="373">
        <v>216.6</v>
      </c>
      <c r="O983" s="369">
        <f>M983*N983</f>
        <v>3.087750088921481</v>
      </c>
      <c r="P983" s="369">
        <f>M983*60*1000</f>
        <v>855.3324346042884</v>
      </c>
      <c r="Q983" s="370">
        <f>P983*N983/1000</f>
        <v>185.2650053352889</v>
      </c>
      <c r="R983" s="6"/>
      <c r="S983" s="63"/>
      <c r="T983" s="63"/>
    </row>
    <row r="984" spans="1:20" ht="12.75" customHeight="1">
      <c r="A984" s="1243"/>
      <c r="B984" s="377">
        <v>3</v>
      </c>
      <c r="C984" s="362" t="s">
        <v>871</v>
      </c>
      <c r="D984" s="363">
        <v>12</v>
      </c>
      <c r="E984" s="363">
        <v>1974</v>
      </c>
      <c r="F984" s="364">
        <v>11.941</v>
      </c>
      <c r="G984" s="364">
        <v>0.84</v>
      </c>
      <c r="H984" s="364">
        <v>1.92</v>
      </c>
      <c r="I984" s="364">
        <v>9.181</v>
      </c>
      <c r="J984" s="372">
        <v>601.83</v>
      </c>
      <c r="K984" s="364">
        <v>9.181</v>
      </c>
      <c r="L984" s="372">
        <v>601.83</v>
      </c>
      <c r="M984" s="374">
        <f>K984/L984</f>
        <v>0.015255138494259173</v>
      </c>
      <c r="N984" s="373">
        <v>216.6</v>
      </c>
      <c r="O984" s="369">
        <f>M984*N984</f>
        <v>3.304262997856537</v>
      </c>
      <c r="P984" s="369">
        <f>M984*60*1000</f>
        <v>915.3083096555505</v>
      </c>
      <c r="Q984" s="375">
        <f>P984*N984/1000</f>
        <v>198.25577987139224</v>
      </c>
      <c r="R984" s="6"/>
      <c r="S984" s="63"/>
      <c r="T984" s="63"/>
    </row>
    <row r="985" spans="1:20" ht="12.75" customHeight="1">
      <c r="A985" s="1243"/>
      <c r="B985" s="377">
        <v>4</v>
      </c>
      <c r="C985" s="362"/>
      <c r="D985" s="363"/>
      <c r="E985" s="363"/>
      <c r="F985" s="364"/>
      <c r="G985" s="364"/>
      <c r="H985" s="364"/>
      <c r="I985" s="364"/>
      <c r="J985" s="372"/>
      <c r="K985" s="364"/>
      <c r="L985" s="372"/>
      <c r="M985" s="374"/>
      <c r="N985" s="373"/>
      <c r="O985" s="376"/>
      <c r="P985" s="369"/>
      <c r="Q985" s="375"/>
      <c r="R985" s="6"/>
      <c r="S985" s="63"/>
      <c r="T985" s="63"/>
    </row>
    <row r="986" spans="1:20" ht="12.75" customHeight="1">
      <c r="A986" s="1243"/>
      <c r="B986" s="377">
        <v>5</v>
      </c>
      <c r="C986" s="414"/>
      <c r="D986" s="380"/>
      <c r="E986" s="380"/>
      <c r="F986" s="379"/>
      <c r="G986" s="379"/>
      <c r="H986" s="379"/>
      <c r="I986" s="379"/>
      <c r="J986" s="380"/>
      <c r="K986" s="379"/>
      <c r="L986" s="380"/>
      <c r="M986" s="381"/>
      <c r="N986" s="382"/>
      <c r="O986" s="382"/>
      <c r="P986" s="382"/>
      <c r="Q986" s="383"/>
      <c r="R986" s="6"/>
      <c r="S986" s="63"/>
      <c r="T986" s="63"/>
    </row>
    <row r="987" spans="1:20" ht="12.75" customHeight="1">
      <c r="A987" s="1243"/>
      <c r="B987" s="377">
        <v>6</v>
      </c>
      <c r="C987" s="415"/>
      <c r="D987" s="416"/>
      <c r="E987" s="416"/>
      <c r="F987" s="417"/>
      <c r="G987" s="417"/>
      <c r="H987" s="417"/>
      <c r="I987" s="417"/>
      <c r="J987" s="380"/>
      <c r="K987" s="417"/>
      <c r="L987" s="418"/>
      <c r="M987" s="419"/>
      <c r="N987" s="420"/>
      <c r="O987" s="420"/>
      <c r="P987" s="382"/>
      <c r="Q987" s="421"/>
      <c r="R987" s="6"/>
      <c r="S987" s="63"/>
      <c r="T987" s="63"/>
    </row>
    <row r="988" spans="1:20" ht="12.75" customHeight="1">
      <c r="A988" s="1243"/>
      <c r="B988" s="377">
        <v>7</v>
      </c>
      <c r="C988" s="415"/>
      <c r="D988" s="395"/>
      <c r="E988" s="395"/>
      <c r="F988" s="417"/>
      <c r="G988" s="417"/>
      <c r="H988" s="417"/>
      <c r="I988" s="417"/>
      <c r="J988" s="418"/>
      <c r="K988" s="417"/>
      <c r="L988" s="418"/>
      <c r="M988" s="419"/>
      <c r="N988" s="420"/>
      <c r="O988" s="420"/>
      <c r="P988" s="420"/>
      <c r="Q988" s="421"/>
      <c r="R988" s="6"/>
      <c r="S988" s="63"/>
      <c r="T988" s="63"/>
    </row>
    <row r="989" spans="1:20" ht="12.75" customHeight="1" thickBot="1">
      <c r="A989" s="1243"/>
      <c r="B989" s="377">
        <v>8</v>
      </c>
      <c r="C989" s="414"/>
      <c r="D989" s="377"/>
      <c r="E989" s="377"/>
      <c r="F989" s="379"/>
      <c r="G989" s="379"/>
      <c r="H989" s="379"/>
      <c r="I989" s="379"/>
      <c r="J989" s="380"/>
      <c r="K989" s="379"/>
      <c r="L989" s="390"/>
      <c r="M989" s="391"/>
      <c r="N989" s="392"/>
      <c r="O989" s="392"/>
      <c r="P989" s="392"/>
      <c r="Q989" s="394"/>
      <c r="R989" s="6"/>
      <c r="S989" s="63"/>
      <c r="T989" s="63"/>
    </row>
    <row r="990" spans="1:20" ht="12.75">
      <c r="A990" s="1187" t="s">
        <v>30</v>
      </c>
      <c r="B990" s="22">
        <v>1</v>
      </c>
      <c r="C990" s="176" t="s">
        <v>872</v>
      </c>
      <c r="D990" s="178">
        <v>8</v>
      </c>
      <c r="E990" s="178">
        <v>1968</v>
      </c>
      <c r="F990" s="252">
        <v>11.509</v>
      </c>
      <c r="G990" s="252">
        <v>0.504</v>
      </c>
      <c r="H990" s="252">
        <v>1.28</v>
      </c>
      <c r="I990" s="252">
        <v>9.725</v>
      </c>
      <c r="J990" s="225">
        <v>388.26</v>
      </c>
      <c r="K990" s="252">
        <v>9.725</v>
      </c>
      <c r="L990" s="298">
        <v>388.26</v>
      </c>
      <c r="M990" s="170">
        <f>K990/L990</f>
        <v>0.025047648482975325</v>
      </c>
      <c r="N990" s="181">
        <v>216.6</v>
      </c>
      <c r="O990" s="169">
        <f>M990*N990</f>
        <v>5.425320661412456</v>
      </c>
      <c r="P990" s="169">
        <f>M990*60*1000</f>
        <v>1502.8589089785196</v>
      </c>
      <c r="Q990" s="171">
        <f>P990*N990/1000</f>
        <v>325.51923968474733</v>
      </c>
      <c r="R990" s="6"/>
      <c r="S990" s="63"/>
      <c r="T990" s="63"/>
    </row>
    <row r="991" spans="1:20" ht="12.75">
      <c r="A991" s="1188"/>
      <c r="B991" s="24">
        <v>2</v>
      </c>
      <c r="C991" s="166" t="s">
        <v>873</v>
      </c>
      <c r="D991" s="102">
        <v>9</v>
      </c>
      <c r="E991" s="102">
        <v>1982</v>
      </c>
      <c r="F991" s="183">
        <v>11.277</v>
      </c>
      <c r="G991" s="183">
        <v>0.784</v>
      </c>
      <c r="H991" s="183">
        <v>0.09</v>
      </c>
      <c r="I991" s="183">
        <v>10.403</v>
      </c>
      <c r="J991" s="226">
        <v>412.32</v>
      </c>
      <c r="K991" s="183">
        <v>10.403</v>
      </c>
      <c r="L991" s="226">
        <v>412.32</v>
      </c>
      <c r="M991" s="113">
        <f>K991/L991</f>
        <v>0.025230403570042685</v>
      </c>
      <c r="N991" s="114">
        <v>216.6</v>
      </c>
      <c r="O991" s="115">
        <f>M991*N991</f>
        <v>5.464905413271246</v>
      </c>
      <c r="P991" s="169">
        <f>M991*60*1000</f>
        <v>1513.824214202561</v>
      </c>
      <c r="Q991" s="116">
        <f>P991*N991/1000</f>
        <v>327.8943247962747</v>
      </c>
      <c r="R991" s="6"/>
      <c r="S991" s="63"/>
      <c r="T991" s="63"/>
    </row>
    <row r="992" spans="1:20" ht="12.75">
      <c r="A992" s="1188"/>
      <c r="B992" s="24">
        <v>3</v>
      </c>
      <c r="C992" s="166" t="s">
        <v>874</v>
      </c>
      <c r="D992" s="102">
        <v>8</v>
      </c>
      <c r="E992" s="102">
        <v>1970</v>
      </c>
      <c r="F992" s="183">
        <v>10.172</v>
      </c>
      <c r="G992" s="183">
        <v>0.168</v>
      </c>
      <c r="H992" s="183">
        <v>0.08</v>
      </c>
      <c r="I992" s="183">
        <v>9.924</v>
      </c>
      <c r="J992" s="226">
        <v>378.21</v>
      </c>
      <c r="K992" s="183">
        <v>9.924</v>
      </c>
      <c r="L992" s="226">
        <v>378.21</v>
      </c>
      <c r="M992" s="113">
        <f>K992/L992</f>
        <v>0.026239390814626794</v>
      </c>
      <c r="N992" s="114">
        <v>216.6</v>
      </c>
      <c r="O992" s="115">
        <f>M992*N992</f>
        <v>5.683452050448164</v>
      </c>
      <c r="P992" s="169">
        <f>M992*60*1000</f>
        <v>1574.3634488776077</v>
      </c>
      <c r="Q992" s="116">
        <f>P992*N992/1000</f>
        <v>341.0071230268898</v>
      </c>
      <c r="R992" s="6"/>
      <c r="S992" s="63"/>
      <c r="T992" s="63"/>
    </row>
    <row r="993" spans="1:20" ht="12.75">
      <c r="A993" s="1188"/>
      <c r="B993" s="24">
        <v>4</v>
      </c>
      <c r="C993" s="166"/>
      <c r="D993" s="102"/>
      <c r="E993" s="102"/>
      <c r="F993" s="183"/>
      <c r="G993" s="183"/>
      <c r="H993" s="183"/>
      <c r="I993" s="183"/>
      <c r="J993" s="226"/>
      <c r="K993" s="183"/>
      <c r="L993" s="226"/>
      <c r="M993" s="113"/>
      <c r="N993" s="114"/>
      <c r="O993" s="115"/>
      <c r="P993" s="169"/>
      <c r="Q993" s="116"/>
      <c r="R993" s="6"/>
      <c r="S993" s="63"/>
      <c r="T993" s="63"/>
    </row>
    <row r="994" spans="1:20" ht="12.75">
      <c r="A994" s="1188"/>
      <c r="B994" s="24">
        <v>5</v>
      </c>
      <c r="C994" s="23"/>
      <c r="D994" s="24"/>
      <c r="E994" s="24"/>
      <c r="F994" s="161"/>
      <c r="G994" s="161"/>
      <c r="H994" s="161"/>
      <c r="I994" s="161"/>
      <c r="J994" s="248"/>
      <c r="K994" s="161"/>
      <c r="L994" s="248"/>
      <c r="M994" s="242"/>
      <c r="N994" s="142"/>
      <c r="O994" s="142"/>
      <c r="P994" s="142"/>
      <c r="Q994" s="143"/>
      <c r="R994" s="6"/>
      <c r="S994" s="63"/>
      <c r="T994" s="63"/>
    </row>
    <row r="995" spans="1:20" ht="12.75">
      <c r="A995" s="1188"/>
      <c r="B995" s="24">
        <v>6</v>
      </c>
      <c r="C995" s="86"/>
      <c r="D995" s="24"/>
      <c r="E995" s="24"/>
      <c r="F995" s="161"/>
      <c r="G995" s="161"/>
      <c r="H995" s="161"/>
      <c r="I995" s="161"/>
      <c r="J995" s="248"/>
      <c r="K995" s="161"/>
      <c r="L995" s="248"/>
      <c r="M995" s="24"/>
      <c r="N995" s="24"/>
      <c r="O995" s="24"/>
      <c r="P995" s="24"/>
      <c r="Q995" s="332"/>
      <c r="R995" s="6"/>
      <c r="S995" s="63"/>
      <c r="T995" s="63"/>
    </row>
    <row r="996" spans="1:20" ht="12.75">
      <c r="A996" s="1188"/>
      <c r="B996" s="24">
        <v>7</v>
      </c>
      <c r="C996" s="86"/>
      <c r="D996" s="24"/>
      <c r="E996" s="24"/>
      <c r="F996" s="161"/>
      <c r="G996" s="161"/>
      <c r="H996" s="161"/>
      <c r="I996" s="161"/>
      <c r="J996" s="248"/>
      <c r="K996" s="161"/>
      <c r="L996" s="248"/>
      <c r="M996" s="24"/>
      <c r="N996" s="24"/>
      <c r="O996" s="24"/>
      <c r="P996" s="24"/>
      <c r="Q996" s="332"/>
      <c r="R996" s="6"/>
      <c r="S996" s="63"/>
      <c r="T996" s="63"/>
    </row>
    <row r="997" spans="1:20" ht="13.5" thickBot="1">
      <c r="A997" s="1188"/>
      <c r="B997" s="24">
        <v>8</v>
      </c>
      <c r="C997" s="86"/>
      <c r="D997" s="24"/>
      <c r="E997" s="24"/>
      <c r="F997" s="161"/>
      <c r="G997" s="161"/>
      <c r="H997" s="161"/>
      <c r="I997" s="161"/>
      <c r="J997" s="248"/>
      <c r="K997" s="161"/>
      <c r="L997" s="250"/>
      <c r="M997" s="25"/>
      <c r="N997" s="25"/>
      <c r="O997" s="25"/>
      <c r="P997" s="25"/>
      <c r="Q997" s="838"/>
      <c r="R997" s="6"/>
      <c r="S997" s="63"/>
      <c r="T997" s="63"/>
    </row>
    <row r="998" spans="1:20" ht="12.75">
      <c r="A998" s="1264" t="s">
        <v>12</v>
      </c>
      <c r="B998" s="27">
        <v>1</v>
      </c>
      <c r="C998" s="132" t="s">
        <v>875</v>
      </c>
      <c r="D998" s="133">
        <v>12</v>
      </c>
      <c r="E998" s="133">
        <v>1987</v>
      </c>
      <c r="F998" s="204">
        <v>22.757</v>
      </c>
      <c r="G998" s="204">
        <v>1.064</v>
      </c>
      <c r="H998" s="204">
        <v>1.92</v>
      </c>
      <c r="I998" s="204">
        <v>19.773</v>
      </c>
      <c r="J998" s="223">
        <v>686.57</v>
      </c>
      <c r="K998" s="204">
        <v>19.773</v>
      </c>
      <c r="L998" s="299">
        <v>686.57</v>
      </c>
      <c r="M998" s="136">
        <f>K998/L998</f>
        <v>0.02879968539260381</v>
      </c>
      <c r="N998" s="134">
        <v>216.6</v>
      </c>
      <c r="O998" s="137">
        <f>M998*N998</f>
        <v>6.238011856037985</v>
      </c>
      <c r="P998" s="137">
        <f>M998*60*1000</f>
        <v>1727.9811235562286</v>
      </c>
      <c r="Q998" s="138">
        <f>P998*N998/1000</f>
        <v>374.2807113622791</v>
      </c>
      <c r="S998" s="63"/>
      <c r="T998" s="63"/>
    </row>
    <row r="999" spans="1:20" ht="12.75">
      <c r="A999" s="1265"/>
      <c r="B999" s="59">
        <v>2</v>
      </c>
      <c r="C999" s="135"/>
      <c r="D999" s="104"/>
      <c r="E999" s="104"/>
      <c r="F999" s="179"/>
      <c r="G999" s="179"/>
      <c r="H999" s="179"/>
      <c r="I999" s="179"/>
      <c r="J999" s="224"/>
      <c r="K999" s="179"/>
      <c r="L999" s="224"/>
      <c r="M999" s="117"/>
      <c r="N999" s="118"/>
      <c r="O999" s="119"/>
      <c r="P999" s="137"/>
      <c r="Q999" s="120"/>
      <c r="S999" s="63"/>
      <c r="T999" s="63"/>
    </row>
    <row r="1000" spans="1:20" ht="12.75">
      <c r="A1000" s="1265"/>
      <c r="B1000" s="59">
        <v>3</v>
      </c>
      <c r="C1000" s="135"/>
      <c r="D1000" s="104"/>
      <c r="E1000" s="104"/>
      <c r="F1000" s="179"/>
      <c r="G1000" s="179"/>
      <c r="H1000" s="179"/>
      <c r="I1000" s="179"/>
      <c r="J1000" s="224"/>
      <c r="K1000" s="179"/>
      <c r="L1000" s="224"/>
      <c r="M1000" s="117"/>
      <c r="N1000" s="118"/>
      <c r="O1000" s="119"/>
      <c r="P1000" s="137"/>
      <c r="Q1000" s="120"/>
      <c r="S1000" s="63"/>
      <c r="T1000" s="63"/>
    </row>
    <row r="1001" spans="1:20" ht="12.75">
      <c r="A1001" s="1265"/>
      <c r="B1001" s="29">
        <v>4</v>
      </c>
      <c r="C1001" s="135"/>
      <c r="D1001" s="104"/>
      <c r="E1001" s="104"/>
      <c r="F1001" s="168"/>
      <c r="G1001" s="168"/>
      <c r="H1001" s="168"/>
      <c r="I1001" s="168"/>
      <c r="J1001" s="168"/>
      <c r="K1001" s="179"/>
      <c r="L1001" s="224"/>
      <c r="M1001" s="117"/>
      <c r="N1001" s="118"/>
      <c r="O1001" s="119"/>
      <c r="P1001" s="137"/>
      <c r="Q1001" s="120"/>
      <c r="S1001" s="63"/>
      <c r="T1001" s="63"/>
    </row>
    <row r="1002" spans="1:20" ht="12.75">
      <c r="A1002" s="1265"/>
      <c r="B1002" s="29">
        <v>5</v>
      </c>
      <c r="C1002" s="135"/>
      <c r="D1002" s="104"/>
      <c r="E1002" s="104"/>
      <c r="F1002" s="324"/>
      <c r="G1002" s="324"/>
      <c r="H1002" s="324"/>
      <c r="I1002" s="324"/>
      <c r="J1002" s="324"/>
      <c r="K1002" s="230"/>
      <c r="L1002" s="333"/>
      <c r="M1002" s="312"/>
      <c r="N1002" s="313"/>
      <c r="O1002" s="314"/>
      <c r="P1002" s="323"/>
      <c r="Q1002" s="315"/>
      <c r="S1002" s="63"/>
      <c r="T1002" s="63"/>
    </row>
    <row r="1003" spans="1:20" ht="12.75">
      <c r="A1003" s="1265"/>
      <c r="B1003" s="29">
        <v>6</v>
      </c>
      <c r="C1003" s="135"/>
      <c r="D1003" s="104"/>
      <c r="E1003" s="104"/>
      <c r="F1003" s="179"/>
      <c r="G1003" s="179"/>
      <c r="H1003" s="179"/>
      <c r="I1003" s="179"/>
      <c r="J1003" s="224"/>
      <c r="K1003" s="294"/>
      <c r="L1003" s="224"/>
      <c r="M1003" s="117"/>
      <c r="N1003" s="134"/>
      <c r="O1003" s="119"/>
      <c r="P1003" s="137"/>
      <c r="Q1003" s="120"/>
      <c r="S1003" s="63"/>
      <c r="T1003" s="63"/>
    </row>
    <row r="1004" spans="1:20" ht="12.75">
      <c r="A1004" s="1265"/>
      <c r="B1004" s="29">
        <v>7</v>
      </c>
      <c r="C1004" s="135"/>
      <c r="D1004" s="104"/>
      <c r="E1004" s="104"/>
      <c r="F1004" s="179"/>
      <c r="G1004" s="179"/>
      <c r="H1004" s="179"/>
      <c r="I1004" s="179"/>
      <c r="J1004" s="224"/>
      <c r="K1004" s="294"/>
      <c r="L1004" s="224"/>
      <c r="M1004" s="117"/>
      <c r="N1004" s="118"/>
      <c r="O1004" s="119"/>
      <c r="P1004" s="119"/>
      <c r="Q1004" s="120"/>
      <c r="S1004" s="63"/>
      <c r="T1004" s="63"/>
    </row>
    <row r="1005" spans="1:20" ht="13.5" thickBot="1">
      <c r="A1005" s="1266"/>
      <c r="B1005" s="33">
        <v>8</v>
      </c>
      <c r="C1005" s="175"/>
      <c r="D1005" s="105"/>
      <c r="E1005" s="105"/>
      <c r="F1005" s="205"/>
      <c r="G1005" s="205"/>
      <c r="H1005" s="205"/>
      <c r="I1005" s="205"/>
      <c r="J1005" s="278"/>
      <c r="K1005" s="295"/>
      <c r="L1005" s="278"/>
      <c r="M1005" s="121"/>
      <c r="N1005" s="122"/>
      <c r="O1005" s="123"/>
      <c r="P1005" s="123"/>
      <c r="Q1005" s="124"/>
      <c r="S1005" s="63"/>
      <c r="T1005" s="63"/>
    </row>
    <row r="1006" spans="19:20" ht="12.75">
      <c r="S1006" s="63"/>
      <c r="T1006" s="63"/>
    </row>
    <row r="1007" spans="19:20" ht="12.75">
      <c r="S1007" s="63"/>
      <c r="T1007" s="63"/>
    </row>
    <row r="1008" spans="19:20" ht="12.75">
      <c r="S1008" s="63"/>
      <c r="T1008" s="63"/>
    </row>
    <row r="1009" spans="1:20" ht="15">
      <c r="A1009" s="1199" t="s">
        <v>50</v>
      </c>
      <c r="B1009" s="1199"/>
      <c r="C1009" s="1199"/>
      <c r="D1009" s="1199"/>
      <c r="E1009" s="1199"/>
      <c r="F1009" s="1199"/>
      <c r="G1009" s="1199"/>
      <c r="H1009" s="1199"/>
      <c r="I1009" s="1199"/>
      <c r="J1009" s="1199"/>
      <c r="K1009" s="1199"/>
      <c r="L1009" s="1199"/>
      <c r="M1009" s="1199"/>
      <c r="N1009" s="1199"/>
      <c r="O1009" s="1199"/>
      <c r="P1009" s="1199"/>
      <c r="Q1009" s="1199"/>
      <c r="S1009" s="63"/>
      <c r="T1009" s="63"/>
    </row>
    <row r="1010" spans="1:20" ht="13.5" thickBot="1">
      <c r="A1010" s="1200" t="s">
        <v>876</v>
      </c>
      <c r="B1010" s="1255"/>
      <c r="C1010" s="1255"/>
      <c r="D1010" s="1255"/>
      <c r="E1010" s="1255"/>
      <c r="F1010" s="1255"/>
      <c r="G1010" s="1255"/>
      <c r="H1010" s="1255"/>
      <c r="I1010" s="1255"/>
      <c r="J1010" s="1255"/>
      <c r="K1010" s="1255"/>
      <c r="L1010" s="1255"/>
      <c r="M1010" s="1255"/>
      <c r="N1010" s="1255"/>
      <c r="O1010" s="1255"/>
      <c r="P1010" s="1255"/>
      <c r="Q1010" s="1255"/>
      <c r="S1010" s="63"/>
      <c r="T1010" s="63"/>
    </row>
    <row r="1011" spans="1:20" ht="12.75" customHeight="1">
      <c r="A1011" s="1201" t="s">
        <v>1</v>
      </c>
      <c r="B1011" s="1203" t="s">
        <v>0</v>
      </c>
      <c r="C1011" s="1193" t="s">
        <v>2</v>
      </c>
      <c r="D1011" s="1193" t="s">
        <v>3</v>
      </c>
      <c r="E1011" s="1193" t="s">
        <v>13</v>
      </c>
      <c r="F1011" s="1207" t="s">
        <v>14</v>
      </c>
      <c r="G1011" s="1208"/>
      <c r="H1011" s="1208"/>
      <c r="I1011" s="1209"/>
      <c r="J1011" s="1193" t="s">
        <v>4</v>
      </c>
      <c r="K1011" s="1193" t="s">
        <v>15</v>
      </c>
      <c r="L1011" s="1193" t="s">
        <v>5</v>
      </c>
      <c r="M1011" s="1193" t="s">
        <v>6</v>
      </c>
      <c r="N1011" s="1193" t="s">
        <v>16</v>
      </c>
      <c r="O1011" s="1195" t="s">
        <v>17</v>
      </c>
      <c r="P1011" s="1193" t="s">
        <v>25</v>
      </c>
      <c r="Q1011" s="1197" t="s">
        <v>26</v>
      </c>
      <c r="S1011" s="63"/>
      <c r="T1011" s="63"/>
    </row>
    <row r="1012" spans="1:20" s="2" customFormat="1" ht="33.75">
      <c r="A1012" s="1202"/>
      <c r="B1012" s="1204"/>
      <c r="C1012" s="1205"/>
      <c r="D1012" s="1194"/>
      <c r="E1012" s="1194"/>
      <c r="F1012" s="26" t="s">
        <v>18</v>
      </c>
      <c r="G1012" s="26" t="s">
        <v>19</v>
      </c>
      <c r="H1012" s="26" t="s">
        <v>20</v>
      </c>
      <c r="I1012" s="26" t="s">
        <v>21</v>
      </c>
      <c r="J1012" s="1194"/>
      <c r="K1012" s="1194"/>
      <c r="L1012" s="1194"/>
      <c r="M1012" s="1194"/>
      <c r="N1012" s="1194"/>
      <c r="O1012" s="1196"/>
      <c r="P1012" s="1194"/>
      <c r="Q1012" s="1198"/>
      <c r="S1012" s="63"/>
      <c r="T1012" s="63"/>
    </row>
    <row r="1013" spans="1:20" s="3" customFormat="1" ht="13.5" customHeight="1" thickBot="1">
      <c r="A1013" s="1259"/>
      <c r="B1013" s="1256"/>
      <c r="C1013" s="1206"/>
      <c r="D1013" s="42" t="s">
        <v>7</v>
      </c>
      <c r="E1013" s="42" t="s">
        <v>8</v>
      </c>
      <c r="F1013" s="42" t="s">
        <v>9</v>
      </c>
      <c r="G1013" s="42" t="s">
        <v>9</v>
      </c>
      <c r="H1013" s="42" t="s">
        <v>9</v>
      </c>
      <c r="I1013" s="42" t="s">
        <v>9</v>
      </c>
      <c r="J1013" s="42" t="s">
        <v>22</v>
      </c>
      <c r="K1013" s="42" t="s">
        <v>9</v>
      </c>
      <c r="L1013" s="42" t="s">
        <v>22</v>
      </c>
      <c r="M1013" s="42" t="s">
        <v>23</v>
      </c>
      <c r="N1013" s="42" t="s">
        <v>10</v>
      </c>
      <c r="O1013" s="42" t="s">
        <v>24</v>
      </c>
      <c r="P1013" s="43" t="s">
        <v>27</v>
      </c>
      <c r="Q1013" s="44" t="s">
        <v>28</v>
      </c>
      <c r="S1013" s="63"/>
      <c r="T1013" s="63"/>
    </row>
    <row r="1014" spans="1:20" s="3" customFormat="1" ht="13.5" customHeight="1">
      <c r="A1014" s="1267" t="s">
        <v>48</v>
      </c>
      <c r="B1014" s="193">
        <v>1</v>
      </c>
      <c r="C1014" s="163"/>
      <c r="D1014" s="126"/>
      <c r="E1014" s="126"/>
      <c r="F1014" s="207"/>
      <c r="G1014" s="207"/>
      <c r="H1014" s="207"/>
      <c r="I1014" s="207"/>
      <c r="J1014" s="219"/>
      <c r="K1014" s="207"/>
      <c r="L1014" s="219"/>
      <c r="M1014" s="139"/>
      <c r="N1014" s="127"/>
      <c r="O1014" s="337"/>
      <c r="P1014" s="337"/>
      <c r="Q1014" s="164"/>
      <c r="S1014" s="63"/>
      <c r="T1014" s="63"/>
    </row>
    <row r="1015" spans="1:20" s="3" customFormat="1" ht="13.5" customHeight="1">
      <c r="A1015" s="1268"/>
      <c r="B1015" s="88">
        <v>2</v>
      </c>
      <c r="C1015" s="125"/>
      <c r="D1015" s="99"/>
      <c r="E1015" s="99"/>
      <c r="F1015" s="202"/>
      <c r="G1015" s="202"/>
      <c r="H1015" s="202"/>
      <c r="I1015" s="202"/>
      <c r="J1015" s="220"/>
      <c r="K1015" s="202"/>
      <c r="L1015" s="220"/>
      <c r="M1015" s="108"/>
      <c r="N1015" s="109"/>
      <c r="O1015" s="110"/>
      <c r="P1015" s="110"/>
      <c r="Q1015" s="111"/>
      <c r="S1015" s="63"/>
      <c r="T1015" s="63"/>
    </row>
    <row r="1016" spans="1:20" s="3" customFormat="1" ht="13.5" customHeight="1">
      <c r="A1016" s="1268"/>
      <c r="B1016" s="88">
        <v>3</v>
      </c>
      <c r="C1016" s="125"/>
      <c r="D1016" s="99"/>
      <c r="E1016" s="99"/>
      <c r="F1016" s="202"/>
      <c r="G1016" s="202"/>
      <c r="H1016" s="202"/>
      <c r="I1016" s="202"/>
      <c r="J1016" s="220"/>
      <c r="K1016" s="202"/>
      <c r="L1016" s="220"/>
      <c r="M1016" s="108"/>
      <c r="N1016" s="109"/>
      <c r="O1016" s="110"/>
      <c r="P1016" s="110"/>
      <c r="Q1016" s="111"/>
      <c r="S1016" s="63"/>
      <c r="T1016" s="63"/>
    </row>
    <row r="1017" spans="1:20" s="3" customFormat="1" ht="13.5" customHeight="1">
      <c r="A1017" s="1268"/>
      <c r="B1017" s="88">
        <v>4</v>
      </c>
      <c r="C1017" s="125"/>
      <c r="D1017" s="99"/>
      <c r="E1017" s="99"/>
      <c r="F1017" s="202"/>
      <c r="G1017" s="202"/>
      <c r="H1017" s="202"/>
      <c r="I1017" s="202"/>
      <c r="J1017" s="220"/>
      <c r="K1017" s="202"/>
      <c r="L1017" s="220"/>
      <c r="M1017" s="108"/>
      <c r="N1017" s="109"/>
      <c r="O1017" s="110"/>
      <c r="P1017" s="110"/>
      <c r="Q1017" s="111"/>
      <c r="S1017" s="63"/>
      <c r="T1017" s="63"/>
    </row>
    <row r="1018" spans="1:20" s="3" customFormat="1" ht="13.5" customHeight="1" thickBot="1">
      <c r="A1018" s="1268"/>
      <c r="B1018" s="146"/>
      <c r="C1018" s="206"/>
      <c r="D1018" s="212"/>
      <c r="E1018" s="212"/>
      <c r="F1018" s="212"/>
      <c r="G1018" s="212"/>
      <c r="H1018" s="212"/>
      <c r="I1018" s="212"/>
      <c r="J1018" s="311"/>
      <c r="K1018" s="212"/>
      <c r="L1018" s="311"/>
      <c r="M1018" s="212"/>
      <c r="N1018" s="212"/>
      <c r="O1018" s="212"/>
      <c r="P1018" s="212"/>
      <c r="Q1018" s="214"/>
      <c r="S1018" s="63"/>
      <c r="T1018" s="63"/>
    </row>
    <row r="1019" spans="1:20" ht="11.25" customHeight="1">
      <c r="A1019" s="1242" t="s">
        <v>29</v>
      </c>
      <c r="B1019" s="395">
        <v>1</v>
      </c>
      <c r="C1019" s="362" t="s">
        <v>877</v>
      </c>
      <c r="D1019" s="363">
        <v>75</v>
      </c>
      <c r="E1019" s="363" t="s">
        <v>64</v>
      </c>
      <c r="F1019" s="996">
        <f>G1019+H1019+I1019</f>
        <v>40.997</v>
      </c>
      <c r="G1019" s="365">
        <v>6.827</v>
      </c>
      <c r="H1019" s="365">
        <v>11.84</v>
      </c>
      <c r="I1019" s="364">
        <v>22.33</v>
      </c>
      <c r="J1019" s="366">
        <v>3389.63</v>
      </c>
      <c r="K1019" s="365">
        <v>22.33</v>
      </c>
      <c r="L1019" s="366">
        <v>3389.63</v>
      </c>
      <c r="M1019" s="367">
        <f>K1019/L1019</f>
        <v>0.006587739664801172</v>
      </c>
      <c r="N1019" s="368">
        <v>351.85</v>
      </c>
      <c r="O1019" s="369">
        <f aca="true" t="shared" si="155" ref="O1019:O1028">M1019*N1019</f>
        <v>2.3178962010602926</v>
      </c>
      <c r="P1019" s="369">
        <f aca="true" t="shared" si="156" ref="P1019:P1028">M1019*60*1000</f>
        <v>395.2643798880703</v>
      </c>
      <c r="Q1019" s="370">
        <f aca="true" t="shared" si="157" ref="Q1019:Q1028">P1019*N1019/1000</f>
        <v>139.07377206361755</v>
      </c>
      <c r="S1019" s="63"/>
      <c r="T1019" s="63"/>
    </row>
    <row r="1020" spans="1:20" ht="12.75" customHeight="1">
      <c r="A1020" s="1243"/>
      <c r="B1020" s="377">
        <v>2</v>
      </c>
      <c r="C1020" s="362" t="s">
        <v>878</v>
      </c>
      <c r="D1020" s="363">
        <v>8</v>
      </c>
      <c r="E1020" s="363" t="s">
        <v>64</v>
      </c>
      <c r="F1020" s="364">
        <f aca="true" t="shared" si="158" ref="F1020:F1028">G1020+H1020+I1020</f>
        <v>6.168</v>
      </c>
      <c r="G1020" s="364">
        <v>0.729</v>
      </c>
      <c r="H1020" s="364">
        <v>0.64</v>
      </c>
      <c r="I1020" s="364">
        <v>4.799</v>
      </c>
      <c r="J1020" s="372">
        <v>633.84</v>
      </c>
      <c r="K1020" s="364">
        <v>4.799</v>
      </c>
      <c r="L1020" s="372">
        <v>633.84</v>
      </c>
      <c r="M1020" s="367">
        <f>K1020/L1020</f>
        <v>0.007571311371955068</v>
      </c>
      <c r="N1020" s="368">
        <v>351.85</v>
      </c>
      <c r="O1020" s="369">
        <f t="shared" si="155"/>
        <v>2.663965906222391</v>
      </c>
      <c r="P1020" s="369">
        <f t="shared" si="156"/>
        <v>454.27868231730406</v>
      </c>
      <c r="Q1020" s="370">
        <f t="shared" si="157"/>
        <v>159.83795437334345</v>
      </c>
      <c r="S1020" s="63"/>
      <c r="T1020" s="63"/>
    </row>
    <row r="1021" spans="1:20" ht="12.75" customHeight="1">
      <c r="A1021" s="1243"/>
      <c r="B1021" s="377">
        <v>3</v>
      </c>
      <c r="C1021" s="362" t="s">
        <v>495</v>
      </c>
      <c r="D1021" s="363">
        <v>23</v>
      </c>
      <c r="E1021" s="363">
        <v>2009</v>
      </c>
      <c r="F1021" s="364">
        <f t="shared" si="158"/>
        <v>14.25</v>
      </c>
      <c r="G1021" s="364">
        <v>1.999</v>
      </c>
      <c r="H1021" s="364">
        <v>1.84</v>
      </c>
      <c r="I1021" s="364">
        <v>10.411</v>
      </c>
      <c r="J1021" s="372">
        <v>1098.31</v>
      </c>
      <c r="K1021" s="364">
        <v>10.411</v>
      </c>
      <c r="L1021" s="372">
        <v>1098.31</v>
      </c>
      <c r="M1021" s="374">
        <f aca="true" t="shared" si="159" ref="M1021:M1028">K1021/L1021</f>
        <v>0.009479108812630314</v>
      </c>
      <c r="N1021" s="368">
        <v>351.85</v>
      </c>
      <c r="O1021" s="369">
        <f t="shared" si="155"/>
        <v>3.335224435723976</v>
      </c>
      <c r="P1021" s="369">
        <f t="shared" si="156"/>
        <v>568.7465287578189</v>
      </c>
      <c r="Q1021" s="375">
        <f t="shared" si="157"/>
        <v>200.11346614343856</v>
      </c>
      <c r="S1021" s="63"/>
      <c r="T1021" s="63"/>
    </row>
    <row r="1022" spans="1:20" ht="12.75" customHeight="1">
      <c r="A1022" s="1243"/>
      <c r="B1022" s="377">
        <v>4</v>
      </c>
      <c r="C1022" s="362" t="s">
        <v>879</v>
      </c>
      <c r="D1022" s="363">
        <v>12</v>
      </c>
      <c r="E1022" s="363" t="s">
        <v>64</v>
      </c>
      <c r="F1022" s="364">
        <f t="shared" si="158"/>
        <v>10.574</v>
      </c>
      <c r="G1022" s="364">
        <v>1.701</v>
      </c>
      <c r="H1022" s="364">
        <v>1.92</v>
      </c>
      <c r="I1022" s="364">
        <v>6.953</v>
      </c>
      <c r="J1022" s="372">
        <v>701.94</v>
      </c>
      <c r="K1022" s="364">
        <v>6.953</v>
      </c>
      <c r="L1022" s="372">
        <v>701.94</v>
      </c>
      <c r="M1022" s="374">
        <f t="shared" si="159"/>
        <v>0.009905405020372111</v>
      </c>
      <c r="N1022" s="368">
        <v>351.85</v>
      </c>
      <c r="O1022" s="376">
        <f t="shared" si="155"/>
        <v>3.4852167564179277</v>
      </c>
      <c r="P1022" s="369">
        <f t="shared" si="156"/>
        <v>594.3243012223268</v>
      </c>
      <c r="Q1022" s="375">
        <f t="shared" si="157"/>
        <v>209.1130053850757</v>
      </c>
      <c r="S1022" s="63"/>
      <c r="T1022" s="63"/>
    </row>
    <row r="1023" spans="1:20" ht="12.75" customHeight="1">
      <c r="A1023" s="1243"/>
      <c r="B1023" s="377">
        <v>5</v>
      </c>
      <c r="C1023" s="362" t="s">
        <v>880</v>
      </c>
      <c r="D1023" s="363">
        <v>20</v>
      </c>
      <c r="E1023" s="363" t="s">
        <v>64</v>
      </c>
      <c r="F1023" s="364">
        <f t="shared" si="158"/>
        <v>20.161</v>
      </c>
      <c r="G1023" s="364">
        <v>2.756</v>
      </c>
      <c r="H1023" s="364">
        <v>3.2</v>
      </c>
      <c r="I1023" s="364">
        <v>14.205</v>
      </c>
      <c r="J1023" s="372">
        <v>1143.7</v>
      </c>
      <c r="K1023" s="364">
        <v>14.205</v>
      </c>
      <c r="L1023" s="372">
        <v>1143.7</v>
      </c>
      <c r="M1023" s="374">
        <f t="shared" si="159"/>
        <v>0.012420215091370115</v>
      </c>
      <c r="N1023" s="368">
        <v>351.85</v>
      </c>
      <c r="O1023" s="376">
        <f t="shared" si="155"/>
        <v>4.370052679898575</v>
      </c>
      <c r="P1023" s="369">
        <f t="shared" si="156"/>
        <v>745.2129054822069</v>
      </c>
      <c r="Q1023" s="375">
        <f t="shared" si="157"/>
        <v>262.2031607939145</v>
      </c>
      <c r="S1023" s="63"/>
      <c r="T1023" s="63"/>
    </row>
    <row r="1024" spans="1:20" s="67" customFormat="1" ht="12.75" customHeight="1">
      <c r="A1024" s="1243"/>
      <c r="B1024" s="407">
        <v>6</v>
      </c>
      <c r="C1024" s="362" t="s">
        <v>881</v>
      </c>
      <c r="D1024" s="363">
        <v>24</v>
      </c>
      <c r="E1024" s="363" t="s">
        <v>64</v>
      </c>
      <c r="F1024" s="364">
        <f t="shared" si="158"/>
        <v>18.119</v>
      </c>
      <c r="G1024" s="364">
        <v>1.845</v>
      </c>
      <c r="H1024" s="364">
        <v>3.92</v>
      </c>
      <c r="I1024" s="364">
        <v>12.354</v>
      </c>
      <c r="J1024" s="372">
        <v>1242.07</v>
      </c>
      <c r="K1024" s="364">
        <v>11.498</v>
      </c>
      <c r="L1024" s="372">
        <v>903.24</v>
      </c>
      <c r="M1024" s="374">
        <f t="shared" si="159"/>
        <v>0.01272972853283734</v>
      </c>
      <c r="N1024" s="368">
        <v>351.85</v>
      </c>
      <c r="O1024" s="376">
        <f t="shared" si="155"/>
        <v>4.478954984278818</v>
      </c>
      <c r="P1024" s="369">
        <f t="shared" si="156"/>
        <v>763.7837119702405</v>
      </c>
      <c r="Q1024" s="375">
        <f t="shared" si="157"/>
        <v>268.7372990567291</v>
      </c>
      <c r="S1024" s="70"/>
      <c r="T1024" s="70"/>
    </row>
    <row r="1025" spans="1:20" ht="12.75" customHeight="1">
      <c r="A1025" s="1243"/>
      <c r="B1025" s="377">
        <v>7</v>
      </c>
      <c r="C1025" s="362" t="s">
        <v>882</v>
      </c>
      <c r="D1025" s="363">
        <v>12</v>
      </c>
      <c r="E1025" s="363" t="s">
        <v>64</v>
      </c>
      <c r="F1025" s="364">
        <f t="shared" si="158"/>
        <v>11.369</v>
      </c>
      <c r="G1025" s="364">
        <v>0.411</v>
      </c>
      <c r="H1025" s="364">
        <v>1.92</v>
      </c>
      <c r="I1025" s="364">
        <v>9.038</v>
      </c>
      <c r="J1025" s="372">
        <v>695.88</v>
      </c>
      <c r="K1025" s="364">
        <v>9.038</v>
      </c>
      <c r="L1025" s="372">
        <v>695.88</v>
      </c>
      <c r="M1025" s="374">
        <f t="shared" si="159"/>
        <v>0.01298787147209289</v>
      </c>
      <c r="N1025" s="368">
        <v>351.85</v>
      </c>
      <c r="O1025" s="376">
        <f t="shared" si="155"/>
        <v>4.569782577455884</v>
      </c>
      <c r="P1025" s="369">
        <f t="shared" si="156"/>
        <v>779.2722883255734</v>
      </c>
      <c r="Q1025" s="375">
        <f t="shared" si="157"/>
        <v>274.18695464735305</v>
      </c>
      <c r="S1025" s="63"/>
      <c r="T1025" s="63"/>
    </row>
    <row r="1026" spans="1:20" ht="12.75" customHeight="1">
      <c r="A1026" s="1243"/>
      <c r="B1026" s="377">
        <v>8</v>
      </c>
      <c r="C1026" s="362" t="s">
        <v>883</v>
      </c>
      <c r="D1026" s="363">
        <v>12</v>
      </c>
      <c r="E1026" s="363" t="s">
        <v>64</v>
      </c>
      <c r="F1026" s="364">
        <f t="shared" si="158"/>
        <v>11.556999999999999</v>
      </c>
      <c r="G1026" s="364">
        <v>0.354</v>
      </c>
      <c r="H1026" s="364">
        <v>1.92</v>
      </c>
      <c r="I1026" s="364">
        <v>9.283</v>
      </c>
      <c r="J1026" s="372">
        <v>701.9</v>
      </c>
      <c r="K1026" s="364">
        <v>9.283</v>
      </c>
      <c r="L1026" s="372">
        <v>701.9</v>
      </c>
      <c r="M1026" s="374">
        <f t="shared" si="159"/>
        <v>0.013225530702379256</v>
      </c>
      <c r="N1026" s="368">
        <v>351.85</v>
      </c>
      <c r="O1026" s="376">
        <f t="shared" si="155"/>
        <v>4.653402977632141</v>
      </c>
      <c r="P1026" s="369">
        <f t="shared" si="156"/>
        <v>793.5318421427554</v>
      </c>
      <c r="Q1026" s="375">
        <f t="shared" si="157"/>
        <v>279.2041786579285</v>
      </c>
      <c r="S1026" s="63"/>
      <c r="T1026" s="63"/>
    </row>
    <row r="1027" spans="1:20" ht="13.5" customHeight="1">
      <c r="A1027" s="1243"/>
      <c r="B1027" s="377">
        <v>9</v>
      </c>
      <c r="C1027" s="362" t="s">
        <v>497</v>
      </c>
      <c r="D1027" s="363">
        <v>20</v>
      </c>
      <c r="E1027" s="363" t="s">
        <v>64</v>
      </c>
      <c r="F1027" s="364">
        <f t="shared" si="158"/>
        <v>17.48</v>
      </c>
      <c r="G1027" s="364">
        <v>0.061</v>
      </c>
      <c r="H1027" s="364">
        <v>3.12</v>
      </c>
      <c r="I1027" s="364">
        <v>14.299</v>
      </c>
      <c r="J1027" s="372">
        <v>1078.13</v>
      </c>
      <c r="K1027" s="364">
        <v>14.299</v>
      </c>
      <c r="L1027" s="372">
        <v>1078.13</v>
      </c>
      <c r="M1027" s="374">
        <f t="shared" si="159"/>
        <v>0.013262779071169524</v>
      </c>
      <c r="N1027" s="368">
        <v>351.85</v>
      </c>
      <c r="O1027" s="376">
        <f t="shared" si="155"/>
        <v>4.666508816190997</v>
      </c>
      <c r="P1027" s="369">
        <f t="shared" si="156"/>
        <v>795.7667442701714</v>
      </c>
      <c r="Q1027" s="375">
        <f t="shared" si="157"/>
        <v>279.9905289714598</v>
      </c>
      <c r="S1027" s="63"/>
      <c r="T1027" s="63"/>
    </row>
    <row r="1028" spans="1:20" s="67" customFormat="1" ht="12.75" customHeight="1" thickBot="1">
      <c r="A1028" s="1244"/>
      <c r="B1028" s="413"/>
      <c r="C1028" s="397" t="s">
        <v>496</v>
      </c>
      <c r="D1028" s="398">
        <v>9</v>
      </c>
      <c r="E1028" s="398" t="s">
        <v>64</v>
      </c>
      <c r="F1028" s="399">
        <f t="shared" si="158"/>
        <v>11</v>
      </c>
      <c r="G1028" s="399">
        <v>0.648</v>
      </c>
      <c r="H1028" s="399">
        <v>1.6</v>
      </c>
      <c r="I1028" s="399">
        <v>8.752</v>
      </c>
      <c r="J1028" s="400">
        <v>656.14</v>
      </c>
      <c r="K1028" s="399">
        <v>8.068</v>
      </c>
      <c r="L1028" s="400">
        <v>604.77</v>
      </c>
      <c r="M1028" s="401">
        <f t="shared" si="159"/>
        <v>0.013340608826496023</v>
      </c>
      <c r="N1028" s="409">
        <v>351.85</v>
      </c>
      <c r="O1028" s="402">
        <f t="shared" si="155"/>
        <v>4.693893215602626</v>
      </c>
      <c r="P1028" s="402">
        <f t="shared" si="156"/>
        <v>800.4365295897614</v>
      </c>
      <c r="Q1028" s="403">
        <f t="shared" si="157"/>
        <v>281.6335929361576</v>
      </c>
      <c r="S1028" s="70"/>
      <c r="T1028" s="70"/>
    </row>
    <row r="1029" spans="1:20" ht="12.75">
      <c r="A1029" s="1187" t="s">
        <v>30</v>
      </c>
      <c r="B1029" s="22">
        <v>1</v>
      </c>
      <c r="C1029" s="910" t="s">
        <v>499</v>
      </c>
      <c r="D1029" s="178">
        <v>20</v>
      </c>
      <c r="E1029" s="178" t="s">
        <v>64</v>
      </c>
      <c r="F1029" s="296">
        <f>G1029+H1029+I1029</f>
        <v>22.499000000000002</v>
      </c>
      <c r="G1029" s="252">
        <v>2.053</v>
      </c>
      <c r="H1029" s="252">
        <v>3.12</v>
      </c>
      <c r="I1029" s="252">
        <v>17.326</v>
      </c>
      <c r="J1029" s="225">
        <v>1014.75</v>
      </c>
      <c r="K1029" s="252">
        <v>17.326</v>
      </c>
      <c r="L1029" s="298">
        <v>1014.75</v>
      </c>
      <c r="M1029" s="170">
        <f>K1029/L1029</f>
        <v>0.017074156196107415</v>
      </c>
      <c r="N1029" s="181">
        <v>351.85</v>
      </c>
      <c r="O1029" s="169">
        <f>M1029*N1029</f>
        <v>6.007541857600394</v>
      </c>
      <c r="P1029" s="169">
        <f>M1029*60*1000</f>
        <v>1024.449371766445</v>
      </c>
      <c r="Q1029" s="171">
        <f>P1029*N1029/1000</f>
        <v>360.4525114560237</v>
      </c>
      <c r="S1029" s="63"/>
      <c r="T1029" s="63"/>
    </row>
    <row r="1030" spans="1:20" ht="12.75">
      <c r="A1030" s="1188"/>
      <c r="B1030" s="24">
        <v>2</v>
      </c>
      <c r="C1030" s="166" t="s">
        <v>884</v>
      </c>
      <c r="D1030" s="102">
        <v>22</v>
      </c>
      <c r="E1030" s="102" t="s">
        <v>64</v>
      </c>
      <c r="F1030" s="183">
        <f>G1030+H1030+I1030</f>
        <v>25.94</v>
      </c>
      <c r="G1030" s="183">
        <v>1.791</v>
      </c>
      <c r="H1030" s="183">
        <v>3.52</v>
      </c>
      <c r="I1030" s="183">
        <v>20.629</v>
      </c>
      <c r="J1030" s="226">
        <v>1205.61</v>
      </c>
      <c r="K1030" s="183">
        <v>20.629</v>
      </c>
      <c r="L1030" s="226">
        <v>1205.61</v>
      </c>
      <c r="M1030" s="113">
        <f aca="true" t="shared" si="160" ref="M1030:M1038">K1030/L1030</f>
        <v>0.017110840155605878</v>
      </c>
      <c r="N1030" s="114">
        <v>351.85</v>
      </c>
      <c r="O1030" s="115">
        <f aca="true" t="shared" si="161" ref="O1030:O1038">M1030*N1030</f>
        <v>6.020449108749928</v>
      </c>
      <c r="P1030" s="169">
        <f aca="true" t="shared" si="162" ref="P1030:P1038">M1030*60*1000</f>
        <v>1026.6504093363526</v>
      </c>
      <c r="Q1030" s="116">
        <f aca="true" t="shared" si="163" ref="Q1030:Q1038">P1030*N1030/1000</f>
        <v>361.2269465249957</v>
      </c>
      <c r="S1030" s="63"/>
      <c r="T1030" s="63"/>
    </row>
    <row r="1031" spans="1:20" ht="12.75">
      <c r="A1031" s="1188"/>
      <c r="B1031" s="24">
        <v>3</v>
      </c>
      <c r="C1031" s="166" t="s">
        <v>885</v>
      </c>
      <c r="D1031" s="102">
        <v>20</v>
      </c>
      <c r="E1031" s="102" t="s">
        <v>64</v>
      </c>
      <c r="F1031" s="183">
        <f aca="true" t="shared" si="164" ref="F1031:F1047">G1031+H1031+I1031</f>
        <v>26.284000000000002</v>
      </c>
      <c r="G1031" s="183">
        <v>2.35</v>
      </c>
      <c r="H1031" s="183">
        <v>3.2</v>
      </c>
      <c r="I1031" s="183">
        <v>20.734</v>
      </c>
      <c r="J1031" s="226">
        <v>1210.09</v>
      </c>
      <c r="K1031" s="183">
        <v>20.734</v>
      </c>
      <c r="L1031" s="226">
        <v>1210.09</v>
      </c>
      <c r="M1031" s="113">
        <f t="shared" si="160"/>
        <v>0.017134262740787876</v>
      </c>
      <c r="N1031" s="114">
        <v>351.85</v>
      </c>
      <c r="O1031" s="115">
        <f t="shared" si="161"/>
        <v>6.028690345346215</v>
      </c>
      <c r="P1031" s="169">
        <f t="shared" si="162"/>
        <v>1028.0557644472726</v>
      </c>
      <c r="Q1031" s="116">
        <f t="shared" si="163"/>
        <v>361.72142072077287</v>
      </c>
      <c r="S1031" s="63"/>
      <c r="T1031" s="63"/>
    </row>
    <row r="1032" spans="1:20" s="67" customFormat="1" ht="12.75">
      <c r="A1032" s="1188"/>
      <c r="B1032" s="69">
        <v>4</v>
      </c>
      <c r="C1032" s="166" t="s">
        <v>498</v>
      </c>
      <c r="D1032" s="102">
        <v>45</v>
      </c>
      <c r="E1032" s="102" t="s">
        <v>64</v>
      </c>
      <c r="F1032" s="183">
        <f t="shared" si="164"/>
        <v>43.263999999999996</v>
      </c>
      <c r="G1032" s="183">
        <v>3.032</v>
      </c>
      <c r="H1032" s="183">
        <v>7.2</v>
      </c>
      <c r="I1032" s="183">
        <v>33.032</v>
      </c>
      <c r="J1032" s="226">
        <v>1903.57</v>
      </c>
      <c r="K1032" s="183">
        <v>33.032</v>
      </c>
      <c r="L1032" s="226">
        <v>1903.57</v>
      </c>
      <c r="M1032" s="113">
        <f t="shared" si="160"/>
        <v>0.017352658426010074</v>
      </c>
      <c r="N1032" s="114">
        <v>351.85</v>
      </c>
      <c r="O1032" s="115">
        <f t="shared" si="161"/>
        <v>6.105532867191645</v>
      </c>
      <c r="P1032" s="169">
        <f t="shared" si="162"/>
        <v>1041.1595055606044</v>
      </c>
      <c r="Q1032" s="116">
        <f t="shared" si="163"/>
        <v>366.33197203149865</v>
      </c>
      <c r="S1032" s="70"/>
      <c r="T1032" s="70"/>
    </row>
    <row r="1033" spans="1:20" ht="12.75">
      <c r="A1033" s="1188"/>
      <c r="B1033" s="24">
        <v>5</v>
      </c>
      <c r="C1033" s="166" t="s">
        <v>886</v>
      </c>
      <c r="D1033" s="102">
        <v>40</v>
      </c>
      <c r="E1033" s="102" t="s">
        <v>64</v>
      </c>
      <c r="F1033" s="183">
        <f t="shared" si="164"/>
        <v>49.5</v>
      </c>
      <c r="G1033" s="183">
        <v>4.04</v>
      </c>
      <c r="H1033" s="183">
        <v>6.4</v>
      </c>
      <c r="I1033" s="183">
        <v>39.06</v>
      </c>
      <c r="J1033" s="226">
        <v>2248.6</v>
      </c>
      <c r="K1033" s="183">
        <v>39.06</v>
      </c>
      <c r="L1033" s="226">
        <v>2248.6</v>
      </c>
      <c r="M1033" s="113">
        <f t="shared" si="160"/>
        <v>0.017370808503068578</v>
      </c>
      <c r="N1033" s="114">
        <v>351.85</v>
      </c>
      <c r="O1033" s="115">
        <f t="shared" si="161"/>
        <v>6.11191897180468</v>
      </c>
      <c r="P1033" s="169">
        <f t="shared" si="162"/>
        <v>1042.2485101841146</v>
      </c>
      <c r="Q1033" s="116">
        <f t="shared" si="163"/>
        <v>366.71513830828076</v>
      </c>
      <c r="S1033" s="63"/>
      <c r="T1033" s="63"/>
    </row>
    <row r="1034" spans="1:20" ht="12.75">
      <c r="A1034" s="1188"/>
      <c r="B1034" s="24">
        <v>6</v>
      </c>
      <c r="C1034" s="166" t="s">
        <v>887</v>
      </c>
      <c r="D1034" s="102">
        <v>22</v>
      </c>
      <c r="E1034" s="102" t="s">
        <v>64</v>
      </c>
      <c r="F1034" s="183">
        <f t="shared" si="164"/>
        <v>25.378</v>
      </c>
      <c r="G1034" s="183">
        <v>1.667</v>
      </c>
      <c r="H1034" s="183">
        <v>3.52</v>
      </c>
      <c r="I1034" s="183">
        <v>20.191</v>
      </c>
      <c r="J1034" s="226">
        <v>1161.06</v>
      </c>
      <c r="K1034" s="183">
        <v>20.191</v>
      </c>
      <c r="L1034" s="226">
        <v>1161.06</v>
      </c>
      <c r="M1034" s="113">
        <f t="shared" si="160"/>
        <v>0.017390143489569874</v>
      </c>
      <c r="N1034" s="114">
        <v>351.85</v>
      </c>
      <c r="O1034" s="115">
        <f t="shared" si="161"/>
        <v>6.118721986805161</v>
      </c>
      <c r="P1034" s="169">
        <f t="shared" si="162"/>
        <v>1043.4086093741926</v>
      </c>
      <c r="Q1034" s="116">
        <f t="shared" si="163"/>
        <v>367.1233192083097</v>
      </c>
      <c r="S1034" s="63"/>
      <c r="T1034" s="63"/>
    </row>
    <row r="1035" spans="1:20" ht="12.75">
      <c r="A1035" s="1188"/>
      <c r="B1035" s="24">
        <v>7</v>
      </c>
      <c r="C1035" s="166" t="s">
        <v>888</v>
      </c>
      <c r="D1035" s="102">
        <v>19</v>
      </c>
      <c r="E1035" s="102" t="s">
        <v>64</v>
      </c>
      <c r="F1035" s="183">
        <f t="shared" si="164"/>
        <v>21.839</v>
      </c>
      <c r="G1035" s="183">
        <v>1.567</v>
      </c>
      <c r="H1035" s="183">
        <v>2.88</v>
      </c>
      <c r="I1035" s="183">
        <v>17.392</v>
      </c>
      <c r="J1035" s="226">
        <v>998.64</v>
      </c>
      <c r="K1035" s="183">
        <v>17.392</v>
      </c>
      <c r="L1035" s="226">
        <v>998.64</v>
      </c>
      <c r="M1035" s="113">
        <f t="shared" si="160"/>
        <v>0.01741568533205159</v>
      </c>
      <c r="N1035" s="114">
        <v>351.85</v>
      </c>
      <c r="O1035" s="115">
        <f t="shared" si="161"/>
        <v>6.127708884082352</v>
      </c>
      <c r="P1035" s="169">
        <f t="shared" si="162"/>
        <v>1044.9411199230956</v>
      </c>
      <c r="Q1035" s="116">
        <f t="shared" si="163"/>
        <v>367.6625330449412</v>
      </c>
      <c r="S1035" s="63"/>
      <c r="T1035" s="63"/>
    </row>
    <row r="1036" spans="1:20" s="67" customFormat="1" ht="12.75">
      <c r="A1036" s="1188"/>
      <c r="B1036" s="69">
        <v>8</v>
      </c>
      <c r="C1036" s="166" t="s">
        <v>889</v>
      </c>
      <c r="D1036" s="102">
        <v>20</v>
      </c>
      <c r="E1036" s="102" t="s">
        <v>64</v>
      </c>
      <c r="F1036" s="183">
        <f t="shared" si="164"/>
        <v>23.184</v>
      </c>
      <c r="G1036" s="183">
        <v>1.545</v>
      </c>
      <c r="H1036" s="183">
        <v>3.2</v>
      </c>
      <c r="I1036" s="183">
        <v>18.439</v>
      </c>
      <c r="J1036" s="226">
        <v>1054.08</v>
      </c>
      <c r="K1036" s="183">
        <v>18.438</v>
      </c>
      <c r="L1036" s="226">
        <v>1054.08</v>
      </c>
      <c r="M1036" s="113">
        <f t="shared" si="160"/>
        <v>0.01749203096539162</v>
      </c>
      <c r="N1036" s="114">
        <v>351.85</v>
      </c>
      <c r="O1036" s="115">
        <f t="shared" si="161"/>
        <v>6.154571095173042</v>
      </c>
      <c r="P1036" s="169">
        <f t="shared" si="162"/>
        <v>1049.521857923497</v>
      </c>
      <c r="Q1036" s="116">
        <f t="shared" si="163"/>
        <v>369.27426571038245</v>
      </c>
      <c r="S1036" s="70"/>
      <c r="T1036" s="70"/>
    </row>
    <row r="1037" spans="1:20" ht="12.75">
      <c r="A1037" s="1254"/>
      <c r="B1037" s="58">
        <v>9</v>
      </c>
      <c r="C1037" s="166" t="s">
        <v>500</v>
      </c>
      <c r="D1037" s="102">
        <v>18</v>
      </c>
      <c r="E1037" s="102" t="s">
        <v>64</v>
      </c>
      <c r="F1037" s="183">
        <f t="shared" si="164"/>
        <v>23</v>
      </c>
      <c r="G1037" s="183">
        <v>2.536</v>
      </c>
      <c r="H1037" s="183">
        <v>2.88</v>
      </c>
      <c r="I1037" s="183">
        <v>17.584</v>
      </c>
      <c r="J1037" s="226">
        <v>1002</v>
      </c>
      <c r="K1037" s="183">
        <v>17.584</v>
      </c>
      <c r="L1037" s="226">
        <v>1002</v>
      </c>
      <c r="M1037" s="113">
        <f t="shared" si="160"/>
        <v>0.01754890219560878</v>
      </c>
      <c r="N1037" s="114">
        <v>351.85</v>
      </c>
      <c r="O1037" s="115">
        <f t="shared" si="161"/>
        <v>6.17458123752495</v>
      </c>
      <c r="P1037" s="169">
        <f t="shared" si="162"/>
        <v>1052.9341317365268</v>
      </c>
      <c r="Q1037" s="116">
        <f t="shared" si="163"/>
        <v>370.474874251497</v>
      </c>
      <c r="S1037" s="63"/>
      <c r="T1037" s="63"/>
    </row>
    <row r="1038" spans="1:20" ht="13.5" thickBot="1">
      <c r="A1038" s="1189"/>
      <c r="B1038" s="25">
        <v>10</v>
      </c>
      <c r="C1038" s="180" t="s">
        <v>890</v>
      </c>
      <c r="D1038" s="103">
        <v>22</v>
      </c>
      <c r="E1038" s="103" t="s">
        <v>64</v>
      </c>
      <c r="F1038" s="251">
        <f t="shared" si="164"/>
        <v>27.726</v>
      </c>
      <c r="G1038" s="251">
        <v>2.62</v>
      </c>
      <c r="H1038" s="251">
        <v>3.52</v>
      </c>
      <c r="I1038" s="251">
        <v>21.586</v>
      </c>
      <c r="J1038" s="227">
        <v>1217.03</v>
      </c>
      <c r="K1038" s="251">
        <v>21.586</v>
      </c>
      <c r="L1038" s="227">
        <v>1217.03</v>
      </c>
      <c r="M1038" s="172">
        <f t="shared" si="160"/>
        <v>0.017736621118624847</v>
      </c>
      <c r="N1038" s="182">
        <v>351.85</v>
      </c>
      <c r="O1038" s="173">
        <f t="shared" si="161"/>
        <v>6.240630140588153</v>
      </c>
      <c r="P1038" s="173">
        <f t="shared" si="162"/>
        <v>1064.1972671174908</v>
      </c>
      <c r="Q1038" s="174">
        <f t="shared" si="163"/>
        <v>374.4378084352892</v>
      </c>
      <c r="S1038" s="63"/>
      <c r="T1038" s="63"/>
    </row>
    <row r="1039" spans="1:20" ht="12.75">
      <c r="A1039" s="1253" t="s">
        <v>12</v>
      </c>
      <c r="B1039" s="27">
        <v>1</v>
      </c>
      <c r="C1039" s="911" t="s">
        <v>891</v>
      </c>
      <c r="D1039" s="912">
        <v>22</v>
      </c>
      <c r="E1039" s="912" t="s">
        <v>64</v>
      </c>
      <c r="F1039" s="997">
        <f t="shared" si="164"/>
        <v>31.918</v>
      </c>
      <c r="G1039" s="356">
        <v>2.107</v>
      </c>
      <c r="H1039" s="356">
        <v>3.146</v>
      </c>
      <c r="I1039" s="356">
        <v>26.665</v>
      </c>
      <c r="J1039" s="330">
        <v>1170.98</v>
      </c>
      <c r="K1039" s="356">
        <v>26.665</v>
      </c>
      <c r="L1039" s="357">
        <v>1170.98</v>
      </c>
      <c r="M1039" s="354">
        <f>K1039/L1039</f>
        <v>0.022771524705801977</v>
      </c>
      <c r="N1039" s="334">
        <v>351.85</v>
      </c>
      <c r="O1039" s="137">
        <f>M1039*N1039</f>
        <v>8.012160967736426</v>
      </c>
      <c r="P1039" s="137">
        <f>M1039*60*1000</f>
        <v>1366.2914823481187</v>
      </c>
      <c r="Q1039" s="138">
        <f>P1039*N1039/1000</f>
        <v>480.72965806418557</v>
      </c>
      <c r="S1039" s="63"/>
      <c r="T1039" s="63"/>
    </row>
    <row r="1040" spans="1:20" ht="12.75">
      <c r="A1040" s="1191"/>
      <c r="B1040" s="29">
        <v>2</v>
      </c>
      <c r="C1040" s="209" t="s">
        <v>503</v>
      </c>
      <c r="D1040" s="104">
        <v>7</v>
      </c>
      <c r="E1040" s="104" t="s">
        <v>64</v>
      </c>
      <c r="F1040" s="179">
        <f t="shared" si="164"/>
        <v>10</v>
      </c>
      <c r="G1040" s="179">
        <v>0.432</v>
      </c>
      <c r="H1040" s="179">
        <v>1.2</v>
      </c>
      <c r="I1040" s="179">
        <v>8.368</v>
      </c>
      <c r="J1040" s="224">
        <v>362.86</v>
      </c>
      <c r="K1040" s="179">
        <v>7.261</v>
      </c>
      <c r="L1040" s="224">
        <v>314.87</v>
      </c>
      <c r="M1040" s="117">
        <f aca="true" t="shared" si="165" ref="M1040:M1048">K1040/L1040</f>
        <v>0.02306031060437641</v>
      </c>
      <c r="N1040" s="104">
        <v>351.85</v>
      </c>
      <c r="O1040" s="119">
        <f aca="true" t="shared" si="166" ref="O1040:O1048">M1040*N1040</f>
        <v>8.11377028614984</v>
      </c>
      <c r="P1040" s="137">
        <f aca="true" t="shared" si="167" ref="P1040:P1048">M1040*60*1000</f>
        <v>1383.6186362625847</v>
      </c>
      <c r="Q1040" s="120">
        <f aca="true" t="shared" si="168" ref="Q1040:Q1048">P1040*N1040/1000</f>
        <v>486.82621716899047</v>
      </c>
      <c r="S1040" s="63"/>
      <c r="T1040" s="63"/>
    </row>
    <row r="1041" spans="1:20" ht="12.75">
      <c r="A1041" s="1191"/>
      <c r="B1041" s="29">
        <v>3</v>
      </c>
      <c r="C1041" s="135" t="s">
        <v>501</v>
      </c>
      <c r="D1041" s="104">
        <v>47</v>
      </c>
      <c r="E1041" s="104" t="s">
        <v>64</v>
      </c>
      <c r="F1041" s="179">
        <f t="shared" si="164"/>
        <v>31.970000000000002</v>
      </c>
      <c r="G1041" s="179">
        <v>2.183</v>
      </c>
      <c r="H1041" s="179">
        <v>1.44</v>
      </c>
      <c r="I1041" s="179">
        <v>28.347</v>
      </c>
      <c r="J1041" s="224">
        <v>1214.4</v>
      </c>
      <c r="K1041" s="179">
        <v>28.347</v>
      </c>
      <c r="L1041" s="224">
        <v>1214.4</v>
      </c>
      <c r="M1041" s="117">
        <f t="shared" si="165"/>
        <v>0.023342391304347825</v>
      </c>
      <c r="N1041" s="104">
        <v>351.85</v>
      </c>
      <c r="O1041" s="119">
        <f t="shared" si="166"/>
        <v>8.213020380434783</v>
      </c>
      <c r="P1041" s="137">
        <f t="shared" si="167"/>
        <v>1400.5434782608695</v>
      </c>
      <c r="Q1041" s="120">
        <f t="shared" si="168"/>
        <v>492.78122282608695</v>
      </c>
      <c r="S1041" s="63"/>
      <c r="T1041" s="63"/>
    </row>
    <row r="1042" spans="1:20" ht="12.75">
      <c r="A1042" s="1191"/>
      <c r="B1042" s="29">
        <v>4</v>
      </c>
      <c r="C1042" s="135" t="s">
        <v>892</v>
      </c>
      <c r="D1042" s="104">
        <v>13</v>
      </c>
      <c r="E1042" s="104" t="s">
        <v>64</v>
      </c>
      <c r="F1042" s="179">
        <f t="shared" si="164"/>
        <v>20.33</v>
      </c>
      <c r="G1042" s="179">
        <v>0.81</v>
      </c>
      <c r="H1042" s="179">
        <v>2.25</v>
      </c>
      <c r="I1042" s="179">
        <v>17.27</v>
      </c>
      <c r="J1042" s="224">
        <v>880.52</v>
      </c>
      <c r="K1042" s="179">
        <v>13.02</v>
      </c>
      <c r="L1042" s="224">
        <v>522.48</v>
      </c>
      <c r="M1042" s="117">
        <f t="shared" si="165"/>
        <v>0.024919614147909965</v>
      </c>
      <c r="N1042" s="104">
        <v>351.85</v>
      </c>
      <c r="O1042" s="119">
        <f t="shared" si="166"/>
        <v>8.767966237942122</v>
      </c>
      <c r="P1042" s="137">
        <f t="shared" si="167"/>
        <v>1495.176848874598</v>
      </c>
      <c r="Q1042" s="120">
        <f t="shared" si="168"/>
        <v>526.0779742765272</v>
      </c>
      <c r="S1042" s="63"/>
      <c r="T1042" s="63"/>
    </row>
    <row r="1043" spans="1:20" ht="12.75">
      <c r="A1043" s="1191"/>
      <c r="B1043" s="29">
        <v>5</v>
      </c>
      <c r="C1043" s="135" t="s">
        <v>893</v>
      </c>
      <c r="D1043" s="104">
        <v>9</v>
      </c>
      <c r="E1043" s="104" t="s">
        <v>64</v>
      </c>
      <c r="F1043" s="179">
        <f t="shared" si="164"/>
        <v>16.433</v>
      </c>
      <c r="G1043" s="179">
        <v>0.378</v>
      </c>
      <c r="H1043" s="179">
        <v>1.84</v>
      </c>
      <c r="I1043" s="179">
        <v>14.215</v>
      </c>
      <c r="J1043" s="224">
        <v>775.39</v>
      </c>
      <c r="K1043" s="179">
        <v>10.7</v>
      </c>
      <c r="L1043" s="224">
        <v>426.62</v>
      </c>
      <c r="M1043" s="117">
        <f t="shared" si="165"/>
        <v>0.025080868219961555</v>
      </c>
      <c r="N1043" s="104">
        <v>351.85</v>
      </c>
      <c r="O1043" s="119">
        <f t="shared" si="166"/>
        <v>8.824703483193474</v>
      </c>
      <c r="P1043" s="137">
        <f t="shared" si="167"/>
        <v>1504.8520931976932</v>
      </c>
      <c r="Q1043" s="120">
        <f t="shared" si="168"/>
        <v>529.4822089916083</v>
      </c>
      <c r="S1043" s="63"/>
      <c r="T1043" s="63"/>
    </row>
    <row r="1044" spans="1:20" ht="12.75">
      <c r="A1044" s="1191"/>
      <c r="B1044" s="29">
        <v>6</v>
      </c>
      <c r="C1044" s="209" t="s">
        <v>504</v>
      </c>
      <c r="D1044" s="104">
        <v>8</v>
      </c>
      <c r="E1044" s="104" t="s">
        <v>64</v>
      </c>
      <c r="F1044" s="179">
        <f t="shared" si="164"/>
        <v>10.369</v>
      </c>
      <c r="G1044" s="179">
        <v>0.162</v>
      </c>
      <c r="H1044" s="179">
        <v>1.28</v>
      </c>
      <c r="I1044" s="179">
        <v>8.927</v>
      </c>
      <c r="J1044" s="224">
        <v>354.78</v>
      </c>
      <c r="K1044" s="179">
        <v>8.927</v>
      </c>
      <c r="L1044" s="224">
        <v>354.78</v>
      </c>
      <c r="M1044" s="117">
        <f t="shared" si="165"/>
        <v>0.02516207227013924</v>
      </c>
      <c r="N1044" s="104">
        <v>351.85</v>
      </c>
      <c r="O1044" s="119">
        <f t="shared" si="166"/>
        <v>8.853275128248493</v>
      </c>
      <c r="P1044" s="137">
        <f t="shared" si="167"/>
        <v>1509.7243362083545</v>
      </c>
      <c r="Q1044" s="120">
        <f t="shared" si="168"/>
        <v>531.1965076949095</v>
      </c>
      <c r="S1044" s="63"/>
      <c r="T1044" s="63"/>
    </row>
    <row r="1045" spans="1:20" ht="12.75">
      <c r="A1045" s="1191"/>
      <c r="B1045" s="29">
        <v>7</v>
      </c>
      <c r="C1045" s="135" t="s">
        <v>502</v>
      </c>
      <c r="D1045" s="104">
        <v>24</v>
      </c>
      <c r="E1045" s="104" t="s">
        <v>64</v>
      </c>
      <c r="F1045" s="179">
        <f t="shared" si="164"/>
        <v>28.488</v>
      </c>
      <c r="G1045" s="179">
        <v>1.891</v>
      </c>
      <c r="H1045" s="179">
        <v>0.24</v>
      </c>
      <c r="I1045" s="179">
        <v>26.357</v>
      </c>
      <c r="J1045" s="224">
        <v>1026.08</v>
      </c>
      <c r="K1045" s="179">
        <v>26.357</v>
      </c>
      <c r="L1045" s="224">
        <v>1026.08</v>
      </c>
      <c r="M1045" s="117">
        <f t="shared" si="165"/>
        <v>0.025687080929362234</v>
      </c>
      <c r="N1045" s="104">
        <v>351.85</v>
      </c>
      <c r="O1045" s="119">
        <f t="shared" si="166"/>
        <v>9.037999424996103</v>
      </c>
      <c r="P1045" s="137">
        <f t="shared" si="167"/>
        <v>1541.224855761734</v>
      </c>
      <c r="Q1045" s="120">
        <f t="shared" si="168"/>
        <v>542.2799654997661</v>
      </c>
      <c r="S1045" s="63"/>
      <c r="T1045" s="63"/>
    </row>
    <row r="1046" spans="1:20" ht="12.75">
      <c r="A1046" s="1191"/>
      <c r="B1046" s="29">
        <v>8</v>
      </c>
      <c r="C1046" s="209" t="s">
        <v>894</v>
      </c>
      <c r="D1046" s="104">
        <v>23</v>
      </c>
      <c r="E1046" s="104" t="s">
        <v>64</v>
      </c>
      <c r="F1046" s="179">
        <f t="shared" si="164"/>
        <v>24.212</v>
      </c>
      <c r="G1046" s="179">
        <v>0</v>
      </c>
      <c r="H1046" s="179">
        <v>0</v>
      </c>
      <c r="I1046" s="179">
        <v>24.212</v>
      </c>
      <c r="J1046" s="224">
        <v>926.77</v>
      </c>
      <c r="K1046" s="179">
        <v>24.212</v>
      </c>
      <c r="L1046" s="224">
        <v>926.77</v>
      </c>
      <c r="M1046" s="117">
        <f t="shared" si="165"/>
        <v>0.026125144318439313</v>
      </c>
      <c r="N1046" s="104">
        <v>351.85</v>
      </c>
      <c r="O1046" s="119">
        <f t="shared" si="166"/>
        <v>9.192132028442872</v>
      </c>
      <c r="P1046" s="137">
        <f t="shared" si="167"/>
        <v>1567.5086591063587</v>
      </c>
      <c r="Q1046" s="120">
        <f t="shared" si="168"/>
        <v>551.5279217065723</v>
      </c>
      <c r="S1046" s="63"/>
      <c r="T1046" s="63"/>
    </row>
    <row r="1047" spans="1:20" ht="12.75">
      <c r="A1047" s="1191"/>
      <c r="B1047" s="29">
        <v>9</v>
      </c>
      <c r="C1047" s="209" t="s">
        <v>505</v>
      </c>
      <c r="D1047" s="104">
        <v>9</v>
      </c>
      <c r="E1047" s="104" t="s">
        <v>64</v>
      </c>
      <c r="F1047" s="179">
        <f t="shared" si="164"/>
        <v>13.722999999999999</v>
      </c>
      <c r="G1047" s="179">
        <v>0.648</v>
      </c>
      <c r="H1047" s="179">
        <v>1.6</v>
      </c>
      <c r="I1047" s="179">
        <v>11.475</v>
      </c>
      <c r="J1047" s="224">
        <v>407.19</v>
      </c>
      <c r="K1047" s="179">
        <v>10.042</v>
      </c>
      <c r="L1047" s="224">
        <v>356.36</v>
      </c>
      <c r="M1047" s="117">
        <f t="shared" si="165"/>
        <v>0.028179369177236503</v>
      </c>
      <c r="N1047" s="104">
        <v>351.85</v>
      </c>
      <c r="O1047" s="119">
        <f t="shared" si="166"/>
        <v>9.914911045010664</v>
      </c>
      <c r="P1047" s="137">
        <f t="shared" si="167"/>
        <v>1690.7621506341902</v>
      </c>
      <c r="Q1047" s="120">
        <f t="shared" si="168"/>
        <v>594.89466270064</v>
      </c>
      <c r="S1047" s="63"/>
      <c r="T1047" s="63"/>
    </row>
    <row r="1048" spans="1:20" ht="13.5" thickBot="1">
      <c r="A1048" s="1192"/>
      <c r="B1048" s="33">
        <v>10</v>
      </c>
      <c r="C1048" s="343" t="s">
        <v>506</v>
      </c>
      <c r="D1048" s="335">
        <v>7</v>
      </c>
      <c r="E1048" s="335" t="s">
        <v>64</v>
      </c>
      <c r="F1048" s="275">
        <f>G1048+H1048+I1048</f>
        <v>13.386</v>
      </c>
      <c r="G1048" s="275">
        <v>0.297</v>
      </c>
      <c r="H1048" s="275">
        <v>1.28</v>
      </c>
      <c r="I1048" s="275">
        <v>11.809</v>
      </c>
      <c r="J1048" s="329">
        <v>364.99</v>
      </c>
      <c r="K1048" s="275">
        <v>10.229</v>
      </c>
      <c r="L1048" s="329">
        <v>316.21</v>
      </c>
      <c r="M1048" s="355">
        <f t="shared" si="165"/>
        <v>0.03234875557382752</v>
      </c>
      <c r="N1048" s="335">
        <v>351.85</v>
      </c>
      <c r="O1048" s="123">
        <f t="shared" si="166"/>
        <v>11.381909648651213</v>
      </c>
      <c r="P1048" s="123">
        <f t="shared" si="167"/>
        <v>1940.925334429651</v>
      </c>
      <c r="Q1048" s="124">
        <f t="shared" si="168"/>
        <v>682.9145789190727</v>
      </c>
      <c r="S1048" s="63"/>
      <c r="T1048" s="63"/>
    </row>
    <row r="1049" spans="19:20" ht="12.75">
      <c r="S1049" s="63"/>
      <c r="T1049" s="63"/>
    </row>
    <row r="1050" spans="19:20" ht="12.75">
      <c r="S1050" s="63"/>
      <c r="T1050" s="63"/>
    </row>
    <row r="1051" spans="19:20" ht="12.75">
      <c r="S1051" s="63"/>
      <c r="T1051" s="63"/>
    </row>
    <row r="1052" spans="19:20" ht="12.75">
      <c r="S1052" s="63"/>
      <c r="T1052" s="63"/>
    </row>
    <row r="1053" spans="19:20" ht="12.75">
      <c r="S1053" s="63"/>
      <c r="T1053" s="63"/>
    </row>
    <row r="1054" spans="1:20" ht="15">
      <c r="A1054" s="1199" t="s">
        <v>237</v>
      </c>
      <c r="B1054" s="1199"/>
      <c r="C1054" s="1199"/>
      <c r="D1054" s="1199"/>
      <c r="E1054" s="1199"/>
      <c r="F1054" s="1199"/>
      <c r="G1054" s="1199"/>
      <c r="H1054" s="1199"/>
      <c r="I1054" s="1199"/>
      <c r="J1054" s="1199"/>
      <c r="K1054" s="1199"/>
      <c r="L1054" s="1199"/>
      <c r="M1054" s="1199"/>
      <c r="N1054" s="1199"/>
      <c r="O1054" s="1199"/>
      <c r="P1054" s="1199"/>
      <c r="Q1054" s="1199"/>
      <c r="S1054" s="63"/>
      <c r="T1054" s="63"/>
    </row>
    <row r="1055" spans="1:20" ht="13.5" thickBot="1">
      <c r="A1055" s="1200" t="s">
        <v>895</v>
      </c>
      <c r="B1055" s="1255"/>
      <c r="C1055" s="1255"/>
      <c r="D1055" s="1255"/>
      <c r="E1055" s="1255"/>
      <c r="F1055" s="1255"/>
      <c r="G1055" s="1255"/>
      <c r="H1055" s="1255"/>
      <c r="I1055" s="1255"/>
      <c r="J1055" s="1255"/>
      <c r="K1055" s="1255"/>
      <c r="L1055" s="1255"/>
      <c r="M1055" s="1255"/>
      <c r="N1055" s="1255"/>
      <c r="O1055" s="1255"/>
      <c r="P1055" s="1255"/>
      <c r="Q1055" s="1255"/>
      <c r="S1055" s="63"/>
      <c r="T1055" s="63"/>
    </row>
    <row r="1056" spans="1:20" ht="12.75" customHeight="1">
      <c r="A1056" s="1201" t="s">
        <v>1</v>
      </c>
      <c r="B1056" s="1203" t="s">
        <v>0</v>
      </c>
      <c r="C1056" s="1193" t="s">
        <v>2</v>
      </c>
      <c r="D1056" s="1193" t="s">
        <v>3</v>
      </c>
      <c r="E1056" s="1193" t="s">
        <v>13</v>
      </c>
      <c r="F1056" s="1207" t="s">
        <v>14</v>
      </c>
      <c r="G1056" s="1208"/>
      <c r="H1056" s="1208"/>
      <c r="I1056" s="1209"/>
      <c r="J1056" s="1193" t="s">
        <v>4</v>
      </c>
      <c r="K1056" s="1193" t="s">
        <v>15</v>
      </c>
      <c r="L1056" s="1193" t="s">
        <v>5</v>
      </c>
      <c r="M1056" s="1193" t="s">
        <v>6</v>
      </c>
      <c r="N1056" s="1193" t="s">
        <v>16</v>
      </c>
      <c r="O1056" s="1195" t="s">
        <v>17</v>
      </c>
      <c r="P1056" s="1193" t="s">
        <v>25</v>
      </c>
      <c r="Q1056" s="1197" t="s">
        <v>26</v>
      </c>
      <c r="S1056" s="63"/>
      <c r="T1056" s="63"/>
    </row>
    <row r="1057" spans="1:20" s="2" customFormat="1" ht="33.75">
      <c r="A1057" s="1202"/>
      <c r="B1057" s="1204"/>
      <c r="C1057" s="1205"/>
      <c r="D1057" s="1194"/>
      <c r="E1057" s="1194"/>
      <c r="F1057" s="26" t="s">
        <v>18</v>
      </c>
      <c r="G1057" s="26" t="s">
        <v>19</v>
      </c>
      <c r="H1057" s="26" t="s">
        <v>20</v>
      </c>
      <c r="I1057" s="26" t="s">
        <v>21</v>
      </c>
      <c r="J1057" s="1194"/>
      <c r="K1057" s="1194"/>
      <c r="L1057" s="1194"/>
      <c r="M1057" s="1194"/>
      <c r="N1057" s="1194"/>
      <c r="O1057" s="1196"/>
      <c r="P1057" s="1194"/>
      <c r="Q1057" s="1198"/>
      <c r="S1057" s="63"/>
      <c r="T1057" s="63"/>
    </row>
    <row r="1058" spans="1:20" s="3" customFormat="1" ht="13.5" customHeight="1" thickBot="1">
      <c r="A1058" s="1259"/>
      <c r="B1058" s="1256"/>
      <c r="C1058" s="1206"/>
      <c r="D1058" s="42" t="s">
        <v>7</v>
      </c>
      <c r="E1058" s="42" t="s">
        <v>8</v>
      </c>
      <c r="F1058" s="42" t="s">
        <v>9</v>
      </c>
      <c r="G1058" s="42" t="s">
        <v>9</v>
      </c>
      <c r="H1058" s="42" t="s">
        <v>9</v>
      </c>
      <c r="I1058" s="42" t="s">
        <v>9</v>
      </c>
      <c r="J1058" s="42" t="s">
        <v>22</v>
      </c>
      <c r="K1058" s="42" t="s">
        <v>9</v>
      </c>
      <c r="L1058" s="42" t="s">
        <v>22</v>
      </c>
      <c r="M1058" s="42" t="s">
        <v>131</v>
      </c>
      <c r="N1058" s="42" t="s">
        <v>10</v>
      </c>
      <c r="O1058" s="42" t="s">
        <v>132</v>
      </c>
      <c r="P1058" s="43" t="s">
        <v>27</v>
      </c>
      <c r="Q1058" s="44" t="s">
        <v>28</v>
      </c>
      <c r="S1058" s="63"/>
      <c r="T1058" s="63"/>
    </row>
    <row r="1059" spans="1:20" s="67" customFormat="1" ht="12.75" customHeight="1">
      <c r="A1059" s="1248" t="s">
        <v>11</v>
      </c>
      <c r="B1059" s="71">
        <v>1</v>
      </c>
      <c r="C1059" s="163" t="s">
        <v>507</v>
      </c>
      <c r="D1059" s="126">
        <v>20</v>
      </c>
      <c r="E1059" s="126">
        <v>2011</v>
      </c>
      <c r="F1059" s="207">
        <v>11.8</v>
      </c>
      <c r="G1059" s="207">
        <v>2.5</v>
      </c>
      <c r="H1059" s="207">
        <v>0.9</v>
      </c>
      <c r="I1059" s="207">
        <f>+F1059-G1059-H1059</f>
        <v>8.4</v>
      </c>
      <c r="J1059" s="856"/>
      <c r="K1059" s="207">
        <f>+I1059</f>
        <v>8.4</v>
      </c>
      <c r="L1059" s="219">
        <v>1113.2</v>
      </c>
      <c r="M1059" s="139">
        <f>K1059/L1059</f>
        <v>0.007545813869924542</v>
      </c>
      <c r="N1059" s="127">
        <v>343.2</v>
      </c>
      <c r="O1059" s="130">
        <f>M1059*N1059</f>
        <v>2.589723320158103</v>
      </c>
      <c r="P1059" s="130">
        <f>M1059*60*1000</f>
        <v>452.7488321954725</v>
      </c>
      <c r="Q1059" s="164">
        <f>P1059*N1059/1000</f>
        <v>155.38339920948619</v>
      </c>
      <c r="R1059" s="73"/>
      <c r="S1059" s="63"/>
      <c r="T1059" s="63"/>
    </row>
    <row r="1060" spans="1:20" s="67" customFormat="1" ht="12.75">
      <c r="A1060" s="1249"/>
      <c r="B1060" s="74">
        <v>2</v>
      </c>
      <c r="C1060" s="125"/>
      <c r="D1060" s="99"/>
      <c r="E1060" s="99"/>
      <c r="F1060" s="202"/>
      <c r="G1060" s="202"/>
      <c r="H1060" s="202"/>
      <c r="I1060" s="202"/>
      <c r="J1060" s="220"/>
      <c r="K1060" s="202"/>
      <c r="L1060" s="220"/>
      <c r="M1060" s="108"/>
      <c r="N1060" s="109"/>
      <c r="O1060" s="110"/>
      <c r="P1060" s="130"/>
      <c r="Q1060" s="111"/>
      <c r="R1060" s="73"/>
      <c r="S1060" s="63"/>
      <c r="T1060" s="63"/>
    </row>
    <row r="1061" spans="1:20" s="67" customFormat="1" ht="12.75">
      <c r="A1061" s="1287"/>
      <c r="B1061" s="66">
        <v>3</v>
      </c>
      <c r="C1061" s="125"/>
      <c r="D1061" s="99"/>
      <c r="E1061" s="99"/>
      <c r="F1061" s="202"/>
      <c r="G1061" s="202"/>
      <c r="H1061" s="202"/>
      <c r="I1061" s="202"/>
      <c r="J1061" s="220"/>
      <c r="K1061" s="202"/>
      <c r="L1061" s="220"/>
      <c r="M1061" s="108"/>
      <c r="N1061" s="109"/>
      <c r="O1061" s="110"/>
      <c r="P1061" s="130"/>
      <c r="Q1061" s="111"/>
      <c r="S1061" s="63"/>
      <c r="T1061" s="63"/>
    </row>
    <row r="1062" spans="1:20" s="67" customFormat="1" ht="12.75" customHeight="1">
      <c r="A1062" s="1287"/>
      <c r="B1062" s="66">
        <v>4</v>
      </c>
      <c r="C1062" s="125"/>
      <c r="D1062" s="99"/>
      <c r="E1062" s="99"/>
      <c r="F1062" s="202"/>
      <c r="G1062" s="202"/>
      <c r="H1062" s="202"/>
      <c r="I1062" s="202"/>
      <c r="J1062" s="220"/>
      <c r="K1062" s="202"/>
      <c r="L1062" s="220"/>
      <c r="M1062" s="108"/>
      <c r="N1062" s="109"/>
      <c r="O1062" s="110"/>
      <c r="P1062" s="130"/>
      <c r="Q1062" s="111"/>
      <c r="S1062" s="63"/>
      <c r="T1062" s="63"/>
    </row>
    <row r="1063" spans="1:20" s="67" customFormat="1" ht="12.75">
      <c r="A1063" s="1287"/>
      <c r="B1063" s="66">
        <v>5</v>
      </c>
      <c r="C1063" s="125"/>
      <c r="D1063" s="99"/>
      <c r="E1063" s="99"/>
      <c r="F1063" s="202"/>
      <c r="G1063" s="202"/>
      <c r="H1063" s="202"/>
      <c r="I1063" s="202"/>
      <c r="J1063" s="220"/>
      <c r="K1063" s="202"/>
      <c r="L1063" s="220"/>
      <c r="M1063" s="108"/>
      <c r="N1063" s="109"/>
      <c r="O1063" s="110"/>
      <c r="P1063" s="130"/>
      <c r="Q1063" s="111"/>
      <c r="S1063" s="63"/>
      <c r="T1063" s="63"/>
    </row>
    <row r="1064" spans="1:20" s="67" customFormat="1" ht="12.75">
      <c r="A1064" s="1287"/>
      <c r="B1064" s="66">
        <v>6</v>
      </c>
      <c r="C1064" s="125"/>
      <c r="D1064" s="99"/>
      <c r="E1064" s="99"/>
      <c r="F1064" s="202"/>
      <c r="G1064" s="202"/>
      <c r="H1064" s="202"/>
      <c r="I1064" s="202"/>
      <c r="J1064" s="220"/>
      <c r="K1064" s="202"/>
      <c r="L1064" s="220"/>
      <c r="M1064" s="108"/>
      <c r="N1064" s="109"/>
      <c r="O1064" s="110"/>
      <c r="P1064" s="130"/>
      <c r="Q1064" s="111"/>
      <c r="S1064" s="63"/>
      <c r="T1064" s="63"/>
    </row>
    <row r="1065" spans="1:20" s="67" customFormat="1" ht="12.75">
      <c r="A1065" s="1287"/>
      <c r="B1065" s="66">
        <v>7</v>
      </c>
      <c r="C1065" s="125"/>
      <c r="D1065" s="99"/>
      <c r="E1065" s="99"/>
      <c r="F1065" s="202"/>
      <c r="G1065" s="202"/>
      <c r="H1065" s="202"/>
      <c r="I1065" s="202"/>
      <c r="J1065" s="220"/>
      <c r="K1065" s="202"/>
      <c r="L1065" s="220"/>
      <c r="M1065" s="108"/>
      <c r="N1065" s="109"/>
      <c r="O1065" s="110"/>
      <c r="P1065" s="130"/>
      <c r="Q1065" s="111"/>
      <c r="S1065" s="63"/>
      <c r="T1065" s="63"/>
    </row>
    <row r="1066" spans="1:20" s="67" customFormat="1" ht="12.75">
      <c r="A1066" s="1287"/>
      <c r="B1066" s="66">
        <v>8</v>
      </c>
      <c r="C1066" s="125"/>
      <c r="D1066" s="99"/>
      <c r="E1066" s="99"/>
      <c r="F1066" s="202"/>
      <c r="G1066" s="202"/>
      <c r="H1066" s="202"/>
      <c r="I1066" s="202"/>
      <c r="J1066" s="220"/>
      <c r="K1066" s="202"/>
      <c r="L1066" s="220"/>
      <c r="M1066" s="108"/>
      <c r="N1066" s="109"/>
      <c r="O1066" s="110"/>
      <c r="P1066" s="130"/>
      <c r="Q1066" s="111"/>
      <c r="S1066" s="63"/>
      <c r="T1066" s="63"/>
    </row>
    <row r="1067" spans="1:20" s="67" customFormat="1" ht="13.5" thickBot="1">
      <c r="A1067" s="1288"/>
      <c r="B1067" s="66">
        <v>9</v>
      </c>
      <c r="C1067" s="128"/>
      <c r="D1067" s="100"/>
      <c r="E1067" s="100"/>
      <c r="F1067" s="203"/>
      <c r="G1067" s="203"/>
      <c r="H1067" s="203"/>
      <c r="I1067" s="203"/>
      <c r="J1067" s="221"/>
      <c r="K1067" s="203"/>
      <c r="L1067" s="221"/>
      <c r="M1067" s="140"/>
      <c r="N1067" s="129"/>
      <c r="O1067" s="222"/>
      <c r="P1067" s="141"/>
      <c r="Q1067" s="131"/>
      <c r="S1067" s="63"/>
      <c r="T1067" s="63"/>
    </row>
    <row r="1068" spans="1:20" s="67" customFormat="1" ht="12.75" customHeight="1">
      <c r="A1068" s="1242" t="s">
        <v>29</v>
      </c>
      <c r="B1068" s="410">
        <v>1</v>
      </c>
      <c r="C1068" s="362" t="s">
        <v>510</v>
      </c>
      <c r="D1068" s="363">
        <v>20</v>
      </c>
      <c r="E1068" s="363" t="s">
        <v>64</v>
      </c>
      <c r="F1068" s="365">
        <v>18.3</v>
      </c>
      <c r="G1068" s="365">
        <f>28*0.051</f>
        <v>1.428</v>
      </c>
      <c r="H1068" s="365">
        <f>25*0.16</f>
        <v>4</v>
      </c>
      <c r="I1068" s="364">
        <f aca="true" t="shared" si="169" ref="I1068:I1084">+F1068-G1068-H1068</f>
        <v>12.872</v>
      </c>
      <c r="J1068" s="857"/>
      <c r="K1068" s="365">
        <f aca="true" t="shared" si="170" ref="K1068:K1097">+I1068</f>
        <v>12.872</v>
      </c>
      <c r="L1068" s="366">
        <v>1276.41</v>
      </c>
      <c r="M1068" s="367">
        <f aca="true" t="shared" si="171" ref="M1068:M1097">K1068/L1068</f>
        <v>0.01008453396635877</v>
      </c>
      <c r="N1068" s="373">
        <v>343.2</v>
      </c>
      <c r="O1068" s="369">
        <f aca="true" t="shared" si="172" ref="O1068:O1097">M1068*N1068</f>
        <v>3.46101205725433</v>
      </c>
      <c r="P1068" s="369">
        <f aca="true" t="shared" si="173" ref="P1068:P1097">M1068*60*1000</f>
        <v>605.0720379815263</v>
      </c>
      <c r="Q1068" s="370">
        <f aca="true" t="shared" si="174" ref="Q1068:Q1097">P1068*N1068/1000</f>
        <v>207.6607234352598</v>
      </c>
      <c r="S1068" s="63"/>
      <c r="T1068" s="63"/>
    </row>
    <row r="1069" spans="1:20" s="67" customFormat="1" ht="12.75" customHeight="1">
      <c r="A1069" s="1243"/>
      <c r="B1069" s="407">
        <v>2</v>
      </c>
      <c r="C1069" s="362" t="s">
        <v>896</v>
      </c>
      <c r="D1069" s="363">
        <v>65</v>
      </c>
      <c r="E1069" s="363" t="s">
        <v>64</v>
      </c>
      <c r="F1069" s="364">
        <v>39</v>
      </c>
      <c r="G1069" s="364">
        <f>84.75*0.051</f>
        <v>4.3222499999999995</v>
      </c>
      <c r="H1069" s="364">
        <v>10.1</v>
      </c>
      <c r="I1069" s="364">
        <f t="shared" si="169"/>
        <v>24.57775</v>
      </c>
      <c r="J1069" s="858"/>
      <c r="K1069" s="364">
        <f t="shared" si="170"/>
        <v>24.57775</v>
      </c>
      <c r="L1069" s="372">
        <v>2338.13</v>
      </c>
      <c r="M1069" s="367">
        <f t="shared" si="171"/>
        <v>0.010511712351323494</v>
      </c>
      <c r="N1069" s="373">
        <v>343.2</v>
      </c>
      <c r="O1069" s="369">
        <f t="shared" si="172"/>
        <v>3.607619678974223</v>
      </c>
      <c r="P1069" s="369">
        <f t="shared" si="173"/>
        <v>630.7027410794096</v>
      </c>
      <c r="Q1069" s="370">
        <f t="shared" si="174"/>
        <v>216.4571807384534</v>
      </c>
      <c r="S1069" s="63"/>
      <c r="T1069" s="63"/>
    </row>
    <row r="1070" spans="1:20" ht="12.75" customHeight="1">
      <c r="A1070" s="1243"/>
      <c r="B1070" s="377">
        <v>3</v>
      </c>
      <c r="C1070" s="362" t="s">
        <v>509</v>
      </c>
      <c r="D1070" s="363">
        <v>36</v>
      </c>
      <c r="E1070" s="363" t="s">
        <v>64</v>
      </c>
      <c r="F1070" s="364">
        <v>25.9</v>
      </c>
      <c r="G1070" s="364">
        <f>45.2*0.051</f>
        <v>2.3052</v>
      </c>
      <c r="H1070" s="364">
        <f>36*0.16</f>
        <v>5.76</v>
      </c>
      <c r="I1070" s="364">
        <f t="shared" si="169"/>
        <v>17.8348</v>
      </c>
      <c r="J1070" s="858"/>
      <c r="K1070" s="364">
        <f t="shared" si="170"/>
        <v>17.8348</v>
      </c>
      <c r="L1070" s="372">
        <v>1527.8</v>
      </c>
      <c r="M1070" s="374">
        <f t="shared" si="171"/>
        <v>0.01167351747610944</v>
      </c>
      <c r="N1070" s="373">
        <v>343.2</v>
      </c>
      <c r="O1070" s="369">
        <f t="shared" si="172"/>
        <v>4.006351197800759</v>
      </c>
      <c r="P1070" s="369">
        <f t="shared" si="173"/>
        <v>700.4110485665664</v>
      </c>
      <c r="Q1070" s="375">
        <f t="shared" si="174"/>
        <v>240.38107186804558</v>
      </c>
      <c r="S1070" s="63"/>
      <c r="T1070" s="63"/>
    </row>
    <row r="1071" spans="1:20" ht="12.75" customHeight="1">
      <c r="A1071" s="1243"/>
      <c r="B1071" s="377">
        <v>4</v>
      </c>
      <c r="C1071" s="362" t="s">
        <v>508</v>
      </c>
      <c r="D1071" s="363">
        <v>20</v>
      </c>
      <c r="E1071" s="363" t="s">
        <v>64</v>
      </c>
      <c r="F1071" s="364">
        <v>17.6</v>
      </c>
      <c r="G1071" s="364">
        <f>30*0.051</f>
        <v>1.5299999999999998</v>
      </c>
      <c r="H1071" s="364">
        <f>20*0.16</f>
        <v>3.2</v>
      </c>
      <c r="I1071" s="364">
        <f t="shared" si="169"/>
        <v>12.870000000000001</v>
      </c>
      <c r="J1071" s="858"/>
      <c r="K1071" s="364">
        <f t="shared" si="170"/>
        <v>12.870000000000001</v>
      </c>
      <c r="L1071" s="372">
        <v>1062</v>
      </c>
      <c r="M1071" s="374">
        <f t="shared" si="171"/>
        <v>0.012118644067796612</v>
      </c>
      <c r="N1071" s="373">
        <v>343.2</v>
      </c>
      <c r="O1071" s="376">
        <f t="shared" si="172"/>
        <v>4.159118644067797</v>
      </c>
      <c r="P1071" s="369">
        <f t="shared" si="173"/>
        <v>727.1186440677967</v>
      </c>
      <c r="Q1071" s="375">
        <f t="shared" si="174"/>
        <v>249.5471186440678</v>
      </c>
      <c r="S1071" s="63"/>
      <c r="T1071" s="63"/>
    </row>
    <row r="1072" spans="1:20" ht="12.75" customHeight="1">
      <c r="A1072" s="1243"/>
      <c r="B1072" s="377">
        <v>5</v>
      </c>
      <c r="C1072" s="362" t="s">
        <v>897</v>
      </c>
      <c r="D1072" s="363">
        <v>40</v>
      </c>
      <c r="E1072" s="363" t="s">
        <v>64</v>
      </c>
      <c r="F1072" s="364">
        <v>37</v>
      </c>
      <c r="G1072" s="364">
        <f>58*0.051</f>
        <v>2.9579999999999997</v>
      </c>
      <c r="H1072" s="364">
        <f>40*0.16</f>
        <v>6.4</v>
      </c>
      <c r="I1072" s="364">
        <f t="shared" si="169"/>
        <v>27.642000000000003</v>
      </c>
      <c r="J1072" s="858"/>
      <c r="K1072" s="364">
        <f t="shared" si="170"/>
        <v>27.642000000000003</v>
      </c>
      <c r="L1072" s="372">
        <v>2231.32</v>
      </c>
      <c r="M1072" s="374">
        <f t="shared" si="171"/>
        <v>0.01238818277969991</v>
      </c>
      <c r="N1072" s="373">
        <v>343.2</v>
      </c>
      <c r="O1072" s="376">
        <f t="shared" si="172"/>
        <v>4.2516243299930085</v>
      </c>
      <c r="P1072" s="369">
        <f t="shared" si="173"/>
        <v>743.2909667819946</v>
      </c>
      <c r="Q1072" s="375">
        <f t="shared" si="174"/>
        <v>255.09745979958055</v>
      </c>
      <c r="S1072" s="63"/>
      <c r="T1072" s="63"/>
    </row>
    <row r="1073" spans="1:20" ht="12.75" customHeight="1">
      <c r="A1073" s="1243"/>
      <c r="B1073" s="377">
        <v>6</v>
      </c>
      <c r="C1073" s="362" t="s">
        <v>511</v>
      </c>
      <c r="D1073" s="363">
        <v>25</v>
      </c>
      <c r="E1073" s="363" t="s">
        <v>64</v>
      </c>
      <c r="F1073" s="364">
        <v>23.2</v>
      </c>
      <c r="G1073" s="364">
        <f>46*0.051</f>
        <v>2.3459999999999996</v>
      </c>
      <c r="H1073" s="364">
        <f>25*0.16</f>
        <v>4</v>
      </c>
      <c r="I1073" s="364">
        <f t="shared" si="169"/>
        <v>16.854</v>
      </c>
      <c r="J1073" s="858"/>
      <c r="K1073" s="364">
        <f t="shared" si="170"/>
        <v>16.854</v>
      </c>
      <c r="L1073" s="372">
        <v>1311.48</v>
      </c>
      <c r="M1073" s="374">
        <f t="shared" si="171"/>
        <v>0.012851130021044925</v>
      </c>
      <c r="N1073" s="373">
        <v>343.2</v>
      </c>
      <c r="O1073" s="376">
        <f t="shared" si="172"/>
        <v>4.410507823222618</v>
      </c>
      <c r="P1073" s="369">
        <f t="shared" si="173"/>
        <v>771.0678012626955</v>
      </c>
      <c r="Q1073" s="375">
        <f t="shared" si="174"/>
        <v>264.6304693933571</v>
      </c>
      <c r="S1073" s="63"/>
      <c r="T1073" s="63"/>
    </row>
    <row r="1074" spans="1:20" ht="12.75" customHeight="1">
      <c r="A1074" s="1243"/>
      <c r="B1074" s="407">
        <v>7</v>
      </c>
      <c r="C1074" s="362" t="s">
        <v>898</v>
      </c>
      <c r="D1074" s="363">
        <v>18</v>
      </c>
      <c r="E1074" s="363" t="s">
        <v>64</v>
      </c>
      <c r="F1074" s="364">
        <v>16</v>
      </c>
      <c r="G1074" s="364">
        <f>24.68*0.051</f>
        <v>1.2586799999999998</v>
      </c>
      <c r="H1074" s="364">
        <f>19*0.16</f>
        <v>3.04</v>
      </c>
      <c r="I1074" s="364">
        <f t="shared" si="169"/>
        <v>11.701319999999999</v>
      </c>
      <c r="J1074" s="858"/>
      <c r="K1074" s="364">
        <f t="shared" si="170"/>
        <v>11.701319999999999</v>
      </c>
      <c r="L1074" s="372">
        <v>910.35</v>
      </c>
      <c r="M1074" s="374">
        <f t="shared" si="171"/>
        <v>0.012853649695172185</v>
      </c>
      <c r="N1074" s="373">
        <v>343.2</v>
      </c>
      <c r="O1074" s="376">
        <f t="shared" si="172"/>
        <v>4.411372575383094</v>
      </c>
      <c r="P1074" s="369">
        <f t="shared" si="173"/>
        <v>771.2189817103311</v>
      </c>
      <c r="Q1074" s="375">
        <f t="shared" si="174"/>
        <v>264.68235452298563</v>
      </c>
      <c r="S1074" s="63"/>
      <c r="T1074" s="63"/>
    </row>
    <row r="1075" spans="1:20" ht="12.75" customHeight="1">
      <c r="A1075" s="1243"/>
      <c r="B1075" s="377">
        <v>8</v>
      </c>
      <c r="C1075" s="362" t="s">
        <v>899</v>
      </c>
      <c r="D1075" s="363">
        <v>7</v>
      </c>
      <c r="E1075" s="363" t="s">
        <v>64</v>
      </c>
      <c r="F1075" s="364">
        <v>5.7</v>
      </c>
      <c r="G1075" s="364">
        <f>6*0.051</f>
        <v>0.306</v>
      </c>
      <c r="H1075" s="364">
        <f>7*0.16</f>
        <v>1.12</v>
      </c>
      <c r="I1075" s="364">
        <f t="shared" si="169"/>
        <v>4.274</v>
      </c>
      <c r="J1075" s="858"/>
      <c r="K1075" s="364">
        <f t="shared" si="170"/>
        <v>4.274</v>
      </c>
      <c r="L1075" s="372">
        <v>330.84</v>
      </c>
      <c r="M1075" s="374">
        <f t="shared" si="171"/>
        <v>0.01291863136259219</v>
      </c>
      <c r="N1075" s="373">
        <v>343.2</v>
      </c>
      <c r="O1075" s="376">
        <f t="shared" si="172"/>
        <v>4.43367428364164</v>
      </c>
      <c r="P1075" s="369">
        <f t="shared" si="173"/>
        <v>775.1178817555315</v>
      </c>
      <c r="Q1075" s="375">
        <f t="shared" si="174"/>
        <v>266.0204570184984</v>
      </c>
      <c r="S1075" s="63"/>
      <c r="T1075" s="63"/>
    </row>
    <row r="1076" spans="1:20" ht="12.75" customHeight="1">
      <c r="A1076" s="1243"/>
      <c r="B1076" s="411">
        <v>9</v>
      </c>
      <c r="C1076" s="362" t="s">
        <v>900</v>
      </c>
      <c r="D1076" s="363">
        <v>16</v>
      </c>
      <c r="E1076" s="363" t="s">
        <v>64</v>
      </c>
      <c r="F1076" s="364">
        <v>12.9</v>
      </c>
      <c r="G1076" s="364">
        <f>17*0.051</f>
        <v>0.867</v>
      </c>
      <c r="H1076" s="364">
        <f>16*0.16</f>
        <v>2.56</v>
      </c>
      <c r="I1076" s="364">
        <f t="shared" si="169"/>
        <v>9.473</v>
      </c>
      <c r="J1076" s="858"/>
      <c r="K1076" s="364">
        <f t="shared" si="170"/>
        <v>9.473</v>
      </c>
      <c r="L1076" s="372">
        <v>730.56</v>
      </c>
      <c r="M1076" s="374">
        <f t="shared" si="171"/>
        <v>0.012966765221200178</v>
      </c>
      <c r="N1076" s="373">
        <v>343.2</v>
      </c>
      <c r="O1076" s="376">
        <f t="shared" si="172"/>
        <v>4.4501938239159005</v>
      </c>
      <c r="P1076" s="369">
        <f t="shared" si="173"/>
        <v>778.0059132720106</v>
      </c>
      <c r="Q1076" s="375">
        <f t="shared" si="174"/>
        <v>267.01162943495405</v>
      </c>
      <c r="S1076" s="63"/>
      <c r="T1076" s="63"/>
    </row>
    <row r="1077" spans="1:20" ht="13.5" customHeight="1" thickBot="1">
      <c r="A1077" s="1244"/>
      <c r="B1077" s="412">
        <v>10</v>
      </c>
      <c r="C1077" s="397" t="s">
        <v>901</v>
      </c>
      <c r="D1077" s="398">
        <v>30</v>
      </c>
      <c r="E1077" s="398" t="s">
        <v>64</v>
      </c>
      <c r="F1077" s="399">
        <v>28.6</v>
      </c>
      <c r="G1077" s="399">
        <f>46*0.051</f>
        <v>2.3459999999999996</v>
      </c>
      <c r="H1077" s="399">
        <f>30*0.16</f>
        <v>4.8</v>
      </c>
      <c r="I1077" s="364">
        <f t="shared" si="169"/>
        <v>21.454</v>
      </c>
      <c r="J1077" s="859"/>
      <c r="K1077" s="364">
        <f t="shared" si="170"/>
        <v>21.454</v>
      </c>
      <c r="L1077" s="400">
        <v>1626.42</v>
      </c>
      <c r="M1077" s="401">
        <f t="shared" si="171"/>
        <v>0.013190934690916246</v>
      </c>
      <c r="N1077" s="373">
        <v>343.2</v>
      </c>
      <c r="O1077" s="402">
        <f t="shared" si="172"/>
        <v>4.527128785922455</v>
      </c>
      <c r="P1077" s="402">
        <f t="shared" si="173"/>
        <v>791.4560814549747</v>
      </c>
      <c r="Q1077" s="403">
        <f t="shared" si="174"/>
        <v>271.6277271553473</v>
      </c>
      <c r="S1077" s="63"/>
      <c r="T1077" s="63"/>
    </row>
    <row r="1078" spans="1:20" ht="13.5" customHeight="1">
      <c r="A1078" s="1376" t="s">
        <v>223</v>
      </c>
      <c r="B1078" s="61">
        <v>1</v>
      </c>
      <c r="C1078" s="176" t="s">
        <v>902</v>
      </c>
      <c r="D1078" s="178">
        <v>12</v>
      </c>
      <c r="E1078" s="178" t="s">
        <v>64</v>
      </c>
      <c r="F1078" s="252">
        <v>15</v>
      </c>
      <c r="G1078" s="252">
        <f>22*0.051</f>
        <v>1.1219999999999999</v>
      </c>
      <c r="H1078" s="252">
        <f>0.16*12</f>
        <v>1.92</v>
      </c>
      <c r="I1078" s="252">
        <f t="shared" si="169"/>
        <v>11.958</v>
      </c>
      <c r="J1078" s="860"/>
      <c r="K1078" s="252">
        <f t="shared" si="170"/>
        <v>11.958</v>
      </c>
      <c r="L1078" s="298">
        <v>616.07</v>
      </c>
      <c r="M1078" s="170">
        <f t="shared" si="171"/>
        <v>0.019410131965523398</v>
      </c>
      <c r="N1078" s="651">
        <v>343.2</v>
      </c>
      <c r="O1078" s="169">
        <f t="shared" si="172"/>
        <v>6.66155729056763</v>
      </c>
      <c r="P1078" s="169">
        <f t="shared" si="173"/>
        <v>1164.607917931404</v>
      </c>
      <c r="Q1078" s="171">
        <f t="shared" si="174"/>
        <v>399.69343743405784</v>
      </c>
      <c r="S1078" s="63"/>
      <c r="T1078" s="63"/>
    </row>
    <row r="1079" spans="1:20" ht="13.5" customHeight="1">
      <c r="A1079" s="1377"/>
      <c r="B1079" s="61">
        <v>2</v>
      </c>
      <c r="C1079" s="166" t="s">
        <v>903</v>
      </c>
      <c r="D1079" s="102">
        <v>5</v>
      </c>
      <c r="E1079" s="102" t="s">
        <v>64</v>
      </c>
      <c r="F1079" s="183">
        <v>8.6</v>
      </c>
      <c r="G1079" s="183">
        <f>6.2*0.051</f>
        <v>0.3162</v>
      </c>
      <c r="H1079" s="183">
        <f>11*0.16</f>
        <v>1.76</v>
      </c>
      <c r="I1079" s="183">
        <f t="shared" si="169"/>
        <v>6.5238</v>
      </c>
      <c r="J1079" s="861"/>
      <c r="K1079" s="183">
        <f t="shared" si="170"/>
        <v>6.5238</v>
      </c>
      <c r="L1079" s="226">
        <v>330.48</v>
      </c>
      <c r="M1079" s="113">
        <f t="shared" si="171"/>
        <v>0.019740377632534493</v>
      </c>
      <c r="N1079" s="651">
        <v>343.2</v>
      </c>
      <c r="O1079" s="115">
        <f t="shared" si="172"/>
        <v>6.774897603485838</v>
      </c>
      <c r="P1079" s="169">
        <f t="shared" si="173"/>
        <v>1184.4226579520696</v>
      </c>
      <c r="Q1079" s="116">
        <f t="shared" si="174"/>
        <v>406.4938562091503</v>
      </c>
      <c r="S1079" s="63"/>
      <c r="T1079" s="63"/>
    </row>
    <row r="1080" spans="1:20" ht="13.5" customHeight="1">
      <c r="A1080" s="1377"/>
      <c r="B1080" s="61">
        <v>3</v>
      </c>
      <c r="C1080" s="166" t="s">
        <v>521</v>
      </c>
      <c r="D1080" s="102">
        <v>9</v>
      </c>
      <c r="E1080" s="102" t="s">
        <v>64</v>
      </c>
      <c r="F1080" s="183">
        <v>12.5</v>
      </c>
      <c r="G1080" s="183">
        <f>14*0.051</f>
        <v>0.714</v>
      </c>
      <c r="H1080" s="183">
        <f>9*0.16</f>
        <v>1.44</v>
      </c>
      <c r="I1080" s="183">
        <f t="shared" si="169"/>
        <v>10.346</v>
      </c>
      <c r="J1080" s="861"/>
      <c r="K1080" s="183">
        <f t="shared" si="170"/>
        <v>10.346</v>
      </c>
      <c r="L1080" s="226">
        <v>515.76</v>
      </c>
      <c r="M1080" s="113">
        <f t="shared" si="171"/>
        <v>0.02005971769815418</v>
      </c>
      <c r="N1080" s="651">
        <v>343.2</v>
      </c>
      <c r="O1080" s="115">
        <f t="shared" si="172"/>
        <v>6.884495114006515</v>
      </c>
      <c r="P1080" s="169">
        <f t="shared" si="173"/>
        <v>1203.583061889251</v>
      </c>
      <c r="Q1080" s="116">
        <f t="shared" si="174"/>
        <v>413.06970684039095</v>
      </c>
      <c r="S1080" s="63"/>
      <c r="T1080" s="63"/>
    </row>
    <row r="1081" spans="1:20" ht="13.5" customHeight="1">
      <c r="A1081" s="1377"/>
      <c r="B1081" s="61">
        <v>4</v>
      </c>
      <c r="C1081" s="166" t="s">
        <v>512</v>
      </c>
      <c r="D1081" s="102">
        <v>4</v>
      </c>
      <c r="E1081" s="102" t="s">
        <v>64</v>
      </c>
      <c r="F1081" s="183">
        <v>3.74</v>
      </c>
      <c r="G1081" s="183">
        <f>0*0.051</f>
        <v>0</v>
      </c>
      <c r="H1081" s="183">
        <v>0</v>
      </c>
      <c r="I1081" s="183">
        <f t="shared" si="169"/>
        <v>3.74</v>
      </c>
      <c r="J1081" s="861"/>
      <c r="K1081" s="183">
        <f t="shared" si="170"/>
        <v>3.74</v>
      </c>
      <c r="L1081" s="226">
        <v>183.78</v>
      </c>
      <c r="M1081" s="113">
        <f t="shared" si="171"/>
        <v>0.020350418979214278</v>
      </c>
      <c r="N1081" s="651">
        <v>343.2</v>
      </c>
      <c r="O1081" s="115">
        <f t="shared" si="172"/>
        <v>6.98426379366634</v>
      </c>
      <c r="P1081" s="169">
        <f t="shared" si="173"/>
        <v>1221.0251387528565</v>
      </c>
      <c r="Q1081" s="116">
        <f t="shared" si="174"/>
        <v>419.05582761998033</v>
      </c>
      <c r="S1081" s="63"/>
      <c r="T1081" s="63"/>
    </row>
    <row r="1082" spans="1:20" ht="13.5" customHeight="1">
      <c r="A1082" s="1377"/>
      <c r="B1082" s="61">
        <v>5</v>
      </c>
      <c r="C1082" s="166" t="s">
        <v>904</v>
      </c>
      <c r="D1082" s="102">
        <v>18</v>
      </c>
      <c r="E1082" s="102" t="s">
        <v>64</v>
      </c>
      <c r="F1082" s="183">
        <v>23</v>
      </c>
      <c r="G1082" s="183">
        <f>30.5*0.051</f>
        <v>1.5554999999999999</v>
      </c>
      <c r="H1082" s="183">
        <f>18*0.16</f>
        <v>2.88</v>
      </c>
      <c r="I1082" s="183">
        <f t="shared" si="169"/>
        <v>18.564500000000002</v>
      </c>
      <c r="J1082" s="861"/>
      <c r="K1082" s="183">
        <f t="shared" si="170"/>
        <v>18.564500000000002</v>
      </c>
      <c r="L1082" s="226">
        <v>902.28</v>
      </c>
      <c r="M1082" s="113">
        <f t="shared" si="171"/>
        <v>0.020575098639003416</v>
      </c>
      <c r="N1082" s="651">
        <v>343.2</v>
      </c>
      <c r="O1082" s="115">
        <f t="shared" si="172"/>
        <v>7.061373852905972</v>
      </c>
      <c r="P1082" s="169">
        <f t="shared" si="173"/>
        <v>1234.505918340205</v>
      </c>
      <c r="Q1082" s="116">
        <f t="shared" si="174"/>
        <v>423.6824311743583</v>
      </c>
      <c r="S1082" s="63"/>
      <c r="T1082" s="63"/>
    </row>
    <row r="1083" spans="1:20" ht="13.5" customHeight="1">
      <c r="A1083" s="1377"/>
      <c r="B1083" s="24">
        <v>6</v>
      </c>
      <c r="C1083" s="166" t="s">
        <v>520</v>
      </c>
      <c r="D1083" s="102">
        <v>7</v>
      </c>
      <c r="E1083" s="102" t="s">
        <v>64</v>
      </c>
      <c r="F1083" s="183">
        <v>10.1</v>
      </c>
      <c r="G1083" s="183">
        <f>17.75*0.051</f>
        <v>0.9052499999999999</v>
      </c>
      <c r="H1083" s="183">
        <f>7*0.16</f>
        <v>1.12</v>
      </c>
      <c r="I1083" s="183">
        <f t="shared" si="169"/>
        <v>8.074749999999998</v>
      </c>
      <c r="J1083" s="861"/>
      <c r="K1083" s="183">
        <f t="shared" si="170"/>
        <v>8.074749999999998</v>
      </c>
      <c r="L1083" s="226">
        <v>387.52</v>
      </c>
      <c r="M1083" s="113">
        <f t="shared" si="171"/>
        <v>0.020836989058629227</v>
      </c>
      <c r="N1083" s="651">
        <v>343.2</v>
      </c>
      <c r="O1083" s="115">
        <f t="shared" si="172"/>
        <v>7.151254644921551</v>
      </c>
      <c r="P1083" s="169">
        <f t="shared" si="173"/>
        <v>1250.2193435177535</v>
      </c>
      <c r="Q1083" s="116">
        <f t="shared" si="174"/>
        <v>429.075278695293</v>
      </c>
      <c r="S1083" s="63"/>
      <c r="T1083" s="63"/>
    </row>
    <row r="1084" spans="1:20" ht="13.5" customHeight="1">
      <c r="A1084" s="1377"/>
      <c r="B1084" s="24">
        <v>7</v>
      </c>
      <c r="C1084" s="166" t="s">
        <v>514</v>
      </c>
      <c r="D1084" s="102">
        <v>4</v>
      </c>
      <c r="E1084" s="102" t="s">
        <v>64</v>
      </c>
      <c r="F1084" s="183">
        <v>4.4</v>
      </c>
      <c r="G1084" s="183">
        <f>3.8*0.051</f>
        <v>0.19379999999999997</v>
      </c>
      <c r="H1084" s="183">
        <f>0.334-G1084</f>
        <v>0.14020000000000005</v>
      </c>
      <c r="I1084" s="183">
        <f t="shared" si="169"/>
        <v>4.066000000000001</v>
      </c>
      <c r="J1084" s="861"/>
      <c r="K1084" s="183">
        <f t="shared" si="170"/>
        <v>4.066000000000001</v>
      </c>
      <c r="L1084" s="226">
        <v>193.93</v>
      </c>
      <c r="M1084" s="113">
        <f t="shared" si="171"/>
        <v>0.02096632805651524</v>
      </c>
      <c r="N1084" s="651">
        <v>343.2</v>
      </c>
      <c r="O1084" s="115">
        <f t="shared" si="172"/>
        <v>7.19564378899603</v>
      </c>
      <c r="P1084" s="169">
        <f t="shared" si="173"/>
        <v>1257.9796833909145</v>
      </c>
      <c r="Q1084" s="116">
        <f t="shared" si="174"/>
        <v>431.7386273397618</v>
      </c>
      <c r="S1084" s="63"/>
      <c r="T1084" s="63"/>
    </row>
    <row r="1085" spans="1:20" ht="13.5" customHeight="1">
      <c r="A1085" s="1377"/>
      <c r="B1085" s="24">
        <v>8</v>
      </c>
      <c r="C1085" s="166" t="s">
        <v>518</v>
      </c>
      <c r="D1085" s="102">
        <v>6</v>
      </c>
      <c r="E1085" s="102" t="s">
        <v>64</v>
      </c>
      <c r="F1085" s="183">
        <v>4.99</v>
      </c>
      <c r="G1085" s="183">
        <v>0</v>
      </c>
      <c r="H1085" s="183">
        <v>0</v>
      </c>
      <c r="I1085" s="183">
        <f>+F1085</f>
        <v>4.99</v>
      </c>
      <c r="J1085" s="861"/>
      <c r="K1085" s="183">
        <f t="shared" si="170"/>
        <v>4.99</v>
      </c>
      <c r="L1085" s="226">
        <v>234.73</v>
      </c>
      <c r="M1085" s="113">
        <f t="shared" si="171"/>
        <v>0.02125846717505219</v>
      </c>
      <c r="N1085" s="651">
        <v>343.2</v>
      </c>
      <c r="O1085" s="115">
        <f t="shared" si="172"/>
        <v>7.295905934477911</v>
      </c>
      <c r="P1085" s="169">
        <f t="shared" si="173"/>
        <v>1275.5080305031315</v>
      </c>
      <c r="Q1085" s="116">
        <f t="shared" si="174"/>
        <v>437.7543560686747</v>
      </c>
      <c r="S1085" s="63"/>
      <c r="T1085" s="63"/>
    </row>
    <row r="1086" spans="1:20" ht="13.5" customHeight="1">
      <c r="A1086" s="1377"/>
      <c r="B1086" s="24">
        <v>9</v>
      </c>
      <c r="C1086" s="166" t="s">
        <v>517</v>
      </c>
      <c r="D1086" s="102">
        <v>8</v>
      </c>
      <c r="E1086" s="102" t="s">
        <v>64</v>
      </c>
      <c r="F1086" s="183">
        <v>8.6</v>
      </c>
      <c r="G1086" s="183">
        <v>0</v>
      </c>
      <c r="H1086" s="183">
        <v>0</v>
      </c>
      <c r="I1086" s="183">
        <f aca="true" t="shared" si="175" ref="I1086:I1097">+F1086-G1086-H1086</f>
        <v>8.6</v>
      </c>
      <c r="J1086" s="861"/>
      <c r="K1086" s="183">
        <f t="shared" si="170"/>
        <v>8.6</v>
      </c>
      <c r="L1086" s="226">
        <v>397.76</v>
      </c>
      <c r="M1086" s="113">
        <f t="shared" si="171"/>
        <v>0.02162107803700724</v>
      </c>
      <c r="N1086" s="651">
        <v>343.2</v>
      </c>
      <c r="O1086" s="115">
        <f t="shared" si="172"/>
        <v>7.420353982300885</v>
      </c>
      <c r="P1086" s="169">
        <f t="shared" si="173"/>
        <v>1297.2646822204345</v>
      </c>
      <c r="Q1086" s="116">
        <f t="shared" si="174"/>
        <v>445.2212389380531</v>
      </c>
      <c r="S1086" s="63"/>
      <c r="T1086" s="63"/>
    </row>
    <row r="1087" spans="1:20" ht="13.5" customHeight="1" thickBot="1">
      <c r="A1087" s="1378"/>
      <c r="B1087" s="25">
        <v>10</v>
      </c>
      <c r="C1087" s="177" t="s">
        <v>513</v>
      </c>
      <c r="D1087" s="103">
        <v>2</v>
      </c>
      <c r="E1087" s="103" t="s">
        <v>64</v>
      </c>
      <c r="F1087" s="251">
        <v>2.6</v>
      </c>
      <c r="G1087" s="251">
        <f>4*0.051</f>
        <v>0.204</v>
      </c>
      <c r="H1087" s="251">
        <f>2*0.01</f>
        <v>0.02</v>
      </c>
      <c r="I1087" s="251">
        <f t="shared" si="175"/>
        <v>2.376</v>
      </c>
      <c r="J1087" s="863"/>
      <c r="K1087" s="251">
        <f t="shared" si="170"/>
        <v>2.376</v>
      </c>
      <c r="L1087" s="227">
        <v>107.98</v>
      </c>
      <c r="M1087" s="172">
        <f t="shared" si="171"/>
        <v>0.022004074828671973</v>
      </c>
      <c r="N1087" s="652">
        <v>343.2</v>
      </c>
      <c r="O1087" s="173">
        <f t="shared" si="172"/>
        <v>7.551798481200221</v>
      </c>
      <c r="P1087" s="173">
        <f t="shared" si="173"/>
        <v>1320.2444897203186</v>
      </c>
      <c r="Q1087" s="174">
        <f t="shared" si="174"/>
        <v>453.10790887201335</v>
      </c>
      <c r="S1087" s="63"/>
      <c r="T1087" s="63"/>
    </row>
    <row r="1088" spans="1:20" ht="13.5" customHeight="1">
      <c r="A1088" s="1269" t="s">
        <v>12</v>
      </c>
      <c r="B1088" s="59">
        <v>1</v>
      </c>
      <c r="C1088" s="132" t="s">
        <v>522</v>
      </c>
      <c r="D1088" s="133">
        <v>25</v>
      </c>
      <c r="E1088" s="133" t="s">
        <v>64</v>
      </c>
      <c r="F1088" s="204">
        <v>29.8</v>
      </c>
      <c r="G1088" s="204">
        <f>21.95*0.051</f>
        <v>1.1194499999999998</v>
      </c>
      <c r="H1088" s="204">
        <v>3.6</v>
      </c>
      <c r="I1088" s="204">
        <f t="shared" si="175"/>
        <v>25.08055</v>
      </c>
      <c r="J1088" s="886"/>
      <c r="K1088" s="204">
        <f t="shared" si="170"/>
        <v>25.08055</v>
      </c>
      <c r="L1088" s="299">
        <v>1133.69</v>
      </c>
      <c r="M1088" s="136">
        <f t="shared" si="171"/>
        <v>0.022122934841094125</v>
      </c>
      <c r="N1088" s="701">
        <v>343.2</v>
      </c>
      <c r="O1088" s="137">
        <f t="shared" si="172"/>
        <v>7.592591237463504</v>
      </c>
      <c r="P1088" s="137">
        <f t="shared" si="173"/>
        <v>1327.3760904656476</v>
      </c>
      <c r="Q1088" s="138">
        <f t="shared" si="174"/>
        <v>455.55547424781025</v>
      </c>
      <c r="S1088" s="63"/>
      <c r="T1088" s="63"/>
    </row>
    <row r="1089" spans="1:20" ht="13.5" customHeight="1">
      <c r="A1089" s="1270"/>
      <c r="B1089" s="29">
        <v>2</v>
      </c>
      <c r="C1089" s="209" t="s">
        <v>515</v>
      </c>
      <c r="D1089" s="104">
        <v>15</v>
      </c>
      <c r="E1089" s="104" t="s">
        <v>64</v>
      </c>
      <c r="F1089" s="179">
        <v>22.1</v>
      </c>
      <c r="G1089" s="179">
        <f>22.5*0.051</f>
        <v>1.1475</v>
      </c>
      <c r="H1089" s="179">
        <f>15*0.16</f>
        <v>2.4</v>
      </c>
      <c r="I1089" s="179">
        <f t="shared" si="175"/>
        <v>18.552500000000002</v>
      </c>
      <c r="J1089" s="135"/>
      <c r="K1089" s="179">
        <f t="shared" si="170"/>
        <v>18.552500000000002</v>
      </c>
      <c r="L1089" s="224">
        <v>826.86</v>
      </c>
      <c r="M1089" s="117">
        <f t="shared" si="171"/>
        <v>0.022437292891178677</v>
      </c>
      <c r="N1089" s="692">
        <v>343.2</v>
      </c>
      <c r="O1089" s="119">
        <f t="shared" si="172"/>
        <v>7.700478920252522</v>
      </c>
      <c r="P1089" s="137">
        <f t="shared" si="173"/>
        <v>1346.2375734707207</v>
      </c>
      <c r="Q1089" s="120">
        <f t="shared" si="174"/>
        <v>462.02873521515136</v>
      </c>
      <c r="S1089" s="63"/>
      <c r="T1089" s="63"/>
    </row>
    <row r="1090" spans="1:20" ht="13.5" customHeight="1">
      <c r="A1090" s="1270"/>
      <c r="B1090" s="29">
        <v>3</v>
      </c>
      <c r="C1090" s="135" t="s">
        <v>516</v>
      </c>
      <c r="D1090" s="104">
        <v>7</v>
      </c>
      <c r="E1090" s="104" t="s">
        <v>64</v>
      </c>
      <c r="F1090" s="179">
        <v>8.3</v>
      </c>
      <c r="G1090" s="179"/>
      <c r="H1090" s="179"/>
      <c r="I1090" s="179">
        <f t="shared" si="175"/>
        <v>8.3</v>
      </c>
      <c r="J1090" s="324"/>
      <c r="K1090" s="179">
        <f t="shared" si="170"/>
        <v>8.3</v>
      </c>
      <c r="L1090" s="224">
        <v>366.1</v>
      </c>
      <c r="M1090" s="117">
        <f t="shared" si="171"/>
        <v>0.022671401256487297</v>
      </c>
      <c r="N1090" s="692">
        <v>343.2</v>
      </c>
      <c r="O1090" s="119">
        <f t="shared" si="172"/>
        <v>7.78082491122644</v>
      </c>
      <c r="P1090" s="137">
        <f t="shared" si="173"/>
        <v>1360.2840753892378</v>
      </c>
      <c r="Q1090" s="120">
        <f t="shared" si="174"/>
        <v>466.8494946735864</v>
      </c>
      <c r="S1090" s="63"/>
      <c r="T1090" s="63"/>
    </row>
    <row r="1091" spans="1:20" ht="13.5" customHeight="1">
      <c r="A1091" s="1270"/>
      <c r="B1091" s="29">
        <v>4</v>
      </c>
      <c r="C1091" s="209" t="s">
        <v>519</v>
      </c>
      <c r="D1091" s="104">
        <v>4</v>
      </c>
      <c r="E1091" s="104" t="s">
        <v>64</v>
      </c>
      <c r="F1091" s="179">
        <v>5.8</v>
      </c>
      <c r="G1091" s="179"/>
      <c r="H1091" s="179"/>
      <c r="I1091" s="179">
        <f t="shared" si="175"/>
        <v>5.8</v>
      </c>
      <c r="J1091" s="135"/>
      <c r="K1091" s="179">
        <f t="shared" si="170"/>
        <v>5.8</v>
      </c>
      <c r="L1091" s="224">
        <v>253.3</v>
      </c>
      <c r="M1091" s="117">
        <f t="shared" si="171"/>
        <v>0.022897749703908406</v>
      </c>
      <c r="N1091" s="692">
        <v>343.2</v>
      </c>
      <c r="O1091" s="119">
        <f t="shared" si="172"/>
        <v>7.858507698381365</v>
      </c>
      <c r="P1091" s="137">
        <f t="shared" si="173"/>
        <v>1373.8649822345044</v>
      </c>
      <c r="Q1091" s="120">
        <f t="shared" si="174"/>
        <v>471.5104619028819</v>
      </c>
      <c r="S1091" s="63"/>
      <c r="T1091" s="63"/>
    </row>
    <row r="1092" spans="1:20" ht="13.5" customHeight="1">
      <c r="A1092" s="1270"/>
      <c r="B1092" s="29">
        <v>5</v>
      </c>
      <c r="C1092" s="135" t="s">
        <v>526</v>
      </c>
      <c r="D1092" s="104">
        <v>8</v>
      </c>
      <c r="E1092" s="104" t="s">
        <v>64</v>
      </c>
      <c r="F1092" s="179">
        <v>11.1</v>
      </c>
      <c r="G1092" s="179">
        <f>8*0.051</f>
        <v>0.408</v>
      </c>
      <c r="H1092" s="179">
        <v>1.2</v>
      </c>
      <c r="I1092" s="179">
        <f t="shared" si="175"/>
        <v>9.492</v>
      </c>
      <c r="J1092" s="324"/>
      <c r="K1092" s="179">
        <f t="shared" si="170"/>
        <v>9.492</v>
      </c>
      <c r="L1092" s="224">
        <v>365.77</v>
      </c>
      <c r="M1092" s="117">
        <f t="shared" si="171"/>
        <v>0.025950734067856855</v>
      </c>
      <c r="N1092" s="692">
        <v>343.2</v>
      </c>
      <c r="O1092" s="119">
        <f t="shared" si="172"/>
        <v>8.906291932088472</v>
      </c>
      <c r="P1092" s="137">
        <f t="shared" si="173"/>
        <v>1557.0440440714112</v>
      </c>
      <c r="Q1092" s="120">
        <f t="shared" si="174"/>
        <v>534.3775159253083</v>
      </c>
      <c r="S1092" s="63"/>
      <c r="T1092" s="63"/>
    </row>
    <row r="1093" spans="1:20" ht="13.5" customHeight="1">
      <c r="A1093" s="1270"/>
      <c r="B1093" s="29">
        <v>6</v>
      </c>
      <c r="C1093" s="135" t="s">
        <v>525</v>
      </c>
      <c r="D1093" s="104">
        <v>16</v>
      </c>
      <c r="E1093" s="104" t="s">
        <v>64</v>
      </c>
      <c r="F1093" s="179">
        <v>15</v>
      </c>
      <c r="G1093" s="179">
        <f>27.75*0.051</f>
        <v>1.41525</v>
      </c>
      <c r="H1093" s="179">
        <f>16*0.01</f>
        <v>0.16</v>
      </c>
      <c r="I1093" s="179">
        <f t="shared" si="175"/>
        <v>13.42475</v>
      </c>
      <c r="J1093" s="324"/>
      <c r="K1093" s="179">
        <f t="shared" si="170"/>
        <v>13.42475</v>
      </c>
      <c r="L1093" s="224">
        <v>507.62</v>
      </c>
      <c r="M1093" s="117">
        <f t="shared" si="171"/>
        <v>0.026446456010401482</v>
      </c>
      <c r="N1093" s="692">
        <v>343.2</v>
      </c>
      <c r="O1093" s="119">
        <f t="shared" si="172"/>
        <v>9.07642370276979</v>
      </c>
      <c r="P1093" s="137">
        <f t="shared" si="173"/>
        <v>1586.787360624089</v>
      </c>
      <c r="Q1093" s="120">
        <f t="shared" si="174"/>
        <v>544.5854221661873</v>
      </c>
      <c r="S1093" s="63"/>
      <c r="T1093" s="63"/>
    </row>
    <row r="1094" spans="1:20" ht="13.5" customHeight="1">
      <c r="A1094" s="1270"/>
      <c r="B1094" s="29">
        <v>7</v>
      </c>
      <c r="C1094" s="135" t="s">
        <v>527</v>
      </c>
      <c r="D1094" s="104">
        <v>5</v>
      </c>
      <c r="E1094" s="104" t="s">
        <v>64</v>
      </c>
      <c r="F1094" s="179">
        <v>6.99</v>
      </c>
      <c r="G1094" s="179">
        <f>3*0.051</f>
        <v>0.153</v>
      </c>
      <c r="H1094" s="179">
        <f>5*0.16</f>
        <v>0.8</v>
      </c>
      <c r="I1094" s="179">
        <f t="shared" si="175"/>
        <v>6.037000000000001</v>
      </c>
      <c r="J1094" s="324"/>
      <c r="K1094" s="179">
        <f t="shared" si="170"/>
        <v>6.037000000000001</v>
      </c>
      <c r="L1094" s="224">
        <v>220.11</v>
      </c>
      <c r="M1094" s="117">
        <f t="shared" si="171"/>
        <v>0.027427195493162512</v>
      </c>
      <c r="N1094" s="692">
        <v>343.2</v>
      </c>
      <c r="O1094" s="119">
        <f t="shared" si="172"/>
        <v>9.413013493253374</v>
      </c>
      <c r="P1094" s="137">
        <f t="shared" si="173"/>
        <v>1645.6317295897506</v>
      </c>
      <c r="Q1094" s="120">
        <f t="shared" si="174"/>
        <v>564.7808095952024</v>
      </c>
      <c r="S1094" s="63"/>
      <c r="T1094" s="63"/>
    </row>
    <row r="1095" spans="1:20" ht="12.75">
      <c r="A1095" s="1270"/>
      <c r="B1095" s="64">
        <v>8</v>
      </c>
      <c r="C1095" s="135" t="s">
        <v>523</v>
      </c>
      <c r="D1095" s="104">
        <v>3</v>
      </c>
      <c r="E1095" s="104" t="s">
        <v>64</v>
      </c>
      <c r="F1095" s="179">
        <v>4.6</v>
      </c>
      <c r="G1095" s="179">
        <f>5*0.051</f>
        <v>0.255</v>
      </c>
      <c r="H1095" s="179">
        <f>3*0.16</f>
        <v>0.48</v>
      </c>
      <c r="I1095" s="179">
        <f t="shared" si="175"/>
        <v>3.8649999999999998</v>
      </c>
      <c r="J1095" s="324"/>
      <c r="K1095" s="179">
        <f t="shared" si="170"/>
        <v>3.8649999999999998</v>
      </c>
      <c r="L1095" s="224">
        <v>139.3</v>
      </c>
      <c r="M1095" s="117">
        <f t="shared" si="171"/>
        <v>0.027745872218234022</v>
      </c>
      <c r="N1095" s="692">
        <v>343.2</v>
      </c>
      <c r="O1095" s="119">
        <f t="shared" si="172"/>
        <v>9.522383345297916</v>
      </c>
      <c r="P1095" s="137">
        <f t="shared" si="173"/>
        <v>1664.7523330940412</v>
      </c>
      <c r="Q1095" s="120">
        <f t="shared" si="174"/>
        <v>571.3430007178749</v>
      </c>
      <c r="S1095" s="63"/>
      <c r="T1095" s="63"/>
    </row>
    <row r="1096" spans="1:20" ht="12.75">
      <c r="A1096" s="1270"/>
      <c r="B1096" s="29">
        <v>9</v>
      </c>
      <c r="C1096" s="135" t="s">
        <v>524</v>
      </c>
      <c r="D1096" s="104">
        <v>4</v>
      </c>
      <c r="E1096" s="104" t="s">
        <v>64</v>
      </c>
      <c r="F1096" s="179">
        <v>4.99</v>
      </c>
      <c r="G1096" s="179">
        <f>2*0.051</f>
        <v>0.102</v>
      </c>
      <c r="H1096" s="179">
        <f>4*0.16</f>
        <v>0.64</v>
      </c>
      <c r="I1096" s="179">
        <f t="shared" si="175"/>
        <v>4.248</v>
      </c>
      <c r="J1096" s="324"/>
      <c r="K1096" s="179">
        <f t="shared" si="170"/>
        <v>4.248</v>
      </c>
      <c r="L1096" s="224">
        <v>151.85</v>
      </c>
      <c r="M1096" s="117">
        <f t="shared" si="171"/>
        <v>0.027974975304576887</v>
      </c>
      <c r="N1096" s="692">
        <v>343.2</v>
      </c>
      <c r="O1096" s="119">
        <f t="shared" si="172"/>
        <v>9.601011524530787</v>
      </c>
      <c r="P1096" s="137">
        <f t="shared" si="173"/>
        <v>1678.4985182746132</v>
      </c>
      <c r="Q1096" s="120">
        <f t="shared" si="174"/>
        <v>576.0606914718472</v>
      </c>
      <c r="S1096" s="63"/>
      <c r="T1096" s="63"/>
    </row>
    <row r="1097" spans="1:20" ht="13.5" thickBot="1">
      <c r="A1097" s="1270"/>
      <c r="B1097" s="276">
        <v>10</v>
      </c>
      <c r="C1097" s="175" t="s">
        <v>905</v>
      </c>
      <c r="D1097" s="105">
        <v>3</v>
      </c>
      <c r="E1097" s="105" t="s">
        <v>64</v>
      </c>
      <c r="F1097" s="205">
        <v>5.16</v>
      </c>
      <c r="G1097" s="205"/>
      <c r="H1097" s="205"/>
      <c r="I1097" s="205">
        <f t="shared" si="175"/>
        <v>5.16</v>
      </c>
      <c r="J1097" s="907"/>
      <c r="K1097" s="205">
        <f t="shared" si="170"/>
        <v>5.16</v>
      </c>
      <c r="L1097" s="278">
        <v>177.12</v>
      </c>
      <c r="M1097" s="121">
        <f t="shared" si="171"/>
        <v>0.029132791327913278</v>
      </c>
      <c r="N1097" s="702">
        <v>343.2</v>
      </c>
      <c r="O1097" s="123">
        <f t="shared" si="172"/>
        <v>9.998373983739837</v>
      </c>
      <c r="P1097" s="123">
        <f t="shared" si="173"/>
        <v>1747.9674796747966</v>
      </c>
      <c r="Q1097" s="124">
        <f t="shared" si="174"/>
        <v>599.9024390243902</v>
      </c>
      <c r="S1097" s="63"/>
      <c r="T1097" s="63"/>
    </row>
    <row r="1098" spans="1:20" ht="12.75">
      <c r="A1098" s="198"/>
      <c r="S1098" s="63"/>
      <c r="T1098" s="63"/>
    </row>
    <row r="1099" spans="19:20" ht="12.75">
      <c r="S1099" s="63"/>
      <c r="T1099" s="63"/>
    </row>
    <row r="1100" spans="1:20" ht="15">
      <c r="A1100" s="1199" t="s">
        <v>127</v>
      </c>
      <c r="B1100" s="1199"/>
      <c r="C1100" s="1199"/>
      <c r="D1100" s="1199"/>
      <c r="E1100" s="1199"/>
      <c r="F1100" s="1199"/>
      <c r="G1100" s="1199"/>
      <c r="H1100" s="1199"/>
      <c r="I1100" s="1199"/>
      <c r="J1100" s="1199"/>
      <c r="K1100" s="1199"/>
      <c r="L1100" s="1199"/>
      <c r="M1100" s="1199"/>
      <c r="N1100" s="1199"/>
      <c r="O1100" s="1199"/>
      <c r="P1100" s="1199"/>
      <c r="Q1100" s="1199"/>
      <c r="S1100" s="63"/>
      <c r="T1100" s="63"/>
    </row>
    <row r="1101" spans="1:20" ht="13.5" thickBot="1">
      <c r="A1101" s="1200" t="s">
        <v>906</v>
      </c>
      <c r="B1101" s="1255"/>
      <c r="C1101" s="1255"/>
      <c r="D1101" s="1255"/>
      <c r="E1101" s="1255"/>
      <c r="F1101" s="1255"/>
      <c r="G1101" s="1255"/>
      <c r="H1101" s="1255"/>
      <c r="I1101" s="1255"/>
      <c r="J1101" s="1255"/>
      <c r="K1101" s="1255"/>
      <c r="L1101" s="1255"/>
      <c r="M1101" s="1255"/>
      <c r="N1101" s="1255"/>
      <c r="O1101" s="1255"/>
      <c r="P1101" s="1255"/>
      <c r="Q1101" s="1255"/>
      <c r="S1101" s="63"/>
      <c r="T1101" s="63"/>
    </row>
    <row r="1102" spans="1:20" ht="12.75" customHeight="1">
      <c r="A1102" s="1201" t="s">
        <v>1</v>
      </c>
      <c r="B1102" s="1203" t="s">
        <v>0</v>
      </c>
      <c r="C1102" s="1193" t="s">
        <v>2</v>
      </c>
      <c r="D1102" s="1193" t="s">
        <v>3</v>
      </c>
      <c r="E1102" s="1193" t="s">
        <v>13</v>
      </c>
      <c r="F1102" s="1207" t="s">
        <v>14</v>
      </c>
      <c r="G1102" s="1208"/>
      <c r="H1102" s="1208"/>
      <c r="I1102" s="1209"/>
      <c r="J1102" s="1193" t="s">
        <v>4</v>
      </c>
      <c r="K1102" s="1193" t="s">
        <v>15</v>
      </c>
      <c r="L1102" s="1193" t="s">
        <v>5</v>
      </c>
      <c r="M1102" s="1193" t="s">
        <v>6</v>
      </c>
      <c r="N1102" s="1193" t="s">
        <v>16</v>
      </c>
      <c r="O1102" s="1195" t="s">
        <v>17</v>
      </c>
      <c r="P1102" s="1193" t="s">
        <v>25</v>
      </c>
      <c r="Q1102" s="1197" t="s">
        <v>26</v>
      </c>
      <c r="S1102" s="63"/>
      <c r="T1102" s="63"/>
    </row>
    <row r="1103" spans="1:20" s="2" customFormat="1" ht="33.75">
      <c r="A1103" s="1202"/>
      <c r="B1103" s="1204"/>
      <c r="C1103" s="1205"/>
      <c r="D1103" s="1194"/>
      <c r="E1103" s="1194"/>
      <c r="F1103" s="26" t="s">
        <v>18</v>
      </c>
      <c r="G1103" s="26" t="s">
        <v>19</v>
      </c>
      <c r="H1103" s="26" t="s">
        <v>20</v>
      </c>
      <c r="I1103" s="26" t="s">
        <v>21</v>
      </c>
      <c r="J1103" s="1194"/>
      <c r="K1103" s="1194"/>
      <c r="L1103" s="1194"/>
      <c r="M1103" s="1194"/>
      <c r="N1103" s="1194"/>
      <c r="O1103" s="1196"/>
      <c r="P1103" s="1194"/>
      <c r="Q1103" s="1198"/>
      <c r="S1103" s="63"/>
      <c r="T1103" s="63"/>
    </row>
    <row r="1104" spans="1:20" s="3" customFormat="1" ht="13.5" customHeight="1" thickBot="1">
      <c r="A1104" s="1259"/>
      <c r="B1104" s="1256"/>
      <c r="C1104" s="1206"/>
      <c r="D1104" s="42" t="s">
        <v>7</v>
      </c>
      <c r="E1104" s="42" t="s">
        <v>8</v>
      </c>
      <c r="F1104" s="42" t="s">
        <v>9</v>
      </c>
      <c r="G1104" s="42" t="s">
        <v>9</v>
      </c>
      <c r="H1104" s="42" t="s">
        <v>9</v>
      </c>
      <c r="I1104" s="42" t="s">
        <v>9</v>
      </c>
      <c r="J1104" s="10" t="s">
        <v>22</v>
      </c>
      <c r="K1104" s="42" t="s">
        <v>9</v>
      </c>
      <c r="L1104" s="42" t="s">
        <v>22</v>
      </c>
      <c r="M1104" s="42" t="s">
        <v>131</v>
      </c>
      <c r="N1104" s="42" t="s">
        <v>10</v>
      </c>
      <c r="O1104" s="42" t="s">
        <v>146</v>
      </c>
      <c r="P1104" s="43" t="s">
        <v>27</v>
      </c>
      <c r="Q1104" s="44" t="s">
        <v>28</v>
      </c>
      <c r="S1104" s="63"/>
      <c r="T1104" s="63"/>
    </row>
    <row r="1105" spans="1:20" ht="11.25" customHeight="1">
      <c r="A1105" s="1242" t="s">
        <v>29</v>
      </c>
      <c r="B1105" s="404">
        <v>1</v>
      </c>
      <c r="C1105" s="362" t="s">
        <v>528</v>
      </c>
      <c r="D1105" s="363">
        <v>12</v>
      </c>
      <c r="E1105" s="363">
        <v>1986</v>
      </c>
      <c r="F1105" s="365">
        <v>8.5</v>
      </c>
      <c r="G1105" s="365">
        <v>0.396</v>
      </c>
      <c r="H1105" s="365">
        <v>1.28</v>
      </c>
      <c r="I1105" s="364">
        <v>6.823</v>
      </c>
      <c r="J1105" s="405" t="s">
        <v>529</v>
      </c>
      <c r="K1105" s="365">
        <v>6.823</v>
      </c>
      <c r="L1105" s="366">
        <v>682.92</v>
      </c>
      <c r="M1105" s="367">
        <f aca="true" t="shared" si="176" ref="M1105:M1134">K1105/L1105</f>
        <v>0.009990921337784807</v>
      </c>
      <c r="N1105" s="368">
        <v>346.4</v>
      </c>
      <c r="O1105" s="369">
        <f aca="true" t="shared" si="177" ref="O1105:O1134">M1105*N1105</f>
        <v>3.4608551514086567</v>
      </c>
      <c r="P1105" s="369">
        <f aca="true" t="shared" si="178" ref="P1105:P1134">M1105*60*1000</f>
        <v>599.4552802670884</v>
      </c>
      <c r="Q1105" s="370">
        <f aca="true" t="shared" si="179" ref="Q1105:Q1134">P1105*N1105/1000</f>
        <v>207.6513090845194</v>
      </c>
      <c r="S1105" s="63"/>
      <c r="T1105" s="63"/>
    </row>
    <row r="1106" spans="1:20" ht="12.75" customHeight="1">
      <c r="A1106" s="1243"/>
      <c r="B1106" s="377">
        <v>2</v>
      </c>
      <c r="C1106" s="362" t="s">
        <v>530</v>
      </c>
      <c r="D1106" s="363">
        <v>20</v>
      </c>
      <c r="E1106" s="363">
        <v>1976</v>
      </c>
      <c r="F1106" s="364">
        <v>16.6</v>
      </c>
      <c r="G1106" s="364">
        <v>1.8</v>
      </c>
      <c r="H1106" s="364">
        <v>2.6</v>
      </c>
      <c r="I1106" s="364">
        <v>12.2</v>
      </c>
      <c r="J1106" s="406" t="s">
        <v>529</v>
      </c>
      <c r="K1106" s="364">
        <v>12.2</v>
      </c>
      <c r="L1106" s="372">
        <v>1064.7</v>
      </c>
      <c r="M1106" s="367">
        <f t="shared" si="176"/>
        <v>0.011458626843242227</v>
      </c>
      <c r="N1106" s="368">
        <v>346.4</v>
      </c>
      <c r="O1106" s="369">
        <f t="shared" si="177"/>
        <v>3.9692683384991074</v>
      </c>
      <c r="P1106" s="369">
        <f t="shared" si="178"/>
        <v>687.5176105945336</v>
      </c>
      <c r="Q1106" s="370">
        <f t="shared" si="179"/>
        <v>238.15610030994642</v>
      </c>
      <c r="S1106" s="63"/>
      <c r="T1106" s="63"/>
    </row>
    <row r="1107" spans="1:20" ht="12.75" customHeight="1">
      <c r="A1107" s="1243"/>
      <c r="B1107" s="377">
        <v>3</v>
      </c>
      <c r="C1107" s="362" t="s">
        <v>907</v>
      </c>
      <c r="D1107" s="363">
        <v>51</v>
      </c>
      <c r="E1107" s="363">
        <v>1968</v>
      </c>
      <c r="F1107" s="364">
        <v>44.3</v>
      </c>
      <c r="G1107" s="364">
        <v>4.6</v>
      </c>
      <c r="H1107" s="364">
        <v>8.1</v>
      </c>
      <c r="I1107" s="364">
        <v>31.6</v>
      </c>
      <c r="J1107" s="406" t="s">
        <v>529</v>
      </c>
      <c r="K1107" s="364">
        <v>31.6</v>
      </c>
      <c r="L1107" s="372">
        <v>2675.9</v>
      </c>
      <c r="M1107" s="374">
        <f t="shared" si="176"/>
        <v>0.011809110953324115</v>
      </c>
      <c r="N1107" s="368">
        <v>346.4</v>
      </c>
      <c r="O1107" s="369">
        <f t="shared" si="177"/>
        <v>4.090676034231473</v>
      </c>
      <c r="P1107" s="369">
        <f t="shared" si="178"/>
        <v>708.5466571994468</v>
      </c>
      <c r="Q1107" s="375">
        <f t="shared" si="179"/>
        <v>245.44056205388836</v>
      </c>
      <c r="S1107" s="63"/>
      <c r="T1107" s="63"/>
    </row>
    <row r="1108" spans="1:20" ht="12.75" customHeight="1">
      <c r="A1108" s="1243"/>
      <c r="B1108" s="377">
        <v>4</v>
      </c>
      <c r="C1108" s="362" t="s">
        <v>908</v>
      </c>
      <c r="D1108" s="363">
        <v>12</v>
      </c>
      <c r="E1108" s="363">
        <v>1985</v>
      </c>
      <c r="F1108" s="364">
        <v>11.5</v>
      </c>
      <c r="G1108" s="364">
        <v>0.9</v>
      </c>
      <c r="H1108" s="364">
        <v>1.9</v>
      </c>
      <c r="I1108" s="364">
        <v>8.6</v>
      </c>
      <c r="J1108" s="406" t="s">
        <v>529</v>
      </c>
      <c r="K1108" s="364">
        <v>8.6</v>
      </c>
      <c r="L1108" s="372">
        <v>686.3</v>
      </c>
      <c r="M1108" s="374">
        <f t="shared" si="176"/>
        <v>0.012530963135654962</v>
      </c>
      <c r="N1108" s="368">
        <v>346.4</v>
      </c>
      <c r="O1108" s="376">
        <f t="shared" si="177"/>
        <v>4.340725630190879</v>
      </c>
      <c r="P1108" s="369">
        <f t="shared" si="178"/>
        <v>751.8577881392977</v>
      </c>
      <c r="Q1108" s="375">
        <f t="shared" si="179"/>
        <v>260.4435378114527</v>
      </c>
      <c r="S1108" s="63"/>
      <c r="T1108" s="63"/>
    </row>
    <row r="1109" spans="1:20" ht="12.75" customHeight="1">
      <c r="A1109" s="1243"/>
      <c r="B1109" s="377">
        <v>5</v>
      </c>
      <c r="C1109" s="362" t="s">
        <v>909</v>
      </c>
      <c r="D1109" s="363">
        <v>12</v>
      </c>
      <c r="E1109" s="363" t="s">
        <v>64</v>
      </c>
      <c r="F1109" s="364">
        <v>12</v>
      </c>
      <c r="G1109" s="364">
        <v>1.636</v>
      </c>
      <c r="H1109" s="364">
        <v>1.92</v>
      </c>
      <c r="I1109" s="364">
        <v>8.44</v>
      </c>
      <c r="J1109" s="406" t="s">
        <v>529</v>
      </c>
      <c r="K1109" s="364">
        <v>8.44</v>
      </c>
      <c r="L1109" s="372">
        <v>670.29</v>
      </c>
      <c r="M1109" s="374">
        <f t="shared" si="176"/>
        <v>0.012591564845067061</v>
      </c>
      <c r="N1109" s="368">
        <v>346.4</v>
      </c>
      <c r="O1109" s="376">
        <f t="shared" si="177"/>
        <v>4.36171806233123</v>
      </c>
      <c r="P1109" s="369">
        <f t="shared" si="178"/>
        <v>755.4938907040237</v>
      </c>
      <c r="Q1109" s="375">
        <f t="shared" si="179"/>
        <v>261.70308373987376</v>
      </c>
      <c r="S1109" s="63"/>
      <c r="T1109" s="63"/>
    </row>
    <row r="1110" spans="1:20" s="67" customFormat="1" ht="12.75" customHeight="1">
      <c r="A1110" s="1243"/>
      <c r="B1110" s="407">
        <v>6</v>
      </c>
      <c r="C1110" s="362" t="s">
        <v>910</v>
      </c>
      <c r="D1110" s="363">
        <v>22</v>
      </c>
      <c r="E1110" s="363">
        <v>1991</v>
      </c>
      <c r="F1110" s="364">
        <v>19.7</v>
      </c>
      <c r="G1110" s="364">
        <v>1.416</v>
      </c>
      <c r="H1110" s="364">
        <v>3.52</v>
      </c>
      <c r="I1110" s="364">
        <v>14.764</v>
      </c>
      <c r="J1110" s="406" t="s">
        <v>529</v>
      </c>
      <c r="K1110" s="364">
        <v>14.764</v>
      </c>
      <c r="L1110" s="372">
        <v>1170.08</v>
      </c>
      <c r="M1110" s="374">
        <f t="shared" si="176"/>
        <v>0.01261794065363052</v>
      </c>
      <c r="N1110" s="368">
        <v>346.4</v>
      </c>
      <c r="O1110" s="376">
        <f t="shared" si="177"/>
        <v>4.370854642417612</v>
      </c>
      <c r="P1110" s="369">
        <f t="shared" si="178"/>
        <v>757.0764392178312</v>
      </c>
      <c r="Q1110" s="375">
        <f t="shared" si="179"/>
        <v>262.2512785450567</v>
      </c>
      <c r="S1110" s="63"/>
      <c r="T1110" s="63"/>
    </row>
    <row r="1111" spans="1:20" ht="12.75" customHeight="1">
      <c r="A1111" s="1243"/>
      <c r="B1111" s="377">
        <v>7</v>
      </c>
      <c r="C1111" s="362" t="s">
        <v>911</v>
      </c>
      <c r="D1111" s="363">
        <v>28</v>
      </c>
      <c r="E1111" s="363">
        <v>1985</v>
      </c>
      <c r="F1111" s="364">
        <v>21.395</v>
      </c>
      <c r="G1111" s="364">
        <v>1.812</v>
      </c>
      <c r="H1111" s="364">
        <v>4.48</v>
      </c>
      <c r="I1111" s="364">
        <v>15.103</v>
      </c>
      <c r="J1111" s="406" t="s">
        <v>529</v>
      </c>
      <c r="K1111" s="364">
        <v>15.103</v>
      </c>
      <c r="L1111" s="372">
        <v>1186.16</v>
      </c>
      <c r="M1111" s="374">
        <f t="shared" si="176"/>
        <v>0.01273268361772442</v>
      </c>
      <c r="N1111" s="368">
        <v>346.4</v>
      </c>
      <c r="O1111" s="376">
        <f t="shared" si="177"/>
        <v>4.410601605179739</v>
      </c>
      <c r="P1111" s="369">
        <f t="shared" si="178"/>
        <v>763.9610170634652</v>
      </c>
      <c r="Q1111" s="375">
        <f t="shared" si="179"/>
        <v>264.63609631078435</v>
      </c>
      <c r="S1111" s="63"/>
      <c r="T1111" s="63"/>
    </row>
    <row r="1112" spans="1:20" ht="12.75" customHeight="1">
      <c r="A1112" s="1243"/>
      <c r="B1112" s="377">
        <v>8</v>
      </c>
      <c r="C1112" s="362" t="s">
        <v>912</v>
      </c>
      <c r="D1112" s="363">
        <v>20</v>
      </c>
      <c r="E1112" s="363">
        <v>1995</v>
      </c>
      <c r="F1112" s="364">
        <v>20.5</v>
      </c>
      <c r="G1112" s="364">
        <v>3.086</v>
      </c>
      <c r="H1112" s="364">
        <v>3.2</v>
      </c>
      <c r="I1112" s="364">
        <v>14.213</v>
      </c>
      <c r="J1112" s="406" t="s">
        <v>529</v>
      </c>
      <c r="K1112" s="364">
        <v>14.213</v>
      </c>
      <c r="L1112" s="372">
        <v>1108.2</v>
      </c>
      <c r="M1112" s="374">
        <f t="shared" si="176"/>
        <v>0.012825302292005052</v>
      </c>
      <c r="N1112" s="368">
        <v>346.4</v>
      </c>
      <c r="O1112" s="376">
        <f t="shared" si="177"/>
        <v>4.44268471395055</v>
      </c>
      <c r="P1112" s="369">
        <f t="shared" si="178"/>
        <v>769.5181375203032</v>
      </c>
      <c r="Q1112" s="375">
        <f t="shared" si="179"/>
        <v>266.56108283703304</v>
      </c>
      <c r="S1112" s="63"/>
      <c r="T1112" s="63"/>
    </row>
    <row r="1113" spans="1:20" ht="13.5" customHeight="1">
      <c r="A1113" s="1243"/>
      <c r="B1113" s="377">
        <v>9</v>
      </c>
      <c r="C1113" s="362" t="s">
        <v>913</v>
      </c>
      <c r="D1113" s="363">
        <v>45</v>
      </c>
      <c r="E1113" s="363">
        <v>1984</v>
      </c>
      <c r="F1113" s="364">
        <v>42</v>
      </c>
      <c r="G1113" s="364">
        <v>4.701</v>
      </c>
      <c r="H1113" s="364">
        <v>7.12</v>
      </c>
      <c r="I1113" s="364">
        <v>30.179</v>
      </c>
      <c r="J1113" s="406" t="s">
        <v>529</v>
      </c>
      <c r="K1113" s="364">
        <v>30.181</v>
      </c>
      <c r="L1113" s="372">
        <v>2323</v>
      </c>
      <c r="M1113" s="374">
        <f t="shared" si="176"/>
        <v>0.012992251399052948</v>
      </c>
      <c r="N1113" s="368">
        <v>346.4</v>
      </c>
      <c r="O1113" s="376">
        <f t="shared" si="177"/>
        <v>4.500515884631941</v>
      </c>
      <c r="P1113" s="369">
        <f t="shared" si="178"/>
        <v>779.5350839431769</v>
      </c>
      <c r="Q1113" s="375">
        <f t="shared" si="179"/>
        <v>270.0309530779165</v>
      </c>
      <c r="S1113" s="63"/>
      <c r="T1113" s="63"/>
    </row>
    <row r="1114" spans="1:20" ht="13.5" customHeight="1" thickBot="1">
      <c r="A1114" s="1244"/>
      <c r="B1114" s="386"/>
      <c r="C1114" s="397" t="s">
        <v>531</v>
      </c>
      <c r="D1114" s="398">
        <v>40</v>
      </c>
      <c r="E1114" s="398">
        <v>1976</v>
      </c>
      <c r="F1114" s="399">
        <v>41</v>
      </c>
      <c r="G1114" s="399">
        <v>3.978</v>
      </c>
      <c r="H1114" s="399">
        <v>6.4</v>
      </c>
      <c r="I1114" s="399">
        <v>30.622</v>
      </c>
      <c r="J1114" s="408" t="s">
        <v>529</v>
      </c>
      <c r="K1114" s="399">
        <v>30.623</v>
      </c>
      <c r="L1114" s="400">
        <v>2272.19</v>
      </c>
      <c r="M1114" s="401">
        <f t="shared" si="176"/>
        <v>0.013477306035146708</v>
      </c>
      <c r="N1114" s="409">
        <v>346.4</v>
      </c>
      <c r="O1114" s="402">
        <f t="shared" si="177"/>
        <v>4.66853881057482</v>
      </c>
      <c r="P1114" s="402">
        <f t="shared" si="178"/>
        <v>808.6383621088024</v>
      </c>
      <c r="Q1114" s="403">
        <f t="shared" si="179"/>
        <v>280.11232863448913</v>
      </c>
      <c r="S1114" s="63"/>
      <c r="T1114" s="63"/>
    </row>
    <row r="1115" spans="1:20" ht="12.75">
      <c r="A1115" s="1187" t="s">
        <v>30</v>
      </c>
      <c r="B1115" s="22">
        <v>1</v>
      </c>
      <c r="C1115" s="176" t="s">
        <v>914</v>
      </c>
      <c r="D1115" s="178">
        <v>12</v>
      </c>
      <c r="E1115" s="178">
        <v>1975</v>
      </c>
      <c r="F1115" s="252">
        <v>13.878</v>
      </c>
      <c r="G1115" s="252">
        <v>2.265</v>
      </c>
      <c r="H1115" s="252">
        <v>1.92</v>
      </c>
      <c r="I1115" s="252">
        <v>9.692</v>
      </c>
      <c r="J1115" s="274" t="s">
        <v>533</v>
      </c>
      <c r="K1115" s="252">
        <v>9.692</v>
      </c>
      <c r="L1115" s="298">
        <v>707.11</v>
      </c>
      <c r="M1115" s="170">
        <f t="shared" si="176"/>
        <v>0.013706495453324094</v>
      </c>
      <c r="N1115" s="181">
        <v>346.4</v>
      </c>
      <c r="O1115" s="169">
        <f t="shared" si="177"/>
        <v>4.747930025031466</v>
      </c>
      <c r="P1115" s="169">
        <f t="shared" si="178"/>
        <v>822.3897271994457</v>
      </c>
      <c r="Q1115" s="171">
        <f t="shared" si="179"/>
        <v>284.87580150188796</v>
      </c>
      <c r="S1115" s="63"/>
      <c r="T1115" s="63"/>
    </row>
    <row r="1116" spans="1:20" ht="12.75">
      <c r="A1116" s="1188"/>
      <c r="B1116" s="24">
        <v>2</v>
      </c>
      <c r="C1116" s="166" t="s">
        <v>915</v>
      </c>
      <c r="D1116" s="102">
        <v>12</v>
      </c>
      <c r="E1116" s="102">
        <v>1985</v>
      </c>
      <c r="F1116" s="183">
        <v>12.628</v>
      </c>
      <c r="G1116" s="183">
        <v>0.963</v>
      </c>
      <c r="H1116" s="183">
        <v>1.76</v>
      </c>
      <c r="I1116" s="183">
        <v>9.905</v>
      </c>
      <c r="J1116" s="167" t="s">
        <v>533</v>
      </c>
      <c r="K1116" s="183">
        <v>9.904</v>
      </c>
      <c r="L1116" s="226">
        <v>680.43</v>
      </c>
      <c r="M1116" s="113">
        <f t="shared" si="176"/>
        <v>0.014555501668062843</v>
      </c>
      <c r="N1116" s="181">
        <v>346.4</v>
      </c>
      <c r="O1116" s="115">
        <f t="shared" si="177"/>
        <v>5.042025777816969</v>
      </c>
      <c r="P1116" s="169">
        <f t="shared" si="178"/>
        <v>873.3301000837705</v>
      </c>
      <c r="Q1116" s="116">
        <f t="shared" si="179"/>
        <v>302.5215466690181</v>
      </c>
      <c r="S1116" s="63"/>
      <c r="T1116" s="63"/>
    </row>
    <row r="1117" spans="1:20" ht="12.75">
      <c r="A1117" s="1188"/>
      <c r="B1117" s="24">
        <v>3</v>
      </c>
      <c r="C1117" s="166" t="s">
        <v>916</v>
      </c>
      <c r="D1117" s="102">
        <v>22</v>
      </c>
      <c r="E1117" s="102">
        <v>1983</v>
      </c>
      <c r="F1117" s="183">
        <v>24.42</v>
      </c>
      <c r="G1117" s="183">
        <v>3.285</v>
      </c>
      <c r="H1117" s="183">
        <v>3.52</v>
      </c>
      <c r="I1117" s="183">
        <v>17.615</v>
      </c>
      <c r="J1117" s="167" t="s">
        <v>529</v>
      </c>
      <c r="K1117" s="183">
        <v>17.615</v>
      </c>
      <c r="L1117" s="226">
        <v>1202.98</v>
      </c>
      <c r="M1117" s="113">
        <f t="shared" si="176"/>
        <v>0.01464280370413473</v>
      </c>
      <c r="N1117" s="181">
        <v>346.4</v>
      </c>
      <c r="O1117" s="115">
        <f t="shared" si="177"/>
        <v>5.07226720311227</v>
      </c>
      <c r="P1117" s="169">
        <f t="shared" si="178"/>
        <v>878.5682222480839</v>
      </c>
      <c r="Q1117" s="116">
        <f t="shared" si="179"/>
        <v>304.33603218673625</v>
      </c>
      <c r="S1117" s="63"/>
      <c r="T1117" s="63"/>
    </row>
    <row r="1118" spans="1:20" ht="12.75">
      <c r="A1118" s="1188"/>
      <c r="B1118" s="24">
        <v>4</v>
      </c>
      <c r="C1118" s="166" t="s">
        <v>917</v>
      </c>
      <c r="D1118" s="102">
        <v>70</v>
      </c>
      <c r="E1118" s="102">
        <v>1975</v>
      </c>
      <c r="F1118" s="183">
        <v>68</v>
      </c>
      <c r="G1118" s="183">
        <v>7.816</v>
      </c>
      <c r="H1118" s="183">
        <v>10.37</v>
      </c>
      <c r="I1118" s="183">
        <v>49.814</v>
      </c>
      <c r="J1118" s="167" t="s">
        <v>529</v>
      </c>
      <c r="K1118" s="183">
        <v>49.814</v>
      </c>
      <c r="L1118" s="226">
        <v>3238.33</v>
      </c>
      <c r="M1118" s="113">
        <f t="shared" si="176"/>
        <v>0.01538262005416372</v>
      </c>
      <c r="N1118" s="114">
        <v>346.4</v>
      </c>
      <c r="O1118" s="115">
        <f t="shared" si="177"/>
        <v>5.328539586762313</v>
      </c>
      <c r="P1118" s="169">
        <f t="shared" si="178"/>
        <v>922.9572032498232</v>
      </c>
      <c r="Q1118" s="116">
        <f t="shared" si="179"/>
        <v>319.71237520573874</v>
      </c>
      <c r="S1118" s="63"/>
      <c r="T1118" s="63"/>
    </row>
    <row r="1119" spans="1:20" ht="12.75">
      <c r="A1119" s="1188"/>
      <c r="B1119" s="24">
        <v>5</v>
      </c>
      <c r="C1119" s="180" t="s">
        <v>534</v>
      </c>
      <c r="D1119" s="101">
        <v>22</v>
      </c>
      <c r="E1119" s="101">
        <v>1983</v>
      </c>
      <c r="F1119" s="296">
        <v>24.3</v>
      </c>
      <c r="G1119" s="296">
        <v>2.254</v>
      </c>
      <c r="H1119" s="296">
        <v>3.36</v>
      </c>
      <c r="I1119" s="296">
        <v>18.686</v>
      </c>
      <c r="J1119" s="986" t="s">
        <v>533</v>
      </c>
      <c r="K1119" s="296">
        <v>18.686</v>
      </c>
      <c r="L1119" s="298">
        <v>1190.44</v>
      </c>
      <c r="M1119" s="170">
        <f t="shared" si="176"/>
        <v>0.01569671718020228</v>
      </c>
      <c r="N1119" s="181">
        <v>346.4</v>
      </c>
      <c r="O1119" s="169">
        <f t="shared" si="177"/>
        <v>5.437342831222069</v>
      </c>
      <c r="P1119" s="169">
        <f t="shared" si="178"/>
        <v>941.8030308121367</v>
      </c>
      <c r="Q1119" s="116">
        <f t="shared" si="179"/>
        <v>326.24056987332415</v>
      </c>
      <c r="S1119" s="63"/>
      <c r="T1119" s="63"/>
    </row>
    <row r="1120" spans="1:20" s="67" customFormat="1" ht="12.75">
      <c r="A1120" s="1188"/>
      <c r="B1120" s="69">
        <v>6</v>
      </c>
      <c r="C1120" s="166" t="s">
        <v>918</v>
      </c>
      <c r="D1120" s="102">
        <v>12</v>
      </c>
      <c r="E1120" s="102" t="s">
        <v>64</v>
      </c>
      <c r="F1120" s="183">
        <v>14.456</v>
      </c>
      <c r="G1120" s="183">
        <v>1.359</v>
      </c>
      <c r="H1120" s="183">
        <v>1.92</v>
      </c>
      <c r="I1120" s="183">
        <v>11.176</v>
      </c>
      <c r="J1120" s="167" t="s">
        <v>533</v>
      </c>
      <c r="K1120" s="183">
        <v>11.176</v>
      </c>
      <c r="L1120" s="226">
        <v>700.82</v>
      </c>
      <c r="M1120" s="113">
        <f t="shared" si="176"/>
        <v>0.015947033475072057</v>
      </c>
      <c r="N1120" s="181">
        <v>346.4</v>
      </c>
      <c r="O1120" s="115">
        <f t="shared" si="177"/>
        <v>5.5240523957649605</v>
      </c>
      <c r="P1120" s="169">
        <f t="shared" si="178"/>
        <v>956.8220085043234</v>
      </c>
      <c r="Q1120" s="116">
        <f t="shared" si="179"/>
        <v>331.4431437458976</v>
      </c>
      <c r="S1120" s="63"/>
      <c r="T1120" s="63"/>
    </row>
    <row r="1121" spans="1:20" ht="12.75">
      <c r="A1121" s="1188"/>
      <c r="B1121" s="24">
        <v>7</v>
      </c>
      <c r="C1121" s="166" t="s">
        <v>532</v>
      </c>
      <c r="D1121" s="102">
        <v>12</v>
      </c>
      <c r="E1121" s="102">
        <v>1985</v>
      </c>
      <c r="F1121" s="183">
        <v>13.886</v>
      </c>
      <c r="G1121" s="183">
        <v>0.906</v>
      </c>
      <c r="H1121" s="183">
        <v>1.92</v>
      </c>
      <c r="I1121" s="183">
        <v>11.059</v>
      </c>
      <c r="J1121" s="167" t="s">
        <v>533</v>
      </c>
      <c r="K1121" s="183">
        <v>11.059</v>
      </c>
      <c r="L1121" s="226">
        <v>684.9</v>
      </c>
      <c r="M1121" s="113">
        <f t="shared" si="176"/>
        <v>0.016146882756606803</v>
      </c>
      <c r="N1121" s="181">
        <v>346.4</v>
      </c>
      <c r="O1121" s="115">
        <f t="shared" si="177"/>
        <v>5.593280186888596</v>
      </c>
      <c r="P1121" s="169">
        <f t="shared" si="178"/>
        <v>968.8129653964081</v>
      </c>
      <c r="Q1121" s="116">
        <f t="shared" si="179"/>
        <v>335.59681121331573</v>
      </c>
      <c r="S1121" s="63"/>
      <c r="T1121" s="63"/>
    </row>
    <row r="1122" spans="1:20" ht="12.75">
      <c r="A1122" s="1188"/>
      <c r="B1122" s="24">
        <v>8</v>
      </c>
      <c r="C1122" s="166" t="s">
        <v>919</v>
      </c>
      <c r="D1122" s="102">
        <v>22</v>
      </c>
      <c r="E1122" s="102">
        <v>1983</v>
      </c>
      <c r="F1122" s="183">
        <v>25</v>
      </c>
      <c r="G1122" s="183">
        <v>2.152</v>
      </c>
      <c r="H1122" s="183">
        <v>3.36</v>
      </c>
      <c r="I1122" s="183">
        <v>19.488</v>
      </c>
      <c r="J1122" s="167" t="s">
        <v>533</v>
      </c>
      <c r="K1122" s="183">
        <v>19.488</v>
      </c>
      <c r="L1122" s="226">
        <v>1178.53</v>
      </c>
      <c r="M1122" s="113">
        <f t="shared" si="176"/>
        <v>0.016535853987594714</v>
      </c>
      <c r="N1122" s="181">
        <v>346.4</v>
      </c>
      <c r="O1122" s="115">
        <f t="shared" si="177"/>
        <v>5.728019821302809</v>
      </c>
      <c r="P1122" s="169">
        <f t="shared" si="178"/>
        <v>992.1512392556829</v>
      </c>
      <c r="Q1122" s="116">
        <f t="shared" si="179"/>
        <v>343.6811892781685</v>
      </c>
      <c r="S1122" s="63"/>
      <c r="T1122" s="63"/>
    </row>
    <row r="1123" spans="1:20" ht="12.75">
      <c r="A1123" s="1254"/>
      <c r="B1123" s="58">
        <v>9</v>
      </c>
      <c r="C1123" s="166" t="s">
        <v>920</v>
      </c>
      <c r="D1123" s="102">
        <v>22</v>
      </c>
      <c r="E1123" s="102">
        <v>1981</v>
      </c>
      <c r="F1123" s="183">
        <v>27.393</v>
      </c>
      <c r="G1123" s="183">
        <v>3.494</v>
      </c>
      <c r="H1123" s="183">
        <v>3.52</v>
      </c>
      <c r="I1123" s="183">
        <v>20.378</v>
      </c>
      <c r="J1123" s="167" t="s">
        <v>533</v>
      </c>
      <c r="K1123" s="183">
        <v>20.377</v>
      </c>
      <c r="L1123" s="226">
        <v>1220.59</v>
      </c>
      <c r="M1123" s="113">
        <f t="shared" si="176"/>
        <v>0.01669438550209325</v>
      </c>
      <c r="N1123" s="181">
        <v>346.4</v>
      </c>
      <c r="O1123" s="115">
        <f t="shared" si="177"/>
        <v>5.782935137925102</v>
      </c>
      <c r="P1123" s="169">
        <f t="shared" si="178"/>
        <v>1001.6631301255951</v>
      </c>
      <c r="Q1123" s="116">
        <f t="shared" si="179"/>
        <v>346.97610827550614</v>
      </c>
      <c r="S1123" s="63"/>
      <c r="T1123" s="63"/>
    </row>
    <row r="1124" spans="1:20" ht="13.5" thickBot="1">
      <c r="A1124" s="1189"/>
      <c r="B1124" s="25">
        <v>10</v>
      </c>
      <c r="C1124" s="166" t="s">
        <v>921</v>
      </c>
      <c r="D1124" s="102">
        <v>40</v>
      </c>
      <c r="E1124" s="102" t="s">
        <v>64</v>
      </c>
      <c r="F1124" s="183">
        <v>49</v>
      </c>
      <c r="G1124" s="183">
        <v>5.437</v>
      </c>
      <c r="H1124" s="183">
        <v>6.4</v>
      </c>
      <c r="I1124" s="183">
        <v>37.163</v>
      </c>
      <c r="J1124" s="1175" t="s">
        <v>533</v>
      </c>
      <c r="K1124" s="183">
        <v>37.16</v>
      </c>
      <c r="L1124" s="351">
        <v>2168.68</v>
      </c>
      <c r="M1124" s="172">
        <f t="shared" si="176"/>
        <v>0.017134847003707324</v>
      </c>
      <c r="N1124" s="350">
        <v>346.4</v>
      </c>
      <c r="O1124" s="173">
        <f t="shared" si="177"/>
        <v>5.935511002084216</v>
      </c>
      <c r="P1124" s="173">
        <f t="shared" si="178"/>
        <v>1028.0908202224396</v>
      </c>
      <c r="Q1124" s="174">
        <f t="shared" si="179"/>
        <v>356.130660125053</v>
      </c>
      <c r="S1124" s="63"/>
      <c r="T1124" s="63"/>
    </row>
    <row r="1125" spans="1:20" ht="12.75">
      <c r="A1125" s="1253" t="s">
        <v>12</v>
      </c>
      <c r="B1125" s="27">
        <v>1</v>
      </c>
      <c r="C1125" s="132" t="s">
        <v>535</v>
      </c>
      <c r="D1125" s="133">
        <v>8</v>
      </c>
      <c r="E1125" s="133" t="s">
        <v>64</v>
      </c>
      <c r="F1125" s="204">
        <v>8.44</v>
      </c>
      <c r="G1125" s="204">
        <v>0.943</v>
      </c>
      <c r="H1125" s="204">
        <v>0.08</v>
      </c>
      <c r="I1125" s="204">
        <v>7.417</v>
      </c>
      <c r="J1125" s="347" t="s">
        <v>533</v>
      </c>
      <c r="K1125" s="204">
        <v>7.417</v>
      </c>
      <c r="L1125" s="223">
        <v>354.58</v>
      </c>
      <c r="M1125" s="136">
        <f t="shared" si="176"/>
        <v>0.02091770545434035</v>
      </c>
      <c r="N1125" s="208">
        <v>346.4</v>
      </c>
      <c r="O1125" s="137">
        <f t="shared" si="177"/>
        <v>7.245893169383496</v>
      </c>
      <c r="P1125" s="137">
        <f t="shared" si="178"/>
        <v>1255.062327260421</v>
      </c>
      <c r="Q1125" s="138">
        <f t="shared" si="179"/>
        <v>434.7535901630098</v>
      </c>
      <c r="S1125" s="63"/>
      <c r="T1125" s="63"/>
    </row>
    <row r="1126" spans="1:20" ht="12.75">
      <c r="A1126" s="1191"/>
      <c r="B1126" s="29">
        <v>2</v>
      </c>
      <c r="C1126" s="135" t="s">
        <v>922</v>
      </c>
      <c r="D1126" s="104">
        <v>14</v>
      </c>
      <c r="E1126" s="104">
        <v>1986</v>
      </c>
      <c r="F1126" s="179">
        <v>22.6</v>
      </c>
      <c r="G1126" s="179">
        <v>1.529</v>
      </c>
      <c r="H1126" s="179">
        <v>2.24</v>
      </c>
      <c r="I1126" s="179">
        <v>18.83</v>
      </c>
      <c r="J1126" s="168" t="s">
        <v>533</v>
      </c>
      <c r="K1126" s="179">
        <v>18.83</v>
      </c>
      <c r="L1126" s="224">
        <v>833.45</v>
      </c>
      <c r="M1126" s="117">
        <f t="shared" si="176"/>
        <v>0.022592837002819603</v>
      </c>
      <c r="N1126" s="134">
        <v>346.4</v>
      </c>
      <c r="O1126" s="119">
        <f t="shared" si="177"/>
        <v>7.82615873777671</v>
      </c>
      <c r="P1126" s="137">
        <f t="shared" si="178"/>
        <v>1355.570220169176</v>
      </c>
      <c r="Q1126" s="120">
        <f t="shared" si="179"/>
        <v>469.56952426660257</v>
      </c>
      <c r="S1126" s="63"/>
      <c r="T1126" s="63"/>
    </row>
    <row r="1127" spans="1:20" s="67" customFormat="1" ht="12.75">
      <c r="A1127" s="1191"/>
      <c r="B1127" s="78">
        <v>3</v>
      </c>
      <c r="C1127" s="135" t="s">
        <v>923</v>
      </c>
      <c r="D1127" s="104">
        <v>8</v>
      </c>
      <c r="E1127" s="104">
        <v>1955</v>
      </c>
      <c r="F1127" s="179">
        <v>12</v>
      </c>
      <c r="G1127" s="179">
        <v>1.608</v>
      </c>
      <c r="H1127" s="179">
        <v>1.2</v>
      </c>
      <c r="I1127" s="179">
        <v>9.191</v>
      </c>
      <c r="J1127" s="168" t="s">
        <v>533</v>
      </c>
      <c r="K1127" s="179">
        <v>9.191</v>
      </c>
      <c r="L1127" s="224">
        <v>390.37</v>
      </c>
      <c r="M1127" s="117">
        <f t="shared" si="176"/>
        <v>0.023544329738453263</v>
      </c>
      <c r="N1127" s="134">
        <v>346.4</v>
      </c>
      <c r="O1127" s="119">
        <f t="shared" si="177"/>
        <v>8.15575582140021</v>
      </c>
      <c r="P1127" s="137">
        <f t="shared" si="178"/>
        <v>1412.6597843071957</v>
      </c>
      <c r="Q1127" s="120">
        <f t="shared" si="179"/>
        <v>489.34534928401257</v>
      </c>
      <c r="S1127" s="63"/>
      <c r="T1127" s="63"/>
    </row>
    <row r="1128" spans="1:20" s="67" customFormat="1" ht="12.75">
      <c r="A1128" s="1191"/>
      <c r="B1128" s="78">
        <v>4</v>
      </c>
      <c r="C1128" s="135" t="s">
        <v>924</v>
      </c>
      <c r="D1128" s="104">
        <v>6</v>
      </c>
      <c r="E1128" s="104" t="s">
        <v>64</v>
      </c>
      <c r="F1128" s="179">
        <v>8.397</v>
      </c>
      <c r="G1128" s="179">
        <v>0.339</v>
      </c>
      <c r="H1128" s="179">
        <v>0.03</v>
      </c>
      <c r="I1128" s="179">
        <v>7.198</v>
      </c>
      <c r="J1128" s="168" t="s">
        <v>533</v>
      </c>
      <c r="K1128" s="179">
        <v>7.198</v>
      </c>
      <c r="L1128" s="224">
        <v>289.14</v>
      </c>
      <c r="M1128" s="117">
        <f t="shared" si="176"/>
        <v>0.02489451476793249</v>
      </c>
      <c r="N1128" s="134">
        <v>346.4</v>
      </c>
      <c r="O1128" s="119">
        <f t="shared" si="177"/>
        <v>8.623459915611814</v>
      </c>
      <c r="P1128" s="137">
        <f t="shared" si="178"/>
        <v>1493.6708860759495</v>
      </c>
      <c r="Q1128" s="120">
        <f t="shared" si="179"/>
        <v>517.4075949367088</v>
      </c>
      <c r="S1128" s="63"/>
      <c r="T1128" s="63"/>
    </row>
    <row r="1129" spans="1:20" ht="12.75">
      <c r="A1129" s="1191"/>
      <c r="B1129" s="29">
        <v>5</v>
      </c>
      <c r="C1129" s="135" t="s">
        <v>925</v>
      </c>
      <c r="D1129" s="104">
        <v>12</v>
      </c>
      <c r="E1129" s="104">
        <v>1959</v>
      </c>
      <c r="F1129" s="179">
        <v>14.7</v>
      </c>
      <c r="G1129" s="179">
        <v>0.566</v>
      </c>
      <c r="H1129" s="179">
        <v>0.61</v>
      </c>
      <c r="I1129" s="179">
        <v>13.524</v>
      </c>
      <c r="J1129" s="168" t="s">
        <v>533</v>
      </c>
      <c r="K1129" s="179">
        <v>13.524</v>
      </c>
      <c r="L1129" s="224">
        <v>527.71</v>
      </c>
      <c r="M1129" s="117">
        <f t="shared" si="176"/>
        <v>0.025627712190407607</v>
      </c>
      <c r="N1129" s="134">
        <v>346.4</v>
      </c>
      <c r="O1129" s="119">
        <f t="shared" si="177"/>
        <v>8.877439502757195</v>
      </c>
      <c r="P1129" s="137">
        <f t="shared" si="178"/>
        <v>1537.6627314244565</v>
      </c>
      <c r="Q1129" s="120">
        <f t="shared" si="179"/>
        <v>532.6463701654318</v>
      </c>
      <c r="S1129" s="63"/>
      <c r="T1129" s="63"/>
    </row>
    <row r="1130" spans="1:20" ht="12.75">
      <c r="A1130" s="1191"/>
      <c r="B1130" s="29">
        <v>6</v>
      </c>
      <c r="C1130" s="135" t="s">
        <v>536</v>
      </c>
      <c r="D1130" s="104">
        <v>9</v>
      </c>
      <c r="E1130" s="104">
        <v>1977</v>
      </c>
      <c r="F1130" s="179">
        <v>13.9</v>
      </c>
      <c r="G1130" s="179">
        <v>0.424</v>
      </c>
      <c r="H1130" s="179">
        <v>1.44</v>
      </c>
      <c r="I1130" s="179">
        <v>12.035</v>
      </c>
      <c r="J1130" s="168" t="s">
        <v>533</v>
      </c>
      <c r="K1130" s="179">
        <v>12.035</v>
      </c>
      <c r="L1130" s="224">
        <v>460.02</v>
      </c>
      <c r="M1130" s="117">
        <f t="shared" si="176"/>
        <v>0.02616190600408678</v>
      </c>
      <c r="N1130" s="134">
        <v>346.4</v>
      </c>
      <c r="O1130" s="119">
        <f t="shared" si="177"/>
        <v>9.06248423981566</v>
      </c>
      <c r="P1130" s="137">
        <f t="shared" si="178"/>
        <v>1569.7143602452068</v>
      </c>
      <c r="Q1130" s="120">
        <f t="shared" si="179"/>
        <v>543.7490543889396</v>
      </c>
      <c r="S1130" s="63"/>
      <c r="T1130" s="63"/>
    </row>
    <row r="1131" spans="1:20" ht="12.75">
      <c r="A1131" s="1191"/>
      <c r="B1131" s="29">
        <v>7</v>
      </c>
      <c r="C1131" s="135" t="s">
        <v>537</v>
      </c>
      <c r="D1131" s="104">
        <v>12</v>
      </c>
      <c r="E1131" s="104">
        <v>1961</v>
      </c>
      <c r="F1131" s="179">
        <v>17.694</v>
      </c>
      <c r="G1131" s="179">
        <v>1.019</v>
      </c>
      <c r="H1131" s="179">
        <v>1.77</v>
      </c>
      <c r="I1131" s="179">
        <v>14.904</v>
      </c>
      <c r="J1131" s="168" t="s">
        <v>533</v>
      </c>
      <c r="K1131" s="179">
        <v>14.904</v>
      </c>
      <c r="L1131" s="224">
        <v>554.42</v>
      </c>
      <c r="M1131" s="117">
        <f t="shared" si="176"/>
        <v>0.026882147108690163</v>
      </c>
      <c r="N1131" s="134">
        <v>346.4</v>
      </c>
      <c r="O1131" s="119">
        <f t="shared" si="177"/>
        <v>9.311975758450272</v>
      </c>
      <c r="P1131" s="137">
        <f t="shared" si="178"/>
        <v>1612.9288265214097</v>
      </c>
      <c r="Q1131" s="120">
        <f t="shared" si="179"/>
        <v>558.7185455070162</v>
      </c>
      <c r="S1131" s="63"/>
      <c r="T1131" s="63"/>
    </row>
    <row r="1132" spans="1:20" ht="12.75">
      <c r="A1132" s="1191"/>
      <c r="B1132" s="29">
        <v>8</v>
      </c>
      <c r="C1132" s="135" t="s">
        <v>538</v>
      </c>
      <c r="D1132" s="104">
        <v>6</v>
      </c>
      <c r="E1132" s="104">
        <v>1986</v>
      </c>
      <c r="F1132" s="179">
        <v>11.52</v>
      </c>
      <c r="G1132" s="179">
        <v>0.453</v>
      </c>
      <c r="H1132" s="179">
        <v>0.88</v>
      </c>
      <c r="I1132" s="179">
        <v>10.187</v>
      </c>
      <c r="J1132" s="168" t="s">
        <v>533</v>
      </c>
      <c r="K1132" s="179">
        <v>10.187</v>
      </c>
      <c r="L1132" s="224">
        <v>378.43</v>
      </c>
      <c r="M1132" s="117">
        <f t="shared" si="176"/>
        <v>0.026919113178130696</v>
      </c>
      <c r="N1132" s="134">
        <v>346.4</v>
      </c>
      <c r="O1132" s="119">
        <f t="shared" si="177"/>
        <v>9.324780804904472</v>
      </c>
      <c r="P1132" s="137">
        <f t="shared" si="178"/>
        <v>1615.1467906878418</v>
      </c>
      <c r="Q1132" s="120">
        <f t="shared" si="179"/>
        <v>559.4868482942684</v>
      </c>
      <c r="S1132" s="63"/>
      <c r="T1132" s="63"/>
    </row>
    <row r="1133" spans="1:20" ht="12.75">
      <c r="A1133" s="1191"/>
      <c r="B1133" s="29">
        <v>9</v>
      </c>
      <c r="C1133" s="135" t="s">
        <v>540</v>
      </c>
      <c r="D1133" s="104">
        <v>12</v>
      </c>
      <c r="E1133" s="104">
        <v>1960</v>
      </c>
      <c r="F1133" s="179">
        <v>17.3</v>
      </c>
      <c r="G1133" s="179">
        <v>1.246</v>
      </c>
      <c r="H1133" s="179">
        <v>0.09</v>
      </c>
      <c r="I1133" s="179">
        <v>15.963</v>
      </c>
      <c r="J1133" s="168" t="s">
        <v>533</v>
      </c>
      <c r="K1133" s="179">
        <v>15.963</v>
      </c>
      <c r="L1133" s="224">
        <v>550.28</v>
      </c>
      <c r="M1133" s="117">
        <f t="shared" si="176"/>
        <v>0.02900886821254634</v>
      </c>
      <c r="N1133" s="134">
        <v>346.4</v>
      </c>
      <c r="O1133" s="119">
        <f t="shared" si="177"/>
        <v>10.048671948826051</v>
      </c>
      <c r="P1133" s="137">
        <f t="shared" si="178"/>
        <v>1740.5320927527803</v>
      </c>
      <c r="Q1133" s="120">
        <f t="shared" si="179"/>
        <v>602.9203169295631</v>
      </c>
      <c r="S1133" s="63"/>
      <c r="T1133" s="63"/>
    </row>
    <row r="1134" spans="1:20" ht="13.5" thickBot="1">
      <c r="A1134" s="1192"/>
      <c r="B1134" s="33">
        <v>10</v>
      </c>
      <c r="C1134" s="175" t="s">
        <v>539</v>
      </c>
      <c r="D1134" s="105">
        <v>12</v>
      </c>
      <c r="E1134" s="105">
        <v>1958</v>
      </c>
      <c r="F1134" s="205">
        <v>16.8</v>
      </c>
      <c r="G1134" s="205">
        <v>0.623</v>
      </c>
      <c r="H1134" s="205">
        <v>0.12</v>
      </c>
      <c r="I1134" s="205">
        <v>16.057</v>
      </c>
      <c r="J1134" s="328" t="s">
        <v>533</v>
      </c>
      <c r="K1134" s="205">
        <v>16.057</v>
      </c>
      <c r="L1134" s="278">
        <v>524.57</v>
      </c>
      <c r="M1134" s="121">
        <f t="shared" si="176"/>
        <v>0.030609832815448837</v>
      </c>
      <c r="N1134" s="998">
        <v>346.4</v>
      </c>
      <c r="O1134" s="123">
        <f t="shared" si="177"/>
        <v>10.603246087271476</v>
      </c>
      <c r="P1134" s="123">
        <f t="shared" si="178"/>
        <v>1836.5899689269302</v>
      </c>
      <c r="Q1134" s="124">
        <f t="shared" si="179"/>
        <v>636.1947652362885</v>
      </c>
      <c r="S1134" s="63"/>
      <c r="T1134" s="63"/>
    </row>
    <row r="1135" spans="10:20" ht="12.75">
      <c r="J1135" s="198"/>
      <c r="N1135" s="198"/>
      <c r="S1135" s="63"/>
      <c r="T1135" s="63"/>
    </row>
    <row r="1136" spans="19:20" ht="12.75">
      <c r="S1136" s="63"/>
      <c r="T1136" s="63"/>
    </row>
    <row r="1137" spans="19:20" ht="12.75">
      <c r="S1137" s="63"/>
      <c r="T1137" s="63"/>
    </row>
    <row r="1138" spans="19:20" ht="12.75">
      <c r="S1138" s="63"/>
      <c r="T1138" s="63"/>
    </row>
    <row r="1139" spans="19:20" ht="12.75">
      <c r="S1139" s="63"/>
      <c r="T1139" s="63"/>
    </row>
    <row r="1140" spans="19:20" ht="12.75">
      <c r="S1140" s="63"/>
      <c r="T1140" s="63"/>
    </row>
    <row r="1141" spans="1:20" ht="15">
      <c r="A1141" s="1199" t="s">
        <v>623</v>
      </c>
      <c r="B1141" s="1199"/>
      <c r="C1141" s="1199"/>
      <c r="D1141" s="1199"/>
      <c r="E1141" s="1199"/>
      <c r="F1141" s="1199"/>
      <c r="G1141" s="1199"/>
      <c r="H1141" s="1199"/>
      <c r="I1141" s="1199"/>
      <c r="J1141" s="1199"/>
      <c r="K1141" s="1199"/>
      <c r="L1141" s="1199"/>
      <c r="M1141" s="1199"/>
      <c r="N1141" s="1199"/>
      <c r="O1141" s="1199"/>
      <c r="P1141" s="1199"/>
      <c r="Q1141" s="1199"/>
      <c r="S1141" s="63"/>
      <c r="T1141" s="63"/>
    </row>
    <row r="1142" spans="1:20" ht="13.5" thickBot="1">
      <c r="A1142" s="1200" t="s">
        <v>926</v>
      </c>
      <c r="B1142" s="1255"/>
      <c r="C1142" s="1255"/>
      <c r="D1142" s="1255"/>
      <c r="E1142" s="1255"/>
      <c r="F1142" s="1255"/>
      <c r="G1142" s="1255"/>
      <c r="H1142" s="1255"/>
      <c r="I1142" s="1255"/>
      <c r="J1142" s="1255"/>
      <c r="K1142" s="1255"/>
      <c r="L1142" s="1255"/>
      <c r="M1142" s="1255"/>
      <c r="N1142" s="1255"/>
      <c r="O1142" s="1255"/>
      <c r="P1142" s="1255"/>
      <c r="Q1142" s="1255"/>
      <c r="S1142" s="63"/>
      <c r="T1142" s="63"/>
    </row>
    <row r="1143" spans="1:20" ht="12.75" customHeight="1">
      <c r="A1143" s="1201" t="s">
        <v>1</v>
      </c>
      <c r="B1143" s="1203" t="s">
        <v>0</v>
      </c>
      <c r="C1143" s="1193" t="s">
        <v>2</v>
      </c>
      <c r="D1143" s="1193" t="s">
        <v>3</v>
      </c>
      <c r="E1143" s="1193" t="s">
        <v>13</v>
      </c>
      <c r="F1143" s="1207" t="s">
        <v>14</v>
      </c>
      <c r="G1143" s="1208"/>
      <c r="H1143" s="1208"/>
      <c r="I1143" s="1209"/>
      <c r="J1143" s="1193" t="s">
        <v>4</v>
      </c>
      <c r="K1143" s="1193" t="s">
        <v>15</v>
      </c>
      <c r="L1143" s="1193" t="s">
        <v>5</v>
      </c>
      <c r="M1143" s="1193" t="s">
        <v>6</v>
      </c>
      <c r="N1143" s="1193" t="s">
        <v>16</v>
      </c>
      <c r="O1143" s="1195" t="s">
        <v>17</v>
      </c>
      <c r="P1143" s="1193" t="s">
        <v>25</v>
      </c>
      <c r="Q1143" s="1197" t="s">
        <v>26</v>
      </c>
      <c r="S1143" s="63"/>
      <c r="T1143" s="63"/>
    </row>
    <row r="1144" spans="1:20" s="2" customFormat="1" ht="33.75">
      <c r="A1144" s="1202"/>
      <c r="B1144" s="1204"/>
      <c r="C1144" s="1205"/>
      <c r="D1144" s="1194"/>
      <c r="E1144" s="1194"/>
      <c r="F1144" s="26" t="s">
        <v>18</v>
      </c>
      <c r="G1144" s="26" t="s">
        <v>19</v>
      </c>
      <c r="H1144" s="26" t="s">
        <v>20</v>
      </c>
      <c r="I1144" s="26" t="s">
        <v>21</v>
      </c>
      <c r="J1144" s="1194"/>
      <c r="K1144" s="1194"/>
      <c r="L1144" s="1194"/>
      <c r="M1144" s="1194"/>
      <c r="N1144" s="1194"/>
      <c r="O1144" s="1196"/>
      <c r="P1144" s="1194"/>
      <c r="Q1144" s="1198"/>
      <c r="S1144" s="63"/>
      <c r="T1144" s="63"/>
    </row>
    <row r="1145" spans="1:20" s="3" customFormat="1" ht="13.5" customHeight="1" thickBot="1">
      <c r="A1145" s="1259"/>
      <c r="B1145" s="1256"/>
      <c r="C1145" s="1206"/>
      <c r="D1145" s="42" t="s">
        <v>7</v>
      </c>
      <c r="E1145" s="42" t="s">
        <v>8</v>
      </c>
      <c r="F1145" s="42" t="s">
        <v>9</v>
      </c>
      <c r="G1145" s="42" t="s">
        <v>9</v>
      </c>
      <c r="H1145" s="42" t="s">
        <v>9</v>
      </c>
      <c r="I1145" s="42" t="s">
        <v>9</v>
      </c>
      <c r="J1145" s="42" t="s">
        <v>22</v>
      </c>
      <c r="K1145" s="42" t="s">
        <v>9</v>
      </c>
      <c r="L1145" s="42" t="s">
        <v>22</v>
      </c>
      <c r="M1145" s="42" t="s">
        <v>23</v>
      </c>
      <c r="N1145" s="42" t="s">
        <v>10</v>
      </c>
      <c r="O1145" s="42" t="s">
        <v>24</v>
      </c>
      <c r="P1145" s="43" t="s">
        <v>27</v>
      </c>
      <c r="Q1145" s="44" t="s">
        <v>28</v>
      </c>
      <c r="S1145" s="63"/>
      <c r="T1145" s="63"/>
    </row>
    <row r="1146" spans="1:20" ht="11.25" customHeight="1">
      <c r="A1146" s="1242" t="s">
        <v>29</v>
      </c>
      <c r="B1146" s="395">
        <v>1</v>
      </c>
      <c r="C1146" s="571" t="s">
        <v>551</v>
      </c>
      <c r="D1146" s="538">
        <v>80</v>
      </c>
      <c r="E1146" s="538">
        <v>1972</v>
      </c>
      <c r="F1146" s="365">
        <v>57.7</v>
      </c>
      <c r="G1146" s="365">
        <v>6.2</v>
      </c>
      <c r="H1146" s="365">
        <v>12.7</v>
      </c>
      <c r="I1146" s="364">
        <v>38.8</v>
      </c>
      <c r="J1146" s="366">
        <v>3909</v>
      </c>
      <c r="K1146" s="365">
        <v>38.8</v>
      </c>
      <c r="L1146" s="366">
        <v>3909</v>
      </c>
      <c r="M1146" s="367">
        <f aca="true" t="shared" si="180" ref="M1146:M1175">K1146/L1146</f>
        <v>0.009925812228191352</v>
      </c>
      <c r="N1146" s="368">
        <v>250.6</v>
      </c>
      <c r="O1146" s="369">
        <f aca="true" t="shared" si="181" ref="O1146:O1175">M1146*N1146</f>
        <v>2.4874085443847527</v>
      </c>
      <c r="P1146" s="369">
        <f aca="true" t="shared" si="182" ref="P1146:P1175">M1146*60*1000</f>
        <v>595.5487336914811</v>
      </c>
      <c r="Q1146" s="370">
        <f aca="true" t="shared" si="183" ref="Q1146:Q1175">P1146*N1146/1000</f>
        <v>149.24451266308515</v>
      </c>
      <c r="R1146" s="3"/>
      <c r="S1146" s="63"/>
      <c r="T1146" s="63"/>
    </row>
    <row r="1147" spans="1:20" ht="12.75" customHeight="1">
      <c r="A1147" s="1243"/>
      <c r="B1147" s="377">
        <v>2</v>
      </c>
      <c r="C1147" s="362" t="s">
        <v>553</v>
      </c>
      <c r="D1147" s="363">
        <v>50</v>
      </c>
      <c r="E1147" s="363">
        <v>1980</v>
      </c>
      <c r="F1147" s="364">
        <v>43.6</v>
      </c>
      <c r="G1147" s="364">
        <v>7.7</v>
      </c>
      <c r="H1147" s="364">
        <v>8</v>
      </c>
      <c r="I1147" s="364">
        <v>27.9</v>
      </c>
      <c r="J1147" s="372">
        <v>2587</v>
      </c>
      <c r="K1147" s="364">
        <v>27.9</v>
      </c>
      <c r="L1147" s="372">
        <v>2587</v>
      </c>
      <c r="M1147" s="367">
        <f t="shared" si="180"/>
        <v>0.010784692694240433</v>
      </c>
      <c r="N1147" s="368">
        <v>250.6</v>
      </c>
      <c r="O1147" s="369">
        <f t="shared" si="181"/>
        <v>2.7026439891766523</v>
      </c>
      <c r="P1147" s="369">
        <f t="shared" si="182"/>
        <v>647.081561654426</v>
      </c>
      <c r="Q1147" s="370">
        <f t="shared" si="183"/>
        <v>162.15863935059915</v>
      </c>
      <c r="R1147" s="6"/>
      <c r="S1147" s="63"/>
      <c r="T1147" s="63"/>
    </row>
    <row r="1148" spans="1:20" ht="12.75" customHeight="1">
      <c r="A1148" s="1243"/>
      <c r="B1148" s="377">
        <v>3</v>
      </c>
      <c r="C1148" s="362" t="s">
        <v>554</v>
      </c>
      <c r="D1148" s="363">
        <v>60</v>
      </c>
      <c r="E1148" s="363">
        <v>1979</v>
      </c>
      <c r="F1148" s="364">
        <v>56.8</v>
      </c>
      <c r="G1148" s="364">
        <v>6.2</v>
      </c>
      <c r="H1148" s="364">
        <v>9.3</v>
      </c>
      <c r="I1148" s="364">
        <v>41.3</v>
      </c>
      <c r="J1148" s="372">
        <v>3147</v>
      </c>
      <c r="K1148" s="364">
        <v>41.3</v>
      </c>
      <c r="L1148" s="372">
        <v>3147</v>
      </c>
      <c r="M1148" s="374">
        <f t="shared" si="180"/>
        <v>0.013123609787098823</v>
      </c>
      <c r="N1148" s="368">
        <v>250.6</v>
      </c>
      <c r="O1148" s="369">
        <f t="shared" si="181"/>
        <v>3.288776612646965</v>
      </c>
      <c r="P1148" s="369">
        <f t="shared" si="182"/>
        <v>787.4165872259294</v>
      </c>
      <c r="Q1148" s="375">
        <f t="shared" si="183"/>
        <v>197.3265967588179</v>
      </c>
      <c r="R1148" s="6"/>
      <c r="S1148" s="63"/>
      <c r="T1148" s="63"/>
    </row>
    <row r="1149" spans="1:20" ht="12.75" customHeight="1">
      <c r="A1149" s="1243"/>
      <c r="B1149" s="377">
        <v>4</v>
      </c>
      <c r="C1149" s="362" t="s">
        <v>552</v>
      </c>
      <c r="D1149" s="363">
        <v>90</v>
      </c>
      <c r="E1149" s="363">
        <v>1975</v>
      </c>
      <c r="F1149" s="364">
        <v>82.9</v>
      </c>
      <c r="G1149" s="364">
        <v>6.9</v>
      </c>
      <c r="H1149" s="364">
        <v>14.3</v>
      </c>
      <c r="I1149" s="364">
        <v>61.7</v>
      </c>
      <c r="J1149" s="372">
        <v>4561</v>
      </c>
      <c r="K1149" s="364">
        <v>61.7</v>
      </c>
      <c r="L1149" s="372">
        <v>4561</v>
      </c>
      <c r="M1149" s="374">
        <f t="shared" si="180"/>
        <v>0.01352773514580136</v>
      </c>
      <c r="N1149" s="368">
        <v>250.6</v>
      </c>
      <c r="O1149" s="376">
        <f t="shared" si="181"/>
        <v>3.3900504275378207</v>
      </c>
      <c r="P1149" s="369">
        <f t="shared" si="182"/>
        <v>811.6641087480816</v>
      </c>
      <c r="Q1149" s="375">
        <f t="shared" si="183"/>
        <v>203.40302565226926</v>
      </c>
      <c r="R1149" s="6"/>
      <c r="S1149" s="63"/>
      <c r="T1149" s="63"/>
    </row>
    <row r="1150" spans="1:20" ht="12.75" customHeight="1">
      <c r="A1150" s="1243"/>
      <c r="B1150" s="377">
        <v>5</v>
      </c>
      <c r="C1150" s="362" t="s">
        <v>558</v>
      </c>
      <c r="D1150" s="363">
        <v>20</v>
      </c>
      <c r="E1150" s="363">
        <v>1987</v>
      </c>
      <c r="F1150" s="364">
        <v>19.4</v>
      </c>
      <c r="G1150" s="364">
        <v>1.5</v>
      </c>
      <c r="H1150" s="364">
        <v>3.2</v>
      </c>
      <c r="I1150" s="364">
        <v>14.7</v>
      </c>
      <c r="J1150" s="372">
        <v>1076</v>
      </c>
      <c r="K1150" s="364">
        <v>14.7</v>
      </c>
      <c r="L1150" s="372">
        <v>1076</v>
      </c>
      <c r="M1150" s="374">
        <f t="shared" si="180"/>
        <v>0.01366171003717472</v>
      </c>
      <c r="N1150" s="368">
        <v>250.6</v>
      </c>
      <c r="O1150" s="376">
        <f t="shared" si="181"/>
        <v>3.4236245353159847</v>
      </c>
      <c r="P1150" s="369">
        <f t="shared" si="182"/>
        <v>819.7026022304832</v>
      </c>
      <c r="Q1150" s="375">
        <f t="shared" si="183"/>
        <v>205.4174721189591</v>
      </c>
      <c r="R1150" s="6"/>
      <c r="S1150" s="63"/>
      <c r="T1150" s="63"/>
    </row>
    <row r="1151" spans="1:20" ht="12.75" customHeight="1">
      <c r="A1151" s="1243"/>
      <c r="B1151" s="377">
        <v>6</v>
      </c>
      <c r="C1151" s="362" t="s">
        <v>555</v>
      </c>
      <c r="D1151" s="363">
        <v>90</v>
      </c>
      <c r="E1151" s="363">
        <v>1979</v>
      </c>
      <c r="F1151" s="364">
        <v>88.2</v>
      </c>
      <c r="G1151" s="364">
        <v>11.1</v>
      </c>
      <c r="H1151" s="364">
        <v>14.1</v>
      </c>
      <c r="I1151" s="364">
        <v>63</v>
      </c>
      <c r="J1151" s="372">
        <v>4459</v>
      </c>
      <c r="K1151" s="364">
        <v>63</v>
      </c>
      <c r="L1151" s="372">
        <v>4459</v>
      </c>
      <c r="M1151" s="374">
        <f t="shared" si="180"/>
        <v>0.0141287284144427</v>
      </c>
      <c r="N1151" s="368">
        <v>250.6</v>
      </c>
      <c r="O1151" s="376">
        <f t="shared" si="181"/>
        <v>3.5406593406593405</v>
      </c>
      <c r="P1151" s="369">
        <f t="shared" si="182"/>
        <v>847.723704866562</v>
      </c>
      <c r="Q1151" s="375">
        <f t="shared" si="183"/>
        <v>212.43956043956044</v>
      </c>
      <c r="R1151" s="6"/>
      <c r="S1151" s="63"/>
      <c r="T1151" s="63"/>
    </row>
    <row r="1152" spans="1:20" ht="12.75" customHeight="1">
      <c r="A1152" s="1243"/>
      <c r="B1152" s="377">
        <v>7</v>
      </c>
      <c r="C1152" s="362" t="s">
        <v>556</v>
      </c>
      <c r="D1152" s="363">
        <v>45</v>
      </c>
      <c r="E1152" s="363">
        <v>1987</v>
      </c>
      <c r="F1152" s="364">
        <v>55.7</v>
      </c>
      <c r="G1152" s="364">
        <v>5.2</v>
      </c>
      <c r="H1152" s="364">
        <v>7.9</v>
      </c>
      <c r="I1152" s="364">
        <v>42.6</v>
      </c>
      <c r="J1152" s="372">
        <v>2970</v>
      </c>
      <c r="K1152" s="364">
        <v>42.6</v>
      </c>
      <c r="L1152" s="372">
        <v>2970</v>
      </c>
      <c r="M1152" s="374">
        <f t="shared" si="180"/>
        <v>0.014343434343434344</v>
      </c>
      <c r="N1152" s="368">
        <v>250.6</v>
      </c>
      <c r="O1152" s="376">
        <f t="shared" si="181"/>
        <v>3.5944646464646466</v>
      </c>
      <c r="P1152" s="369">
        <f t="shared" si="182"/>
        <v>860.6060606060606</v>
      </c>
      <c r="Q1152" s="375">
        <f t="shared" si="183"/>
        <v>215.66787878787878</v>
      </c>
      <c r="R1152" s="6"/>
      <c r="S1152" s="63"/>
      <c r="T1152" s="63"/>
    </row>
    <row r="1153" spans="1:20" ht="12.75" customHeight="1">
      <c r="A1153" s="1243"/>
      <c r="B1153" s="377">
        <v>8</v>
      </c>
      <c r="C1153" s="362" t="s">
        <v>561</v>
      </c>
      <c r="D1153" s="363">
        <v>4</v>
      </c>
      <c r="E1153" s="363">
        <v>1930</v>
      </c>
      <c r="F1153" s="364">
        <v>5.7</v>
      </c>
      <c r="G1153" s="364">
        <v>0.2</v>
      </c>
      <c r="H1153" s="364">
        <v>0.6</v>
      </c>
      <c r="I1153" s="364">
        <v>4.9</v>
      </c>
      <c r="J1153" s="372">
        <v>340</v>
      </c>
      <c r="K1153" s="364">
        <v>4.9</v>
      </c>
      <c r="L1153" s="372">
        <v>340</v>
      </c>
      <c r="M1153" s="374">
        <f t="shared" si="180"/>
        <v>0.014411764705882355</v>
      </c>
      <c r="N1153" s="368">
        <v>250.6</v>
      </c>
      <c r="O1153" s="376">
        <f t="shared" si="181"/>
        <v>3.611588235294118</v>
      </c>
      <c r="P1153" s="369">
        <f t="shared" si="182"/>
        <v>864.7058823529413</v>
      </c>
      <c r="Q1153" s="375">
        <f t="shared" si="183"/>
        <v>216.6952941176471</v>
      </c>
      <c r="R1153" s="6"/>
      <c r="S1153" s="63"/>
      <c r="T1153" s="63"/>
    </row>
    <row r="1154" spans="1:20" ht="13.5" customHeight="1">
      <c r="A1154" s="1243"/>
      <c r="B1154" s="377">
        <v>9</v>
      </c>
      <c r="C1154" s="362" t="s">
        <v>560</v>
      </c>
      <c r="D1154" s="363">
        <v>60</v>
      </c>
      <c r="E1154" s="363">
        <v>1978</v>
      </c>
      <c r="F1154" s="364">
        <v>61.1</v>
      </c>
      <c r="G1154" s="364">
        <v>6.1</v>
      </c>
      <c r="H1154" s="364">
        <v>9.6</v>
      </c>
      <c r="I1154" s="364">
        <v>45.4</v>
      </c>
      <c r="J1154" s="372">
        <v>3080</v>
      </c>
      <c r="K1154" s="364">
        <v>45.4</v>
      </c>
      <c r="L1154" s="372">
        <v>3080</v>
      </c>
      <c r="M1154" s="374">
        <f t="shared" si="180"/>
        <v>0.01474025974025974</v>
      </c>
      <c r="N1154" s="368">
        <v>250.6</v>
      </c>
      <c r="O1154" s="376">
        <f t="shared" si="181"/>
        <v>3.6939090909090906</v>
      </c>
      <c r="P1154" s="369">
        <f t="shared" si="182"/>
        <v>884.4155844155844</v>
      </c>
      <c r="Q1154" s="375">
        <f t="shared" si="183"/>
        <v>221.63454545454545</v>
      </c>
      <c r="R1154" s="6"/>
      <c r="S1154" s="63"/>
      <c r="T1154" s="63"/>
    </row>
    <row r="1155" spans="1:20" ht="13.5" customHeight="1" thickBot="1">
      <c r="A1155" s="1244"/>
      <c r="B1155" s="386"/>
      <c r="C1155" s="802" t="s">
        <v>568</v>
      </c>
      <c r="D1155" s="803">
        <v>5</v>
      </c>
      <c r="E1155" s="803">
        <v>1930</v>
      </c>
      <c r="F1155" s="399">
        <v>4.4</v>
      </c>
      <c r="G1155" s="399">
        <v>1</v>
      </c>
      <c r="H1155" s="399">
        <v>0.4</v>
      </c>
      <c r="I1155" s="399">
        <v>3.3</v>
      </c>
      <c r="J1155" s="804">
        <v>222</v>
      </c>
      <c r="K1155" s="399">
        <v>3.3</v>
      </c>
      <c r="L1155" s="804">
        <v>222</v>
      </c>
      <c r="M1155" s="401">
        <f t="shared" si="180"/>
        <v>0.014864864864864864</v>
      </c>
      <c r="N1155" s="805">
        <v>250.6</v>
      </c>
      <c r="O1155" s="402">
        <f t="shared" si="181"/>
        <v>3.725135135135135</v>
      </c>
      <c r="P1155" s="402">
        <f t="shared" si="182"/>
        <v>891.8918918918919</v>
      </c>
      <c r="Q1155" s="403">
        <f t="shared" si="183"/>
        <v>223.5081081081081</v>
      </c>
      <c r="R1155" s="6"/>
      <c r="S1155" s="63"/>
      <c r="T1155" s="63"/>
    </row>
    <row r="1156" spans="1:20" ht="12.75">
      <c r="A1156" s="1187" t="s">
        <v>30</v>
      </c>
      <c r="B1156" s="22">
        <v>1</v>
      </c>
      <c r="C1156" s="521" t="s">
        <v>557</v>
      </c>
      <c r="D1156" s="492">
        <v>55</v>
      </c>
      <c r="E1156" s="492">
        <v>1968</v>
      </c>
      <c r="F1156" s="703">
        <v>53.3</v>
      </c>
      <c r="G1156" s="703">
        <v>4.7</v>
      </c>
      <c r="H1156" s="703">
        <v>8.9</v>
      </c>
      <c r="I1156" s="703">
        <v>39.7</v>
      </c>
      <c r="J1156" s="709">
        <v>2483</v>
      </c>
      <c r="K1156" s="703">
        <v>39.7</v>
      </c>
      <c r="L1156" s="709">
        <v>2483</v>
      </c>
      <c r="M1156" s="684">
        <f t="shared" si="180"/>
        <v>0.015988723318566253</v>
      </c>
      <c r="N1156" s="649">
        <v>250.6</v>
      </c>
      <c r="O1156" s="685">
        <f t="shared" si="181"/>
        <v>4.006774063632703</v>
      </c>
      <c r="P1156" s="685">
        <f t="shared" si="182"/>
        <v>959.3233991139751</v>
      </c>
      <c r="Q1156" s="686">
        <f t="shared" si="183"/>
        <v>240.40644381796216</v>
      </c>
      <c r="R1156" s="6"/>
      <c r="S1156" s="63"/>
      <c r="T1156" s="63"/>
    </row>
    <row r="1157" spans="1:20" ht="12.75">
      <c r="A1157" s="1188"/>
      <c r="B1157" s="24">
        <v>2</v>
      </c>
      <c r="C1157" s="522" t="s">
        <v>559</v>
      </c>
      <c r="D1157" s="493">
        <v>16</v>
      </c>
      <c r="E1157" s="493">
        <v>1912</v>
      </c>
      <c r="F1157" s="704">
        <v>14.7</v>
      </c>
      <c r="G1157" s="704">
        <v>1</v>
      </c>
      <c r="H1157" s="704">
        <v>2.2</v>
      </c>
      <c r="I1157" s="704">
        <v>11.5</v>
      </c>
      <c r="J1157" s="710">
        <v>647</v>
      </c>
      <c r="K1157" s="704">
        <v>11.5</v>
      </c>
      <c r="L1157" s="710">
        <v>647</v>
      </c>
      <c r="M1157" s="650">
        <f t="shared" si="180"/>
        <v>0.01777434312210201</v>
      </c>
      <c r="N1157" s="717">
        <v>250.6</v>
      </c>
      <c r="O1157" s="508">
        <f t="shared" si="181"/>
        <v>4.454250386398764</v>
      </c>
      <c r="P1157" s="685">
        <f t="shared" si="182"/>
        <v>1066.4605873261205</v>
      </c>
      <c r="Q1157" s="509">
        <f t="shared" si="183"/>
        <v>267.2550231839258</v>
      </c>
      <c r="R1157" s="6"/>
      <c r="S1157" s="63"/>
      <c r="T1157" s="63"/>
    </row>
    <row r="1158" spans="1:20" ht="12.75">
      <c r="A1158" s="1188"/>
      <c r="B1158" s="24">
        <v>3</v>
      </c>
      <c r="C1158" s="522" t="s">
        <v>562</v>
      </c>
      <c r="D1158" s="493">
        <v>48</v>
      </c>
      <c r="E1158" s="493">
        <v>1965</v>
      </c>
      <c r="F1158" s="704">
        <v>46.6</v>
      </c>
      <c r="G1158" s="704">
        <v>4.4</v>
      </c>
      <c r="H1158" s="704">
        <v>7.5</v>
      </c>
      <c r="I1158" s="704">
        <v>34.7</v>
      </c>
      <c r="J1158" s="710">
        <v>1901</v>
      </c>
      <c r="K1158" s="704">
        <v>34.7</v>
      </c>
      <c r="L1158" s="710">
        <v>1901</v>
      </c>
      <c r="M1158" s="650">
        <f t="shared" si="180"/>
        <v>0.018253550762756445</v>
      </c>
      <c r="N1158" s="717">
        <v>250.6</v>
      </c>
      <c r="O1158" s="508">
        <f t="shared" si="181"/>
        <v>4.574339821146765</v>
      </c>
      <c r="P1158" s="685">
        <f t="shared" si="182"/>
        <v>1095.2130457653868</v>
      </c>
      <c r="Q1158" s="509">
        <f t="shared" si="183"/>
        <v>274.4603892688059</v>
      </c>
      <c r="R1158" s="6"/>
      <c r="S1158" s="63"/>
      <c r="T1158" s="63"/>
    </row>
    <row r="1159" spans="1:20" ht="12.75">
      <c r="A1159" s="1188"/>
      <c r="B1159" s="24">
        <v>4</v>
      </c>
      <c r="C1159" s="522" t="s">
        <v>566</v>
      </c>
      <c r="D1159" s="493">
        <v>11</v>
      </c>
      <c r="E1159" s="493">
        <v>1973</v>
      </c>
      <c r="F1159" s="704">
        <v>10.7</v>
      </c>
      <c r="G1159" s="704">
        <v>0.5</v>
      </c>
      <c r="H1159" s="704">
        <v>1.7</v>
      </c>
      <c r="I1159" s="704">
        <v>8.5</v>
      </c>
      <c r="J1159" s="710">
        <v>458</v>
      </c>
      <c r="K1159" s="704">
        <v>8.5</v>
      </c>
      <c r="L1159" s="710">
        <v>458</v>
      </c>
      <c r="M1159" s="650">
        <f t="shared" si="180"/>
        <v>0.018558951965065504</v>
      </c>
      <c r="N1159" s="717">
        <v>250.6</v>
      </c>
      <c r="O1159" s="508">
        <f t="shared" si="181"/>
        <v>4.650873362445415</v>
      </c>
      <c r="P1159" s="685">
        <f t="shared" si="182"/>
        <v>1113.5371179039303</v>
      </c>
      <c r="Q1159" s="509">
        <f t="shared" si="183"/>
        <v>279.0524017467249</v>
      </c>
      <c r="R1159" s="6"/>
      <c r="S1159" s="63"/>
      <c r="T1159" s="63"/>
    </row>
    <row r="1160" spans="1:20" ht="12.75">
      <c r="A1160" s="1188"/>
      <c r="B1160" s="24">
        <v>5</v>
      </c>
      <c r="C1160" s="522" t="s">
        <v>569</v>
      </c>
      <c r="D1160" s="493">
        <v>10</v>
      </c>
      <c r="E1160" s="493">
        <v>1920</v>
      </c>
      <c r="F1160" s="704">
        <v>7.5</v>
      </c>
      <c r="G1160" s="704"/>
      <c r="H1160" s="704"/>
      <c r="I1160" s="704">
        <v>7.5</v>
      </c>
      <c r="J1160" s="710">
        <v>403</v>
      </c>
      <c r="K1160" s="704">
        <v>7.5</v>
      </c>
      <c r="L1160" s="710">
        <v>403</v>
      </c>
      <c r="M1160" s="650">
        <f t="shared" si="180"/>
        <v>0.018610421836228287</v>
      </c>
      <c r="N1160" s="717">
        <v>250.6</v>
      </c>
      <c r="O1160" s="508">
        <f t="shared" si="181"/>
        <v>4.663771712158809</v>
      </c>
      <c r="P1160" s="685">
        <f t="shared" si="182"/>
        <v>1116.6253101736972</v>
      </c>
      <c r="Q1160" s="509">
        <f t="shared" si="183"/>
        <v>279.8263027295285</v>
      </c>
      <c r="R1160" s="6"/>
      <c r="S1160" s="63"/>
      <c r="T1160" s="63"/>
    </row>
    <row r="1161" spans="1:20" ht="12.75">
      <c r="A1161" s="1188"/>
      <c r="B1161" s="24">
        <v>6</v>
      </c>
      <c r="C1161" s="522" t="s">
        <v>564</v>
      </c>
      <c r="D1161" s="493">
        <v>45</v>
      </c>
      <c r="E1161" s="493">
        <v>1966</v>
      </c>
      <c r="F1161" s="704">
        <v>47.9</v>
      </c>
      <c r="G1161" s="704">
        <v>4.4</v>
      </c>
      <c r="H1161" s="704">
        <v>6.9</v>
      </c>
      <c r="I1161" s="704">
        <v>36.6</v>
      </c>
      <c r="J1161" s="710">
        <v>1851</v>
      </c>
      <c r="K1161" s="704">
        <v>36.6</v>
      </c>
      <c r="L1161" s="710">
        <v>1851</v>
      </c>
      <c r="M1161" s="650">
        <f t="shared" si="180"/>
        <v>0.019773095623987033</v>
      </c>
      <c r="N1161" s="717">
        <v>250.6</v>
      </c>
      <c r="O1161" s="508">
        <f t="shared" si="181"/>
        <v>4.95513776337115</v>
      </c>
      <c r="P1161" s="685">
        <f t="shared" si="182"/>
        <v>1186.3857374392219</v>
      </c>
      <c r="Q1161" s="509">
        <f t="shared" si="183"/>
        <v>297.308265802269</v>
      </c>
      <c r="R1161" s="6"/>
      <c r="S1161" s="63"/>
      <c r="T1161" s="63"/>
    </row>
    <row r="1162" spans="1:20" ht="12.75">
      <c r="A1162" s="1188"/>
      <c r="B1162" s="24">
        <v>7</v>
      </c>
      <c r="C1162" s="522" t="s">
        <v>567</v>
      </c>
      <c r="D1162" s="493">
        <v>13</v>
      </c>
      <c r="E1162" s="493">
        <v>1985</v>
      </c>
      <c r="F1162" s="704">
        <v>13.6</v>
      </c>
      <c r="G1162" s="704">
        <v>0.9</v>
      </c>
      <c r="H1162" s="704">
        <v>1.9</v>
      </c>
      <c r="I1162" s="704">
        <v>10.8</v>
      </c>
      <c r="J1162" s="710">
        <v>537</v>
      </c>
      <c r="K1162" s="704">
        <v>10.8</v>
      </c>
      <c r="L1162" s="710">
        <v>537</v>
      </c>
      <c r="M1162" s="650">
        <f t="shared" si="180"/>
        <v>0.02011173184357542</v>
      </c>
      <c r="N1162" s="717">
        <v>250.6</v>
      </c>
      <c r="O1162" s="508">
        <f t="shared" si="181"/>
        <v>5.04</v>
      </c>
      <c r="P1162" s="685">
        <f t="shared" si="182"/>
        <v>1206.7039106145253</v>
      </c>
      <c r="Q1162" s="509">
        <f t="shared" si="183"/>
        <v>302.40000000000003</v>
      </c>
      <c r="R1162" s="6"/>
      <c r="S1162" s="63"/>
      <c r="T1162" s="63"/>
    </row>
    <row r="1163" spans="1:20" ht="12.75">
      <c r="A1163" s="1188"/>
      <c r="B1163" s="24">
        <v>8</v>
      </c>
      <c r="C1163" s="522" t="s">
        <v>571</v>
      </c>
      <c r="D1163" s="493">
        <v>12</v>
      </c>
      <c r="E1163" s="493">
        <v>1963</v>
      </c>
      <c r="F1163" s="704">
        <v>11.1</v>
      </c>
      <c r="G1163" s="704"/>
      <c r="H1163" s="704"/>
      <c r="I1163" s="704">
        <v>11.1</v>
      </c>
      <c r="J1163" s="710">
        <v>531</v>
      </c>
      <c r="K1163" s="704">
        <v>11.1</v>
      </c>
      <c r="L1163" s="710">
        <v>531</v>
      </c>
      <c r="M1163" s="650">
        <f t="shared" si="180"/>
        <v>0.020903954802259886</v>
      </c>
      <c r="N1163" s="717">
        <v>250.6</v>
      </c>
      <c r="O1163" s="508">
        <f t="shared" si="181"/>
        <v>5.238531073446327</v>
      </c>
      <c r="P1163" s="685">
        <f t="shared" si="182"/>
        <v>1254.2372881355932</v>
      </c>
      <c r="Q1163" s="509">
        <f t="shared" si="183"/>
        <v>314.31186440677965</v>
      </c>
      <c r="R1163" s="6"/>
      <c r="S1163" s="63"/>
      <c r="T1163" s="63"/>
    </row>
    <row r="1164" spans="1:20" ht="12.75">
      <c r="A1164" s="1254"/>
      <c r="B1164" s="58">
        <v>9</v>
      </c>
      <c r="C1164" s="522" t="s">
        <v>565</v>
      </c>
      <c r="D1164" s="493">
        <v>16</v>
      </c>
      <c r="E1164" s="493">
        <v>1909</v>
      </c>
      <c r="F1164" s="704">
        <v>18.1</v>
      </c>
      <c r="G1164" s="704"/>
      <c r="H1164" s="704"/>
      <c r="I1164" s="704">
        <v>18.1</v>
      </c>
      <c r="J1164" s="710">
        <v>847</v>
      </c>
      <c r="K1164" s="704">
        <v>18.1</v>
      </c>
      <c r="L1164" s="710">
        <v>847</v>
      </c>
      <c r="M1164" s="650">
        <f t="shared" si="180"/>
        <v>0.021369539551357734</v>
      </c>
      <c r="N1164" s="717">
        <v>250.6</v>
      </c>
      <c r="O1164" s="508">
        <f t="shared" si="181"/>
        <v>5.355206611570248</v>
      </c>
      <c r="P1164" s="685">
        <f t="shared" si="182"/>
        <v>1282.172373081464</v>
      </c>
      <c r="Q1164" s="509">
        <f t="shared" si="183"/>
        <v>321.3123966942149</v>
      </c>
      <c r="R1164" s="6"/>
      <c r="S1164" s="63"/>
      <c r="T1164" s="63"/>
    </row>
    <row r="1165" spans="1:20" ht="13.5" thickBot="1">
      <c r="A1165" s="1189"/>
      <c r="B1165" s="25">
        <v>10</v>
      </c>
      <c r="C1165" s="523" t="s">
        <v>563</v>
      </c>
      <c r="D1165" s="494">
        <v>6</v>
      </c>
      <c r="E1165" s="494">
        <v>1960</v>
      </c>
      <c r="F1165" s="705">
        <v>6.8</v>
      </c>
      <c r="G1165" s="705"/>
      <c r="H1165" s="705"/>
      <c r="I1165" s="705">
        <v>6.8</v>
      </c>
      <c r="J1165" s="711">
        <v>314</v>
      </c>
      <c r="K1165" s="705">
        <v>6.8</v>
      </c>
      <c r="L1165" s="711">
        <v>314</v>
      </c>
      <c r="M1165" s="687">
        <f t="shared" si="180"/>
        <v>0.02165605095541401</v>
      </c>
      <c r="N1165" s="1137">
        <v>250.6</v>
      </c>
      <c r="O1165" s="689">
        <f t="shared" si="181"/>
        <v>5.427006369426751</v>
      </c>
      <c r="P1165" s="689">
        <f t="shared" si="182"/>
        <v>1299.3630573248406</v>
      </c>
      <c r="Q1165" s="690">
        <f t="shared" si="183"/>
        <v>325.620382165605</v>
      </c>
      <c r="R1165" s="6"/>
      <c r="S1165" s="63"/>
      <c r="T1165" s="63"/>
    </row>
    <row r="1166" spans="1:20" ht="12.75">
      <c r="A1166" s="1253" t="s">
        <v>12</v>
      </c>
      <c r="B1166" s="27">
        <v>1</v>
      </c>
      <c r="C1166" s="132" t="s">
        <v>570</v>
      </c>
      <c r="D1166" s="133">
        <v>8</v>
      </c>
      <c r="E1166" s="133">
        <v>1961</v>
      </c>
      <c r="F1166" s="204">
        <v>8.3</v>
      </c>
      <c r="G1166" s="204">
        <v>0.1</v>
      </c>
      <c r="H1166" s="204">
        <v>0.3</v>
      </c>
      <c r="I1166" s="204">
        <v>7.9</v>
      </c>
      <c r="J1166" s="223">
        <v>355</v>
      </c>
      <c r="K1166" s="204">
        <v>7.9</v>
      </c>
      <c r="L1166" s="223">
        <v>355</v>
      </c>
      <c r="M1166" s="136">
        <f t="shared" si="180"/>
        <v>0.022253521126760566</v>
      </c>
      <c r="N1166" s="208">
        <v>250.6</v>
      </c>
      <c r="O1166" s="137">
        <f t="shared" si="181"/>
        <v>5.576732394366197</v>
      </c>
      <c r="P1166" s="137">
        <f t="shared" si="182"/>
        <v>1335.211267605634</v>
      </c>
      <c r="Q1166" s="138">
        <f t="shared" si="183"/>
        <v>334.60394366197187</v>
      </c>
      <c r="R1166" s="6"/>
      <c r="S1166" s="63"/>
      <c r="T1166" s="63"/>
    </row>
    <row r="1167" spans="1:20" ht="12.75">
      <c r="A1167" s="1191"/>
      <c r="B1167" s="29">
        <v>2</v>
      </c>
      <c r="C1167" s="517" t="s">
        <v>572</v>
      </c>
      <c r="D1167" s="518">
        <v>6</v>
      </c>
      <c r="E1167" s="518">
        <v>1901</v>
      </c>
      <c r="F1167" s="707">
        <v>7</v>
      </c>
      <c r="G1167" s="707"/>
      <c r="H1167" s="707"/>
      <c r="I1167" s="707">
        <v>7</v>
      </c>
      <c r="J1167" s="713">
        <v>284</v>
      </c>
      <c r="K1167" s="707">
        <v>7</v>
      </c>
      <c r="L1167" s="713">
        <v>284</v>
      </c>
      <c r="M1167" s="695">
        <f t="shared" si="180"/>
        <v>0.02464788732394366</v>
      </c>
      <c r="N1167" s="719">
        <v>250.6</v>
      </c>
      <c r="O1167" s="696">
        <f t="shared" si="181"/>
        <v>6.176760563380281</v>
      </c>
      <c r="P1167" s="693">
        <f t="shared" si="182"/>
        <v>1478.8732394366195</v>
      </c>
      <c r="Q1167" s="697">
        <f t="shared" si="183"/>
        <v>370.60563380281684</v>
      </c>
      <c r="R1167" s="6"/>
      <c r="S1167" s="63"/>
      <c r="T1167" s="63"/>
    </row>
    <row r="1168" spans="1:20" ht="12.75">
      <c r="A1168" s="1191"/>
      <c r="B1168" s="29">
        <v>3</v>
      </c>
      <c r="C1168" s="517" t="s">
        <v>574</v>
      </c>
      <c r="D1168" s="518">
        <v>6</v>
      </c>
      <c r="E1168" s="518">
        <v>1958</v>
      </c>
      <c r="F1168" s="707">
        <v>9.7</v>
      </c>
      <c r="G1168" s="707"/>
      <c r="H1168" s="707"/>
      <c r="I1168" s="707">
        <v>9.7</v>
      </c>
      <c r="J1168" s="713">
        <v>388</v>
      </c>
      <c r="K1168" s="707">
        <v>9.7</v>
      </c>
      <c r="L1168" s="713">
        <v>388</v>
      </c>
      <c r="M1168" s="695">
        <f t="shared" si="180"/>
        <v>0.024999999999999998</v>
      </c>
      <c r="N1168" s="719">
        <v>250.6</v>
      </c>
      <c r="O1168" s="696">
        <f t="shared" si="181"/>
        <v>6.265</v>
      </c>
      <c r="P1168" s="693">
        <f t="shared" si="182"/>
        <v>1499.9999999999998</v>
      </c>
      <c r="Q1168" s="697">
        <f t="shared" si="183"/>
        <v>375.8999999999999</v>
      </c>
      <c r="R1168" s="6"/>
      <c r="S1168" s="63"/>
      <c r="T1168" s="63"/>
    </row>
    <row r="1169" spans="1:20" ht="12.75">
      <c r="A1169" s="1191"/>
      <c r="B1169" s="29">
        <v>4</v>
      </c>
      <c r="C1169" s="517" t="s">
        <v>573</v>
      </c>
      <c r="D1169" s="518">
        <v>11</v>
      </c>
      <c r="E1169" s="518">
        <v>1983</v>
      </c>
      <c r="F1169" s="707">
        <v>16.7</v>
      </c>
      <c r="G1169" s="707">
        <v>0.7</v>
      </c>
      <c r="H1169" s="707">
        <v>1.9</v>
      </c>
      <c r="I1169" s="707">
        <v>14.1</v>
      </c>
      <c r="J1169" s="713">
        <v>520</v>
      </c>
      <c r="K1169" s="707">
        <v>14.1</v>
      </c>
      <c r="L1169" s="713">
        <v>520</v>
      </c>
      <c r="M1169" s="695">
        <f t="shared" si="180"/>
        <v>0.027115384615384614</v>
      </c>
      <c r="N1169" s="719">
        <v>250.6</v>
      </c>
      <c r="O1169" s="696">
        <f t="shared" si="181"/>
        <v>6.795115384615384</v>
      </c>
      <c r="P1169" s="693">
        <f t="shared" si="182"/>
        <v>1626.923076923077</v>
      </c>
      <c r="Q1169" s="697">
        <f t="shared" si="183"/>
        <v>407.7069230769231</v>
      </c>
      <c r="R1169" s="6"/>
      <c r="S1169" s="63"/>
      <c r="T1169" s="63"/>
    </row>
    <row r="1170" spans="1:20" ht="12.75">
      <c r="A1170" s="1191"/>
      <c r="B1170" s="29">
        <v>5</v>
      </c>
      <c r="C1170" s="517" t="s">
        <v>577</v>
      </c>
      <c r="D1170" s="518">
        <v>4</v>
      </c>
      <c r="E1170" s="518">
        <v>1912</v>
      </c>
      <c r="F1170" s="707">
        <v>3.8</v>
      </c>
      <c r="G1170" s="707"/>
      <c r="H1170" s="707"/>
      <c r="I1170" s="707">
        <v>3.8</v>
      </c>
      <c r="J1170" s="713">
        <v>133</v>
      </c>
      <c r="K1170" s="707">
        <v>3.8</v>
      </c>
      <c r="L1170" s="713">
        <v>133</v>
      </c>
      <c r="M1170" s="695">
        <f t="shared" si="180"/>
        <v>0.02857142857142857</v>
      </c>
      <c r="N1170" s="719">
        <v>250.6</v>
      </c>
      <c r="O1170" s="696">
        <f t="shared" si="181"/>
        <v>7.159999999999999</v>
      </c>
      <c r="P1170" s="693">
        <f t="shared" si="182"/>
        <v>1714.2857142857142</v>
      </c>
      <c r="Q1170" s="697">
        <f t="shared" si="183"/>
        <v>429.6</v>
      </c>
      <c r="R1170" s="6"/>
      <c r="S1170" s="63"/>
      <c r="T1170" s="63"/>
    </row>
    <row r="1171" spans="1:20" ht="12.75">
      <c r="A1171" s="1191"/>
      <c r="B1171" s="29">
        <v>6</v>
      </c>
      <c r="C1171" s="517" t="s">
        <v>576</v>
      </c>
      <c r="D1171" s="518">
        <v>6</v>
      </c>
      <c r="E1171" s="518">
        <v>1961</v>
      </c>
      <c r="F1171" s="707">
        <v>7.2</v>
      </c>
      <c r="G1171" s="707"/>
      <c r="H1171" s="707"/>
      <c r="I1171" s="707">
        <v>7.2</v>
      </c>
      <c r="J1171" s="713">
        <v>250</v>
      </c>
      <c r="K1171" s="707">
        <v>7.2</v>
      </c>
      <c r="L1171" s="713">
        <v>250</v>
      </c>
      <c r="M1171" s="695">
        <f t="shared" si="180"/>
        <v>0.0288</v>
      </c>
      <c r="N1171" s="719">
        <v>250.6</v>
      </c>
      <c r="O1171" s="696">
        <f t="shared" si="181"/>
        <v>7.21728</v>
      </c>
      <c r="P1171" s="693">
        <f t="shared" si="182"/>
        <v>1728</v>
      </c>
      <c r="Q1171" s="697">
        <f t="shared" si="183"/>
        <v>433.03679999999997</v>
      </c>
      <c r="R1171" s="6"/>
      <c r="S1171" s="63"/>
      <c r="T1171" s="63"/>
    </row>
    <row r="1172" spans="1:20" ht="12.75">
      <c r="A1172" s="1191"/>
      <c r="B1172" s="29">
        <v>7</v>
      </c>
      <c r="C1172" s="517" t="s">
        <v>342</v>
      </c>
      <c r="D1172" s="518">
        <v>24</v>
      </c>
      <c r="E1172" s="518">
        <v>1962</v>
      </c>
      <c r="F1172" s="707">
        <v>26.7</v>
      </c>
      <c r="G1172" s="707"/>
      <c r="H1172" s="707"/>
      <c r="I1172" s="707">
        <v>26.7</v>
      </c>
      <c r="J1172" s="713">
        <v>902</v>
      </c>
      <c r="K1172" s="707">
        <v>26.7</v>
      </c>
      <c r="L1172" s="713">
        <v>902</v>
      </c>
      <c r="M1172" s="695">
        <f t="shared" si="180"/>
        <v>0.029600886917960086</v>
      </c>
      <c r="N1172" s="719">
        <v>250.6</v>
      </c>
      <c r="O1172" s="696">
        <f t="shared" si="181"/>
        <v>7.417982261640797</v>
      </c>
      <c r="P1172" s="693">
        <f t="shared" si="182"/>
        <v>1776.0532150776053</v>
      </c>
      <c r="Q1172" s="697">
        <f t="shared" si="183"/>
        <v>445.0789356984479</v>
      </c>
      <c r="R1172" s="6"/>
      <c r="S1172" s="63"/>
      <c r="T1172" s="63"/>
    </row>
    <row r="1173" spans="1:20" ht="12.75">
      <c r="A1173" s="1191"/>
      <c r="B1173" s="29">
        <v>8</v>
      </c>
      <c r="C1173" s="517" t="s">
        <v>575</v>
      </c>
      <c r="D1173" s="518">
        <v>4</v>
      </c>
      <c r="E1173" s="518">
        <v>1892</v>
      </c>
      <c r="F1173" s="707">
        <v>7</v>
      </c>
      <c r="G1173" s="707">
        <v>0.3</v>
      </c>
      <c r="H1173" s="707">
        <v>0.6</v>
      </c>
      <c r="I1173" s="707">
        <v>6.1</v>
      </c>
      <c r="J1173" s="713">
        <v>206</v>
      </c>
      <c r="K1173" s="707">
        <v>6.1</v>
      </c>
      <c r="L1173" s="713">
        <v>206</v>
      </c>
      <c r="M1173" s="695">
        <f t="shared" si="180"/>
        <v>0.029611650485436892</v>
      </c>
      <c r="N1173" s="719">
        <v>250.6</v>
      </c>
      <c r="O1173" s="696">
        <f t="shared" si="181"/>
        <v>7.420679611650485</v>
      </c>
      <c r="P1173" s="693">
        <f t="shared" si="182"/>
        <v>1776.6990291262134</v>
      </c>
      <c r="Q1173" s="697">
        <f t="shared" si="183"/>
        <v>445.2407766990291</v>
      </c>
      <c r="R1173" s="6"/>
      <c r="S1173" s="63"/>
      <c r="T1173" s="63"/>
    </row>
    <row r="1174" spans="1:20" ht="12.75">
      <c r="A1174" s="1191"/>
      <c r="B1174" s="29">
        <v>9</v>
      </c>
      <c r="C1174" s="517" t="s">
        <v>578</v>
      </c>
      <c r="D1174" s="518">
        <v>11</v>
      </c>
      <c r="E1174" s="518">
        <v>1890</v>
      </c>
      <c r="F1174" s="707">
        <v>9.6</v>
      </c>
      <c r="G1174" s="707"/>
      <c r="H1174" s="707"/>
      <c r="I1174" s="707">
        <v>9.6</v>
      </c>
      <c r="J1174" s="713">
        <v>314</v>
      </c>
      <c r="K1174" s="707">
        <v>9.6</v>
      </c>
      <c r="L1174" s="713">
        <v>314</v>
      </c>
      <c r="M1174" s="695">
        <f t="shared" si="180"/>
        <v>0.030573248407643312</v>
      </c>
      <c r="N1174" s="719">
        <v>250.6</v>
      </c>
      <c r="O1174" s="696">
        <f t="shared" si="181"/>
        <v>7.661656050955414</v>
      </c>
      <c r="P1174" s="693">
        <f t="shared" si="182"/>
        <v>1834.3949044585988</v>
      </c>
      <c r="Q1174" s="697">
        <f t="shared" si="183"/>
        <v>459.69936305732483</v>
      </c>
      <c r="R1174" s="6"/>
      <c r="S1174" s="63"/>
      <c r="T1174" s="63"/>
    </row>
    <row r="1175" spans="1:20" ht="13.5" thickBot="1">
      <c r="A1175" s="1192"/>
      <c r="B1175" s="33">
        <v>10</v>
      </c>
      <c r="C1175" s="519" t="s">
        <v>579</v>
      </c>
      <c r="D1175" s="520">
        <v>5</v>
      </c>
      <c r="E1175" s="520">
        <v>1920</v>
      </c>
      <c r="F1175" s="708">
        <v>9.2</v>
      </c>
      <c r="G1175" s="708">
        <v>0.2</v>
      </c>
      <c r="H1175" s="708">
        <v>0.7</v>
      </c>
      <c r="I1175" s="708">
        <v>8.3</v>
      </c>
      <c r="J1175" s="714">
        <v>236</v>
      </c>
      <c r="K1175" s="708">
        <v>8.3</v>
      </c>
      <c r="L1175" s="714">
        <v>236</v>
      </c>
      <c r="M1175" s="698">
        <f t="shared" si="180"/>
        <v>0.03516949152542373</v>
      </c>
      <c r="N1175" s="719">
        <v>250.6</v>
      </c>
      <c r="O1175" s="699">
        <f t="shared" si="181"/>
        <v>8.813474576271187</v>
      </c>
      <c r="P1175" s="699">
        <f t="shared" si="182"/>
        <v>2110.169491525424</v>
      </c>
      <c r="Q1175" s="700">
        <f t="shared" si="183"/>
        <v>528.8084745762712</v>
      </c>
      <c r="R1175" s="6"/>
      <c r="S1175" s="63"/>
      <c r="T1175" s="63"/>
    </row>
    <row r="1176" spans="6:20" ht="12.75"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S1176" s="63"/>
      <c r="T1176" s="63"/>
    </row>
    <row r="1177" spans="19:20" ht="12.75">
      <c r="S1177" s="63"/>
      <c r="T1177" s="63"/>
    </row>
    <row r="1178" spans="19:20" ht="12.75">
      <c r="S1178" s="63"/>
      <c r="T1178" s="63"/>
    </row>
    <row r="1179" spans="19:20" ht="12.75">
      <c r="S1179" s="63"/>
      <c r="T1179" s="63"/>
    </row>
    <row r="1180" spans="1:20" ht="15">
      <c r="A1180" s="1199" t="s">
        <v>976</v>
      </c>
      <c r="B1180" s="1199"/>
      <c r="C1180" s="1199"/>
      <c r="D1180" s="1199"/>
      <c r="E1180" s="1199"/>
      <c r="F1180" s="1199"/>
      <c r="G1180" s="1199"/>
      <c r="H1180" s="1199"/>
      <c r="I1180" s="1199"/>
      <c r="J1180" s="1199"/>
      <c r="K1180" s="1199"/>
      <c r="L1180" s="1199"/>
      <c r="M1180" s="1199"/>
      <c r="N1180" s="1199"/>
      <c r="O1180" s="1199"/>
      <c r="P1180" s="1199"/>
      <c r="Q1180" s="1199"/>
      <c r="S1180" s="63"/>
      <c r="T1180" s="63"/>
    </row>
    <row r="1181" spans="1:20" ht="13.5" thickBot="1">
      <c r="A1181" s="1200" t="s">
        <v>977</v>
      </c>
      <c r="B1181" s="1255"/>
      <c r="C1181" s="1255"/>
      <c r="D1181" s="1255"/>
      <c r="E1181" s="1255"/>
      <c r="F1181" s="1255"/>
      <c r="G1181" s="1255"/>
      <c r="H1181" s="1255"/>
      <c r="I1181" s="1255"/>
      <c r="J1181" s="1255"/>
      <c r="K1181" s="1255"/>
      <c r="L1181" s="1255"/>
      <c r="M1181" s="1255"/>
      <c r="N1181" s="1255"/>
      <c r="O1181" s="1255"/>
      <c r="P1181" s="1255"/>
      <c r="Q1181" s="1255"/>
      <c r="S1181" s="63"/>
      <c r="T1181" s="63"/>
    </row>
    <row r="1182" spans="1:20" ht="12.75" customHeight="1">
      <c r="A1182" s="1201" t="s">
        <v>1</v>
      </c>
      <c r="B1182" s="1203" t="s">
        <v>0</v>
      </c>
      <c r="C1182" s="1193" t="s">
        <v>2</v>
      </c>
      <c r="D1182" s="1193" t="s">
        <v>3</v>
      </c>
      <c r="E1182" s="1193" t="s">
        <v>13</v>
      </c>
      <c r="F1182" s="1207" t="s">
        <v>14</v>
      </c>
      <c r="G1182" s="1208"/>
      <c r="H1182" s="1208"/>
      <c r="I1182" s="1209"/>
      <c r="J1182" s="1193" t="s">
        <v>4</v>
      </c>
      <c r="K1182" s="1193" t="s">
        <v>15</v>
      </c>
      <c r="L1182" s="1193" t="s">
        <v>5</v>
      </c>
      <c r="M1182" s="1193" t="s">
        <v>6</v>
      </c>
      <c r="N1182" s="1193" t="s">
        <v>16</v>
      </c>
      <c r="O1182" s="1195" t="s">
        <v>17</v>
      </c>
      <c r="P1182" s="1193" t="s">
        <v>25</v>
      </c>
      <c r="Q1182" s="1197" t="s">
        <v>26</v>
      </c>
      <c r="S1182" s="63"/>
      <c r="T1182" s="63"/>
    </row>
    <row r="1183" spans="1:20" s="2" customFormat="1" ht="33.75">
      <c r="A1183" s="1202"/>
      <c r="B1183" s="1204"/>
      <c r="C1183" s="1205"/>
      <c r="D1183" s="1194"/>
      <c r="E1183" s="1194"/>
      <c r="F1183" s="26" t="s">
        <v>18</v>
      </c>
      <c r="G1183" s="26" t="s">
        <v>19</v>
      </c>
      <c r="H1183" s="26" t="s">
        <v>20</v>
      </c>
      <c r="I1183" s="26" t="s">
        <v>21</v>
      </c>
      <c r="J1183" s="1194"/>
      <c r="K1183" s="1194"/>
      <c r="L1183" s="1194"/>
      <c r="M1183" s="1194"/>
      <c r="N1183" s="1194"/>
      <c r="O1183" s="1196"/>
      <c r="P1183" s="1194"/>
      <c r="Q1183" s="1198"/>
      <c r="R1183" s="1"/>
      <c r="S1183" s="63"/>
      <c r="T1183" s="63"/>
    </row>
    <row r="1184" spans="1:20" s="3" customFormat="1" ht="13.5" customHeight="1" thickBot="1">
      <c r="A1184" s="1259"/>
      <c r="B1184" s="1256"/>
      <c r="C1184" s="1206"/>
      <c r="D1184" s="42" t="s">
        <v>7</v>
      </c>
      <c r="E1184" s="42" t="s">
        <v>8</v>
      </c>
      <c r="F1184" s="42" t="s">
        <v>9</v>
      </c>
      <c r="G1184" s="42" t="s">
        <v>9</v>
      </c>
      <c r="H1184" s="42" t="s">
        <v>9</v>
      </c>
      <c r="I1184" s="42" t="s">
        <v>9</v>
      </c>
      <c r="J1184" s="42" t="s">
        <v>22</v>
      </c>
      <c r="K1184" s="42" t="s">
        <v>9</v>
      </c>
      <c r="L1184" s="42" t="s">
        <v>22</v>
      </c>
      <c r="M1184" s="42" t="s">
        <v>23</v>
      </c>
      <c r="N1184" s="42" t="s">
        <v>10</v>
      </c>
      <c r="O1184" s="42" t="s">
        <v>24</v>
      </c>
      <c r="P1184" s="43" t="s">
        <v>27</v>
      </c>
      <c r="Q1184" s="44" t="s">
        <v>28</v>
      </c>
      <c r="R1184" s="2"/>
      <c r="S1184" s="63"/>
      <c r="T1184" s="63"/>
    </row>
    <row r="1185" spans="1:20" ht="12.75">
      <c r="A1185" s="1210" t="s">
        <v>48</v>
      </c>
      <c r="B1185" s="485">
        <v>1</v>
      </c>
      <c r="C1185" s="864" t="s">
        <v>978</v>
      </c>
      <c r="D1185" s="865">
        <v>11</v>
      </c>
      <c r="E1185" s="865"/>
      <c r="F1185" s="728">
        <f>G1185+H1185+I1185</f>
        <v>7.456997</v>
      </c>
      <c r="G1185" s="728">
        <v>1.003529</v>
      </c>
      <c r="H1185" s="728">
        <v>1.76</v>
      </c>
      <c r="I1185" s="728">
        <v>4.693468</v>
      </c>
      <c r="J1185" s="948">
        <v>708.61</v>
      </c>
      <c r="K1185" s="728">
        <f>I1185</f>
        <v>4.693468</v>
      </c>
      <c r="L1185" s="948">
        <f>J1185</f>
        <v>708.61</v>
      </c>
      <c r="M1185" s="947">
        <f>K1185/L1185</f>
        <v>0.006623485415108452</v>
      </c>
      <c r="N1185" s="946">
        <v>349.12</v>
      </c>
      <c r="O1185" s="460">
        <f>M1185*N1185</f>
        <v>2.312391228122663</v>
      </c>
      <c r="P1185" s="460">
        <f>M1185*60*1000</f>
        <v>397.40912490650715</v>
      </c>
      <c r="Q1185" s="461">
        <f>P1185*N1185/1000</f>
        <v>138.74347368735977</v>
      </c>
      <c r="R1185" s="3"/>
      <c r="S1185" s="63"/>
      <c r="T1185" s="63"/>
    </row>
    <row r="1186" spans="1:20" ht="12.75">
      <c r="A1186" s="1252"/>
      <c r="B1186" s="487">
        <v>2</v>
      </c>
      <c r="C1186" s="866"/>
      <c r="D1186" s="525"/>
      <c r="E1186" s="525"/>
      <c r="F1186" s="723"/>
      <c r="G1186" s="723"/>
      <c r="H1186" s="723"/>
      <c r="I1186" s="723"/>
      <c r="J1186" s="726"/>
      <c r="K1186" s="723"/>
      <c r="L1186" s="726"/>
      <c r="M1186" s="734"/>
      <c r="N1186" s="720"/>
      <c r="O1186" s="462"/>
      <c r="P1186" s="914"/>
      <c r="Q1186" s="463"/>
      <c r="R1186" s="3"/>
      <c r="S1186" s="63"/>
      <c r="T1186" s="63"/>
    </row>
    <row r="1187" spans="1:20" ht="12.75">
      <c r="A1187" s="1252"/>
      <c r="B1187" s="487">
        <v>3</v>
      </c>
      <c r="C1187" s="866"/>
      <c r="D1187" s="525"/>
      <c r="E1187" s="525"/>
      <c r="F1187" s="723"/>
      <c r="G1187" s="723"/>
      <c r="H1187" s="723"/>
      <c r="I1187" s="723"/>
      <c r="J1187" s="726"/>
      <c r="K1187" s="723"/>
      <c r="L1187" s="726"/>
      <c r="M1187" s="734"/>
      <c r="N1187" s="720"/>
      <c r="O1187" s="462"/>
      <c r="P1187" s="914"/>
      <c r="Q1187" s="463"/>
      <c r="R1187" s="3"/>
      <c r="S1187" s="63"/>
      <c r="T1187" s="63"/>
    </row>
    <row r="1188" spans="1:20" ht="12.75">
      <c r="A1188" s="1252"/>
      <c r="B1188" s="487">
        <v>4</v>
      </c>
      <c r="C1188" s="866"/>
      <c r="D1188" s="525"/>
      <c r="E1188" s="525"/>
      <c r="F1188" s="723"/>
      <c r="G1188" s="723"/>
      <c r="H1188" s="723"/>
      <c r="I1188" s="723"/>
      <c r="J1188" s="726"/>
      <c r="K1188" s="723"/>
      <c r="L1188" s="726"/>
      <c r="M1188" s="734"/>
      <c r="N1188" s="720"/>
      <c r="O1188" s="462"/>
      <c r="P1188" s="914"/>
      <c r="Q1188" s="463"/>
      <c r="R1188" s="3"/>
      <c r="S1188" s="63"/>
      <c r="T1188" s="63"/>
    </row>
    <row r="1189" spans="1:20" ht="12.75">
      <c r="A1189" s="1252"/>
      <c r="B1189" s="488">
        <v>5</v>
      </c>
      <c r="C1189" s="866"/>
      <c r="D1189" s="525"/>
      <c r="E1189" s="525"/>
      <c r="F1189" s="723"/>
      <c r="G1189" s="723"/>
      <c r="H1189" s="723"/>
      <c r="I1189" s="723"/>
      <c r="J1189" s="726"/>
      <c r="K1189" s="723"/>
      <c r="L1189" s="726"/>
      <c r="M1189" s="734"/>
      <c r="N1189" s="720"/>
      <c r="O1189" s="462"/>
      <c r="P1189" s="914"/>
      <c r="Q1189" s="463"/>
      <c r="R1189" s="3"/>
      <c r="S1189" s="63"/>
      <c r="T1189" s="63"/>
    </row>
    <row r="1190" spans="1:20" ht="12.75">
      <c r="A1190" s="1211"/>
      <c r="B1190" s="487">
        <v>6</v>
      </c>
      <c r="C1190" s="866"/>
      <c r="D1190" s="525"/>
      <c r="E1190" s="525"/>
      <c r="F1190" s="723"/>
      <c r="G1190" s="723"/>
      <c r="H1190" s="723"/>
      <c r="I1190" s="723"/>
      <c r="J1190" s="726"/>
      <c r="K1190" s="723"/>
      <c r="L1190" s="726"/>
      <c r="M1190" s="734"/>
      <c r="N1190" s="720"/>
      <c r="O1190" s="462"/>
      <c r="P1190" s="914"/>
      <c r="Q1190" s="463"/>
      <c r="R1190" s="6"/>
      <c r="S1190" s="63"/>
      <c r="T1190" s="63"/>
    </row>
    <row r="1191" spans="1:20" ht="13.5" thickBot="1">
      <c r="A1191" s="1211"/>
      <c r="B1191" s="487">
        <v>7</v>
      </c>
      <c r="C1191" s="866"/>
      <c r="D1191" s="525"/>
      <c r="E1191" s="525"/>
      <c r="F1191" s="723"/>
      <c r="G1191" s="723"/>
      <c r="H1191" s="723"/>
      <c r="I1191" s="723"/>
      <c r="J1191" s="726"/>
      <c r="K1191" s="723"/>
      <c r="L1191" s="727"/>
      <c r="M1191" s="735"/>
      <c r="N1191" s="721"/>
      <c r="O1191" s="541"/>
      <c r="P1191" s="541"/>
      <c r="Q1191" s="542"/>
      <c r="R1191" s="6"/>
      <c r="S1191" s="63"/>
      <c r="T1191" s="63"/>
    </row>
    <row r="1192" spans="1:20" ht="12.75" customHeight="1">
      <c r="A1192" s="1257" t="s">
        <v>12</v>
      </c>
      <c r="B1192" s="27">
        <v>1</v>
      </c>
      <c r="C1192" s="911" t="s">
        <v>979</v>
      </c>
      <c r="D1192" s="912">
        <v>50</v>
      </c>
      <c r="E1192" s="912">
        <v>1972</v>
      </c>
      <c r="F1192" s="356">
        <f aca="true" t="shared" si="184" ref="F1192:F1201">G1192+H1192+I1192</f>
        <v>51.95601</v>
      </c>
      <c r="G1192" s="356">
        <v>3.125189</v>
      </c>
      <c r="H1192" s="356">
        <v>8</v>
      </c>
      <c r="I1192" s="356">
        <v>40.830821</v>
      </c>
      <c r="J1192" s="330">
        <v>2563.1</v>
      </c>
      <c r="K1192" s="356">
        <f aca="true" t="shared" si="185" ref="K1192:K1201">I1192</f>
        <v>40.830821</v>
      </c>
      <c r="L1192" s="357">
        <f aca="true" t="shared" si="186" ref="L1192:L1201">J1192</f>
        <v>2563.1</v>
      </c>
      <c r="M1192" s="354">
        <f aca="true" t="shared" si="187" ref="M1192:M1201">K1192/L1192</f>
        <v>0.015930248917326674</v>
      </c>
      <c r="N1192" s="999">
        <v>349.12</v>
      </c>
      <c r="O1192" s="1000">
        <f aca="true" t="shared" si="188" ref="O1192:O1201">M1192*N1192</f>
        <v>5.561568502017089</v>
      </c>
      <c r="P1192" s="1001">
        <f aca="true" t="shared" si="189" ref="P1192:P1201">M1192*60*1000</f>
        <v>955.8149350396004</v>
      </c>
      <c r="Q1192" s="763">
        <f aca="true" t="shared" si="190" ref="Q1192:Q1201">P1192*N1192/1000</f>
        <v>333.6941101210253</v>
      </c>
      <c r="R1192" s="6"/>
      <c r="S1192" s="63"/>
      <c r="T1192" s="63"/>
    </row>
    <row r="1193" spans="1:20" ht="12.75" customHeight="1">
      <c r="A1193" s="1258"/>
      <c r="B1193" s="59">
        <v>2</v>
      </c>
      <c r="C1193" s="135" t="s">
        <v>980</v>
      </c>
      <c r="D1193" s="104">
        <v>44</v>
      </c>
      <c r="E1193" s="104">
        <v>1970</v>
      </c>
      <c r="F1193" s="179">
        <f t="shared" si="184"/>
        <v>46.63901</v>
      </c>
      <c r="G1193" s="179">
        <v>2.738556</v>
      </c>
      <c r="H1193" s="179">
        <v>7.04</v>
      </c>
      <c r="I1193" s="179">
        <v>36.860454</v>
      </c>
      <c r="J1193" s="224">
        <v>2311.09</v>
      </c>
      <c r="K1193" s="179">
        <f t="shared" si="185"/>
        <v>36.860454</v>
      </c>
      <c r="L1193" s="224">
        <f t="shared" si="186"/>
        <v>2311.09</v>
      </c>
      <c r="M1193" s="117">
        <f t="shared" si="187"/>
        <v>0.015949380595303514</v>
      </c>
      <c r="N1193" s="692">
        <f>N1192</f>
        <v>349.12</v>
      </c>
      <c r="O1193" s="696">
        <f t="shared" si="188"/>
        <v>5.568247753432363</v>
      </c>
      <c r="P1193" s="119">
        <f t="shared" si="189"/>
        <v>956.9628357182108</v>
      </c>
      <c r="Q1193" s="120">
        <f t="shared" si="190"/>
        <v>334.0948652059418</v>
      </c>
      <c r="R1193" s="6"/>
      <c r="S1193" s="63"/>
      <c r="T1193" s="63"/>
    </row>
    <row r="1194" spans="1:20" ht="12.75" customHeight="1">
      <c r="A1194" s="1258"/>
      <c r="B1194" s="59">
        <v>3</v>
      </c>
      <c r="C1194" s="135" t="s">
        <v>981</v>
      </c>
      <c r="D1194" s="104">
        <v>20</v>
      </c>
      <c r="E1194" s="104">
        <v>1989</v>
      </c>
      <c r="F1194" s="179">
        <f t="shared" si="184"/>
        <v>22.134999999999998</v>
      </c>
      <c r="G1194" s="179">
        <v>1.984402</v>
      </c>
      <c r="H1194" s="179">
        <v>3.4</v>
      </c>
      <c r="I1194" s="179">
        <v>16.750598</v>
      </c>
      <c r="J1194" s="224">
        <v>1048.7</v>
      </c>
      <c r="K1194" s="179">
        <f t="shared" si="185"/>
        <v>16.750598</v>
      </c>
      <c r="L1194" s="224">
        <f t="shared" si="186"/>
        <v>1048.7</v>
      </c>
      <c r="M1194" s="117">
        <f t="shared" si="187"/>
        <v>0.015972726232478307</v>
      </c>
      <c r="N1194" s="692">
        <v>349.12</v>
      </c>
      <c r="O1194" s="696">
        <f t="shared" si="188"/>
        <v>5.576398182282826</v>
      </c>
      <c r="P1194" s="119">
        <f t="shared" si="189"/>
        <v>958.3635739486984</v>
      </c>
      <c r="Q1194" s="120">
        <f t="shared" si="190"/>
        <v>334.5838909369696</v>
      </c>
      <c r="R1194" s="6"/>
      <c r="S1194" s="63"/>
      <c r="T1194" s="63"/>
    </row>
    <row r="1195" spans="1:20" ht="12.75" customHeight="1">
      <c r="A1195" s="1258"/>
      <c r="B1195" s="59">
        <v>4</v>
      </c>
      <c r="C1195" s="135" t="s">
        <v>982</v>
      </c>
      <c r="D1195" s="104" t="s">
        <v>983</v>
      </c>
      <c r="E1195" s="104">
        <v>1966</v>
      </c>
      <c r="F1195" s="179">
        <f t="shared" si="184"/>
        <v>41.037977999999995</v>
      </c>
      <c r="G1195" s="179">
        <v>2.625</v>
      </c>
      <c r="H1195" s="179">
        <v>7.04</v>
      </c>
      <c r="I1195" s="179">
        <v>31.372978</v>
      </c>
      <c r="J1195" s="224">
        <v>1948.2</v>
      </c>
      <c r="K1195" s="179">
        <f t="shared" si="185"/>
        <v>31.372978</v>
      </c>
      <c r="L1195" s="224">
        <f t="shared" si="186"/>
        <v>1948.2</v>
      </c>
      <c r="M1195" s="117">
        <f t="shared" si="187"/>
        <v>0.01610357150189919</v>
      </c>
      <c r="N1195" s="692">
        <v>349.12</v>
      </c>
      <c r="O1195" s="696">
        <f t="shared" si="188"/>
        <v>5.622078882743045</v>
      </c>
      <c r="P1195" s="119">
        <f t="shared" si="189"/>
        <v>966.2142901139513</v>
      </c>
      <c r="Q1195" s="120">
        <f t="shared" si="190"/>
        <v>337.32473296458267</v>
      </c>
      <c r="R1195" s="6"/>
      <c r="S1195" s="63"/>
      <c r="T1195" s="63"/>
    </row>
    <row r="1196" spans="1:20" ht="12.75">
      <c r="A1196" s="1258"/>
      <c r="B1196" s="29">
        <v>5</v>
      </c>
      <c r="C1196" s="135" t="s">
        <v>984</v>
      </c>
      <c r="D1196" s="104">
        <v>44</v>
      </c>
      <c r="E1196" s="104">
        <v>1968</v>
      </c>
      <c r="F1196" s="179">
        <f t="shared" si="184"/>
        <v>51.908697599999996</v>
      </c>
      <c r="G1196" s="179">
        <v>2.95544</v>
      </c>
      <c r="H1196" s="179">
        <v>7.84</v>
      </c>
      <c r="I1196" s="179">
        <v>41.1132576</v>
      </c>
      <c r="J1196" s="224">
        <v>2515.7</v>
      </c>
      <c r="K1196" s="179">
        <f t="shared" si="185"/>
        <v>41.1132576</v>
      </c>
      <c r="L1196" s="224">
        <f t="shared" si="186"/>
        <v>2515.7</v>
      </c>
      <c r="M1196" s="117">
        <f t="shared" si="187"/>
        <v>0.01634267106570736</v>
      </c>
      <c r="N1196" s="692">
        <v>349.12</v>
      </c>
      <c r="O1196" s="696">
        <f t="shared" si="188"/>
        <v>5.705553322459753</v>
      </c>
      <c r="P1196" s="119">
        <f t="shared" si="189"/>
        <v>980.5602639424416</v>
      </c>
      <c r="Q1196" s="120">
        <f t="shared" si="190"/>
        <v>342.3331993475852</v>
      </c>
      <c r="R1196" s="6"/>
      <c r="S1196" s="63"/>
      <c r="T1196" s="63"/>
    </row>
    <row r="1197" spans="1:20" ht="12.75">
      <c r="A1197" s="1258"/>
      <c r="B1197" s="59">
        <v>6</v>
      </c>
      <c r="C1197" s="135" t="s">
        <v>985</v>
      </c>
      <c r="D1197" s="104">
        <v>30</v>
      </c>
      <c r="E1197" s="104">
        <v>1990</v>
      </c>
      <c r="F1197" s="179">
        <f t="shared" si="184"/>
        <v>33.577999999999996</v>
      </c>
      <c r="G1197" s="179">
        <v>2.201548</v>
      </c>
      <c r="H1197" s="179">
        <v>5.1</v>
      </c>
      <c r="I1197" s="179">
        <v>26.276452</v>
      </c>
      <c r="J1197" s="224">
        <v>1607</v>
      </c>
      <c r="K1197" s="179">
        <f t="shared" si="185"/>
        <v>26.276452</v>
      </c>
      <c r="L1197" s="224">
        <f t="shared" si="186"/>
        <v>1607</v>
      </c>
      <c r="M1197" s="117">
        <f t="shared" si="187"/>
        <v>0.016351245799626633</v>
      </c>
      <c r="N1197" s="692">
        <f>N1196</f>
        <v>349.12</v>
      </c>
      <c r="O1197" s="696">
        <f t="shared" si="188"/>
        <v>5.70854693356565</v>
      </c>
      <c r="P1197" s="119">
        <f t="shared" si="189"/>
        <v>981.074747977598</v>
      </c>
      <c r="Q1197" s="120">
        <f t="shared" si="190"/>
        <v>342.512816013939</v>
      </c>
      <c r="R1197" s="6"/>
      <c r="S1197" s="63"/>
      <c r="T1197" s="63"/>
    </row>
    <row r="1198" spans="1:20" ht="12.75">
      <c r="A1198" s="1258"/>
      <c r="B1198" s="59">
        <v>7</v>
      </c>
      <c r="C1198" s="135" t="s">
        <v>986</v>
      </c>
      <c r="D1198" s="104">
        <v>22</v>
      </c>
      <c r="E1198" s="104">
        <v>1985</v>
      </c>
      <c r="F1198" s="179">
        <f t="shared" si="184"/>
        <v>27.307006</v>
      </c>
      <c r="G1198" s="179">
        <v>2.450989</v>
      </c>
      <c r="H1198" s="179">
        <v>3.74</v>
      </c>
      <c r="I1198" s="179">
        <v>21.116017</v>
      </c>
      <c r="J1198" s="224">
        <v>1124.8</v>
      </c>
      <c r="K1198" s="179">
        <f t="shared" si="185"/>
        <v>21.116017</v>
      </c>
      <c r="L1198" s="224">
        <f t="shared" si="186"/>
        <v>1124.8</v>
      </c>
      <c r="M1198" s="117">
        <f t="shared" si="187"/>
        <v>0.01877313033428165</v>
      </c>
      <c r="N1198" s="692">
        <v>349.12</v>
      </c>
      <c r="O1198" s="696">
        <f t="shared" si="188"/>
        <v>6.554075262304409</v>
      </c>
      <c r="P1198" s="119">
        <f t="shared" si="189"/>
        <v>1126.387820056899</v>
      </c>
      <c r="Q1198" s="120">
        <f t="shared" si="190"/>
        <v>393.2445157382646</v>
      </c>
      <c r="R1198" s="6"/>
      <c r="S1198" s="63"/>
      <c r="T1198" s="63"/>
    </row>
    <row r="1199" spans="1:20" ht="12.75">
      <c r="A1199" s="1258"/>
      <c r="B1199" s="29">
        <v>8</v>
      </c>
      <c r="C1199" s="209" t="s">
        <v>987</v>
      </c>
      <c r="D1199" s="104">
        <v>22</v>
      </c>
      <c r="E1199" s="104">
        <v>1987</v>
      </c>
      <c r="F1199" s="179">
        <f t="shared" si="184"/>
        <v>28.891097000000002</v>
      </c>
      <c r="G1199" s="179">
        <v>1.94566</v>
      </c>
      <c r="H1199" s="179">
        <v>3.80579</v>
      </c>
      <c r="I1199" s="179">
        <v>23.139647</v>
      </c>
      <c r="J1199" s="224">
        <v>1205.6</v>
      </c>
      <c r="K1199" s="179">
        <f t="shared" si="185"/>
        <v>23.139647</v>
      </c>
      <c r="L1199" s="224">
        <f t="shared" si="186"/>
        <v>1205.6</v>
      </c>
      <c r="M1199" s="117">
        <f t="shared" si="187"/>
        <v>0.0191934696416722</v>
      </c>
      <c r="N1199" s="692">
        <f>N1198</f>
        <v>349.12</v>
      </c>
      <c r="O1199" s="696">
        <f t="shared" si="188"/>
        <v>6.700824121300598</v>
      </c>
      <c r="P1199" s="119">
        <f t="shared" si="189"/>
        <v>1151.608178500332</v>
      </c>
      <c r="Q1199" s="120">
        <f t="shared" si="190"/>
        <v>402.0494472780359</v>
      </c>
      <c r="R1199" s="231"/>
      <c r="S1199" s="63"/>
      <c r="T1199" s="63"/>
    </row>
    <row r="1200" spans="1:20" ht="12.75">
      <c r="A1200" s="1258"/>
      <c r="B1200" s="59">
        <v>9</v>
      </c>
      <c r="C1200" s="135" t="s">
        <v>988</v>
      </c>
      <c r="D1200" s="104">
        <v>9</v>
      </c>
      <c r="E1200" s="104">
        <v>1990</v>
      </c>
      <c r="F1200" s="179">
        <f t="shared" si="184"/>
        <v>11.482001</v>
      </c>
      <c r="G1200" s="179">
        <v>0.708092</v>
      </c>
      <c r="H1200" s="179">
        <v>1.444</v>
      </c>
      <c r="I1200" s="179">
        <v>9.329909</v>
      </c>
      <c r="J1200" s="224">
        <v>464.1</v>
      </c>
      <c r="K1200" s="179">
        <f t="shared" si="185"/>
        <v>9.329909</v>
      </c>
      <c r="L1200" s="224">
        <f t="shared" si="186"/>
        <v>464.1</v>
      </c>
      <c r="M1200" s="117">
        <f t="shared" si="187"/>
        <v>0.020103229907347555</v>
      </c>
      <c r="N1200" s="692">
        <v>349.12</v>
      </c>
      <c r="O1200" s="696">
        <f t="shared" si="188"/>
        <v>7.018439625253179</v>
      </c>
      <c r="P1200" s="119">
        <f t="shared" si="189"/>
        <v>1206.1937944408535</v>
      </c>
      <c r="Q1200" s="120">
        <f t="shared" si="190"/>
        <v>421.10637751519073</v>
      </c>
      <c r="S1200" s="63"/>
      <c r="T1200" s="63"/>
    </row>
    <row r="1201" spans="1:20" ht="13.5" thickBot="1">
      <c r="A1201" s="1258"/>
      <c r="B1201" s="59">
        <v>10</v>
      </c>
      <c r="C1201" s="343" t="s">
        <v>989</v>
      </c>
      <c r="D1201" s="335">
        <v>22</v>
      </c>
      <c r="E1201" s="335">
        <v>1987</v>
      </c>
      <c r="F1201" s="997">
        <f t="shared" si="184"/>
        <v>26.847304</v>
      </c>
      <c r="G1201" s="275">
        <v>1.647</v>
      </c>
      <c r="H1201" s="275">
        <v>3.4</v>
      </c>
      <c r="I1201" s="275">
        <v>21.800304</v>
      </c>
      <c r="J1201" s="329">
        <v>1081.6</v>
      </c>
      <c r="K1201" s="297">
        <f t="shared" si="185"/>
        <v>21.800304</v>
      </c>
      <c r="L1201" s="299">
        <f t="shared" si="186"/>
        <v>1081.6</v>
      </c>
      <c r="M1201" s="355">
        <f t="shared" si="187"/>
        <v>0.020155606508875743</v>
      </c>
      <c r="N1201" s="943">
        <f>N1200</f>
        <v>349.12</v>
      </c>
      <c r="O1201" s="1000">
        <f t="shared" si="188"/>
        <v>7.0367253443786995</v>
      </c>
      <c r="P1201" s="771">
        <f t="shared" si="189"/>
        <v>1209.3363905325446</v>
      </c>
      <c r="Q1201" s="1002">
        <f t="shared" si="190"/>
        <v>422.2035206627219</v>
      </c>
      <c r="S1201" s="63"/>
      <c r="T1201" s="63"/>
    </row>
    <row r="1202" spans="1:20" ht="12.75">
      <c r="A1202" s="1144"/>
      <c r="B1202" s="915"/>
      <c r="C1202" s="916"/>
      <c r="D1202" s="326"/>
      <c r="E1202" s="326"/>
      <c r="F1202" s="1143"/>
      <c r="G1202" s="808"/>
      <c r="H1202" s="808"/>
      <c r="I1202" s="808"/>
      <c r="J1202" s="808"/>
      <c r="K1202" s="918"/>
      <c r="L1202" s="917"/>
      <c r="M1202" s="919"/>
      <c r="N1202" s="920"/>
      <c r="O1202" s="1142"/>
      <c r="P1202" s="921"/>
      <c r="Q1202" s="921"/>
      <c r="S1202" s="63"/>
      <c r="T1202" s="63"/>
    </row>
    <row r="1203" spans="1:20" ht="15">
      <c r="A1203" s="1199" t="s">
        <v>250</v>
      </c>
      <c r="B1203" s="1199"/>
      <c r="C1203" s="1199"/>
      <c r="D1203" s="1199"/>
      <c r="E1203" s="1199"/>
      <c r="F1203" s="1199"/>
      <c r="G1203" s="1199"/>
      <c r="H1203" s="1199"/>
      <c r="I1203" s="1199"/>
      <c r="J1203" s="1199"/>
      <c r="K1203" s="1199"/>
      <c r="L1203" s="1199"/>
      <c r="M1203" s="1199"/>
      <c r="N1203" s="1199"/>
      <c r="O1203" s="1199"/>
      <c r="P1203" s="1199"/>
      <c r="Q1203" s="1199"/>
      <c r="S1203" s="63"/>
      <c r="T1203" s="63"/>
    </row>
    <row r="1204" spans="1:20" ht="13.5" thickBot="1">
      <c r="A1204" s="1200" t="s">
        <v>927</v>
      </c>
      <c r="B1204" s="1255"/>
      <c r="C1204" s="1255"/>
      <c r="D1204" s="1255"/>
      <c r="E1204" s="1255"/>
      <c r="F1204" s="1255"/>
      <c r="G1204" s="1255"/>
      <c r="H1204" s="1255"/>
      <c r="I1204" s="1255"/>
      <c r="J1204" s="1255"/>
      <c r="K1204" s="1255"/>
      <c r="L1204" s="1255"/>
      <c r="M1204" s="1255"/>
      <c r="N1204" s="1255"/>
      <c r="O1204" s="1255"/>
      <c r="P1204" s="1255"/>
      <c r="Q1204" s="1255"/>
      <c r="S1204" s="63"/>
      <c r="T1204" s="63"/>
    </row>
    <row r="1205" spans="1:20" ht="12.75" customHeight="1">
      <c r="A1205" s="1201" t="s">
        <v>1</v>
      </c>
      <c r="B1205" s="1203" t="s">
        <v>0</v>
      </c>
      <c r="C1205" s="1193" t="s">
        <v>2</v>
      </c>
      <c r="D1205" s="1193" t="s">
        <v>3</v>
      </c>
      <c r="E1205" s="1193" t="s">
        <v>13</v>
      </c>
      <c r="F1205" s="1207" t="s">
        <v>14</v>
      </c>
      <c r="G1205" s="1208"/>
      <c r="H1205" s="1208"/>
      <c r="I1205" s="1209"/>
      <c r="J1205" s="1193" t="s">
        <v>4</v>
      </c>
      <c r="K1205" s="1193" t="s">
        <v>15</v>
      </c>
      <c r="L1205" s="1193" t="s">
        <v>5</v>
      </c>
      <c r="M1205" s="1193" t="s">
        <v>6</v>
      </c>
      <c r="N1205" s="1193" t="s">
        <v>16</v>
      </c>
      <c r="O1205" s="1195" t="s">
        <v>17</v>
      </c>
      <c r="P1205" s="1193" t="s">
        <v>25</v>
      </c>
      <c r="Q1205" s="1197" t="s">
        <v>26</v>
      </c>
      <c r="S1205" s="63"/>
      <c r="T1205" s="63"/>
    </row>
    <row r="1206" spans="1:20" s="2" customFormat="1" ht="33.75">
      <c r="A1206" s="1202"/>
      <c r="B1206" s="1204"/>
      <c r="C1206" s="1205"/>
      <c r="D1206" s="1194"/>
      <c r="E1206" s="1194"/>
      <c r="F1206" s="26" t="s">
        <v>18</v>
      </c>
      <c r="G1206" s="26" t="s">
        <v>19</v>
      </c>
      <c r="H1206" s="26" t="s">
        <v>20</v>
      </c>
      <c r="I1206" s="26" t="s">
        <v>21</v>
      </c>
      <c r="J1206" s="1194"/>
      <c r="K1206" s="1194"/>
      <c r="L1206" s="1194"/>
      <c r="M1206" s="1194"/>
      <c r="N1206" s="1194"/>
      <c r="O1206" s="1196"/>
      <c r="P1206" s="1194"/>
      <c r="Q1206" s="1198"/>
      <c r="R1206" s="1"/>
      <c r="S1206" s="63"/>
      <c r="T1206" s="63"/>
    </row>
    <row r="1207" spans="1:20" s="3" customFormat="1" ht="13.5" customHeight="1" thickBot="1">
      <c r="A1207" s="1259"/>
      <c r="B1207" s="1256"/>
      <c r="C1207" s="1206"/>
      <c r="D1207" s="42" t="s">
        <v>7</v>
      </c>
      <c r="E1207" s="42" t="s">
        <v>8</v>
      </c>
      <c r="F1207" s="42" t="s">
        <v>9</v>
      </c>
      <c r="G1207" s="42" t="s">
        <v>9</v>
      </c>
      <c r="H1207" s="42" t="s">
        <v>9</v>
      </c>
      <c r="I1207" s="42" t="s">
        <v>9</v>
      </c>
      <c r="J1207" s="42" t="s">
        <v>22</v>
      </c>
      <c r="K1207" s="42" t="s">
        <v>9</v>
      </c>
      <c r="L1207" s="42" t="s">
        <v>22</v>
      </c>
      <c r="M1207" s="42" t="s">
        <v>131</v>
      </c>
      <c r="N1207" s="42" t="s">
        <v>10</v>
      </c>
      <c r="O1207" s="42" t="s">
        <v>132</v>
      </c>
      <c r="P1207" s="43" t="s">
        <v>27</v>
      </c>
      <c r="Q1207" s="44" t="s">
        <v>28</v>
      </c>
      <c r="R1207" s="2"/>
      <c r="S1207" s="63"/>
      <c r="T1207" s="63"/>
    </row>
    <row r="1208" spans="1:20" ht="12.75">
      <c r="A1208" s="1260" t="s">
        <v>11</v>
      </c>
      <c r="B1208" s="20">
        <v>1</v>
      </c>
      <c r="C1208" s="163" t="s">
        <v>928</v>
      </c>
      <c r="D1208" s="126">
        <v>40</v>
      </c>
      <c r="E1208" s="126" t="s">
        <v>401</v>
      </c>
      <c r="F1208" s="856"/>
      <c r="G1208" s="207">
        <v>4.043124</v>
      </c>
      <c r="H1208" s="207">
        <v>6.17</v>
      </c>
      <c r="I1208" s="207">
        <v>9.196559</v>
      </c>
      <c r="J1208" s="219">
        <v>2233.8</v>
      </c>
      <c r="K1208" s="207">
        <v>9.196559</v>
      </c>
      <c r="L1208" s="219">
        <v>2233.8</v>
      </c>
      <c r="M1208" s="139">
        <f>K1208/L1208</f>
        <v>0.004117001969737666</v>
      </c>
      <c r="N1208" s="127">
        <v>279.803</v>
      </c>
      <c r="O1208" s="460">
        <f>M1208*N1208</f>
        <v>1.1519495021385082</v>
      </c>
      <c r="P1208" s="460">
        <f>M1208*60*1000</f>
        <v>247.02011818425999</v>
      </c>
      <c r="Q1208" s="461">
        <f>P1208*N1208/1000</f>
        <v>69.1169701283105</v>
      </c>
      <c r="R1208" s="3"/>
      <c r="S1208" s="63"/>
      <c r="T1208" s="63"/>
    </row>
    <row r="1209" spans="1:20" ht="12.75">
      <c r="A1209" s="1211"/>
      <c r="B1209" s="21">
        <v>2</v>
      </c>
      <c r="C1209" s="125" t="s">
        <v>929</v>
      </c>
      <c r="D1209" s="99">
        <v>45</v>
      </c>
      <c r="E1209" s="99" t="s">
        <v>401</v>
      </c>
      <c r="F1209" s="882"/>
      <c r="G1209" s="202">
        <v>3.576408</v>
      </c>
      <c r="H1209" s="202">
        <v>6.8</v>
      </c>
      <c r="I1209" s="202">
        <v>4.237276</v>
      </c>
      <c r="J1209" s="220">
        <v>2290.41</v>
      </c>
      <c r="K1209" s="202">
        <v>14.12379</v>
      </c>
      <c r="L1209" s="220">
        <v>2290.41</v>
      </c>
      <c r="M1209" s="108">
        <f aca="true" t="shared" si="191" ref="M1209:M1214">K1209/L1209</f>
        <v>0.006166489842429958</v>
      </c>
      <c r="N1209" s="109">
        <v>279.803</v>
      </c>
      <c r="O1209" s="462">
        <f aca="true" t="shared" si="192" ref="O1209:O1214">M1209*N1209</f>
        <v>1.7254023573814294</v>
      </c>
      <c r="P1209" s="460">
        <f aca="true" t="shared" si="193" ref="P1209:P1214">M1209*60*1000</f>
        <v>369.9893905457975</v>
      </c>
      <c r="Q1209" s="463">
        <f aca="true" t="shared" si="194" ref="Q1209:Q1214">P1209*N1209/1000</f>
        <v>103.52414144288578</v>
      </c>
      <c r="R1209" s="6"/>
      <c r="S1209" s="63"/>
      <c r="T1209" s="63"/>
    </row>
    <row r="1210" spans="1:20" ht="12.75">
      <c r="A1210" s="1211"/>
      <c r="B1210" s="21">
        <v>3</v>
      </c>
      <c r="C1210" s="125" t="s">
        <v>930</v>
      </c>
      <c r="D1210" s="99">
        <v>40</v>
      </c>
      <c r="E1210" s="99" t="s">
        <v>401</v>
      </c>
      <c r="F1210" s="882"/>
      <c r="G1210" s="202">
        <v>2.43846</v>
      </c>
      <c r="H1210" s="202">
        <v>6.08</v>
      </c>
      <c r="I1210" s="202">
        <v>15.560085</v>
      </c>
      <c r="J1210" s="220">
        <v>2260.27</v>
      </c>
      <c r="K1210" s="202">
        <v>15.560085</v>
      </c>
      <c r="L1210" s="220">
        <v>2260.27</v>
      </c>
      <c r="M1210" s="108">
        <f t="shared" si="191"/>
        <v>0.006884170917633735</v>
      </c>
      <c r="N1210" s="109">
        <v>279.803</v>
      </c>
      <c r="O1210" s="462">
        <f t="shared" si="192"/>
        <v>1.9262116752666718</v>
      </c>
      <c r="P1210" s="460">
        <f t="shared" si="193"/>
        <v>413.05025505802405</v>
      </c>
      <c r="Q1210" s="463">
        <f t="shared" si="194"/>
        <v>115.5727005160003</v>
      </c>
      <c r="S1210" s="63"/>
      <c r="T1210" s="63"/>
    </row>
    <row r="1211" spans="1:20" ht="12.75">
      <c r="A1211" s="1211"/>
      <c r="B1211" s="21">
        <v>4</v>
      </c>
      <c r="C1211" s="125" t="s">
        <v>931</v>
      </c>
      <c r="D1211" s="99">
        <v>45</v>
      </c>
      <c r="E1211" s="99" t="s">
        <v>401</v>
      </c>
      <c r="F1211" s="882"/>
      <c r="G1211" s="202">
        <v>3.363438</v>
      </c>
      <c r="H1211" s="202">
        <v>6.48</v>
      </c>
      <c r="I1211" s="202">
        <v>17.305891</v>
      </c>
      <c r="J1211" s="220">
        <v>2324.7</v>
      </c>
      <c r="K1211" s="202">
        <v>17.305891</v>
      </c>
      <c r="L1211" s="220">
        <v>2324.7</v>
      </c>
      <c r="M1211" s="108">
        <f t="shared" si="191"/>
        <v>0.0074443545403708004</v>
      </c>
      <c r="N1211" s="109">
        <v>279.803</v>
      </c>
      <c r="O1211" s="462">
        <f t="shared" si="192"/>
        <v>2.082952733459371</v>
      </c>
      <c r="P1211" s="460">
        <f t="shared" si="193"/>
        <v>446.66127242224803</v>
      </c>
      <c r="Q1211" s="463">
        <f t="shared" si="194"/>
        <v>124.97716400756227</v>
      </c>
      <c r="S1211" s="63"/>
      <c r="T1211" s="63"/>
    </row>
    <row r="1212" spans="1:20" ht="12.75">
      <c r="A1212" s="1211"/>
      <c r="B1212" s="21">
        <v>5</v>
      </c>
      <c r="C1212" s="125" t="s">
        <v>932</v>
      </c>
      <c r="D1212" s="99">
        <v>40</v>
      </c>
      <c r="E1212" s="99" t="s">
        <v>401</v>
      </c>
      <c r="F1212" s="882"/>
      <c r="G1212" s="202">
        <v>4.368252</v>
      </c>
      <c r="H1212" s="202">
        <v>6.32</v>
      </c>
      <c r="I1212" s="202">
        <v>18.311381</v>
      </c>
      <c r="J1212" s="220">
        <v>2370.01</v>
      </c>
      <c r="K1212" s="202">
        <v>18.3011381</v>
      </c>
      <c r="L1212" s="220">
        <v>2370.01</v>
      </c>
      <c r="M1212" s="108">
        <f t="shared" si="191"/>
        <v>0.007721966616174614</v>
      </c>
      <c r="N1212" s="109">
        <v>279.803</v>
      </c>
      <c r="O1212" s="462">
        <f t="shared" si="192"/>
        <v>2.1606294251055056</v>
      </c>
      <c r="P1212" s="460">
        <f t="shared" si="193"/>
        <v>463.3179969704769</v>
      </c>
      <c r="Q1212" s="463">
        <f t="shared" si="194"/>
        <v>129.63776550633034</v>
      </c>
      <c r="S1212" s="63"/>
      <c r="T1212" s="63"/>
    </row>
    <row r="1213" spans="1:20" ht="12.75">
      <c r="A1213" s="1211"/>
      <c r="B1213" s="21">
        <v>6</v>
      </c>
      <c r="C1213" s="125" t="s">
        <v>933</v>
      </c>
      <c r="D1213" s="99">
        <v>8</v>
      </c>
      <c r="E1213" s="99" t="s">
        <v>401</v>
      </c>
      <c r="F1213" s="882"/>
      <c r="G1213" s="202">
        <v>0</v>
      </c>
      <c r="H1213" s="202">
        <v>0</v>
      </c>
      <c r="I1213" s="202">
        <v>3.766</v>
      </c>
      <c r="J1213" s="220">
        <v>487.4</v>
      </c>
      <c r="K1213" s="202">
        <v>3.766</v>
      </c>
      <c r="L1213" s="220">
        <v>487.4</v>
      </c>
      <c r="M1213" s="108">
        <f t="shared" si="191"/>
        <v>0.007726713171932705</v>
      </c>
      <c r="N1213" s="109">
        <v>279.803</v>
      </c>
      <c r="O1213" s="462">
        <f t="shared" si="192"/>
        <v>2.1619575256462866</v>
      </c>
      <c r="P1213" s="460">
        <f t="shared" si="193"/>
        <v>463.6027903159623</v>
      </c>
      <c r="Q1213" s="463">
        <f t="shared" si="194"/>
        <v>129.7174515387772</v>
      </c>
      <c r="S1213" s="63"/>
      <c r="T1213" s="63"/>
    </row>
    <row r="1214" spans="1:20" ht="12.75">
      <c r="A1214" s="1211"/>
      <c r="B1214" s="21">
        <v>7</v>
      </c>
      <c r="C1214" s="125" t="s">
        <v>934</v>
      </c>
      <c r="D1214" s="99">
        <v>8</v>
      </c>
      <c r="E1214" s="99" t="s">
        <v>401</v>
      </c>
      <c r="F1214" s="882"/>
      <c r="G1214" s="202">
        <v>0</v>
      </c>
      <c r="H1214" s="202">
        <v>0</v>
      </c>
      <c r="I1214" s="202">
        <v>4.126214</v>
      </c>
      <c r="J1214" s="220">
        <v>478.14</v>
      </c>
      <c r="K1214" s="202">
        <v>4.126214</v>
      </c>
      <c r="L1214" s="220">
        <v>478.14</v>
      </c>
      <c r="M1214" s="108">
        <f t="shared" si="191"/>
        <v>0.0086297193290668</v>
      </c>
      <c r="N1214" s="109">
        <v>279.803</v>
      </c>
      <c r="O1214" s="462">
        <f t="shared" si="192"/>
        <v>2.414621357430878</v>
      </c>
      <c r="P1214" s="460">
        <f t="shared" si="193"/>
        <v>517.783159744008</v>
      </c>
      <c r="Q1214" s="463">
        <f t="shared" si="194"/>
        <v>144.87728144585265</v>
      </c>
      <c r="S1214" s="63"/>
      <c r="T1214" s="63"/>
    </row>
    <row r="1215" spans="1:20" ht="12.75">
      <c r="A1215" s="1211"/>
      <c r="B1215" s="21">
        <v>8</v>
      </c>
      <c r="C1215" s="184"/>
      <c r="D1215" s="99"/>
      <c r="E1215" s="99"/>
      <c r="F1215" s="202"/>
      <c r="G1215" s="202"/>
      <c r="H1215" s="202"/>
      <c r="I1215" s="202"/>
      <c r="J1215" s="220"/>
      <c r="K1215" s="202"/>
      <c r="L1215" s="220"/>
      <c r="M1215" s="108"/>
      <c r="N1215" s="127"/>
      <c r="O1215" s="110"/>
      <c r="P1215" s="130"/>
      <c r="Q1215" s="111"/>
      <c r="S1215" s="63"/>
      <c r="T1215" s="63"/>
    </row>
    <row r="1216" spans="1:20" ht="12.75">
      <c r="A1216" s="1211"/>
      <c r="B1216" s="21">
        <v>9</v>
      </c>
      <c r="C1216" s="46"/>
      <c r="D1216" s="147"/>
      <c r="E1216" s="149"/>
      <c r="F1216" s="97"/>
      <c r="G1216" s="160"/>
      <c r="H1216" s="160"/>
      <c r="I1216" s="160"/>
      <c r="J1216" s="149"/>
      <c r="K1216" s="160"/>
      <c r="L1216" s="331"/>
      <c r="M1216" s="256"/>
      <c r="N1216" s="159"/>
      <c r="O1216" s="159"/>
      <c r="P1216" s="93"/>
      <c r="Q1216" s="240"/>
      <c r="S1216" s="63"/>
      <c r="T1216" s="63"/>
    </row>
    <row r="1217" spans="1:20" ht="13.5" thickBot="1">
      <c r="A1217" s="1212"/>
      <c r="B1217" s="47" t="s">
        <v>43</v>
      </c>
      <c r="C1217" s="48"/>
      <c r="D1217" s="199"/>
      <c r="E1217" s="199"/>
      <c r="F1217" s="195"/>
      <c r="G1217" s="195"/>
      <c r="H1217" s="195"/>
      <c r="I1217" s="195"/>
      <c r="J1217" s="277"/>
      <c r="K1217" s="195"/>
      <c r="L1217" s="277"/>
      <c r="M1217" s="241"/>
      <c r="N1217" s="94"/>
      <c r="O1217" s="94"/>
      <c r="P1217" s="94"/>
      <c r="Q1217" s="95"/>
      <c r="S1217" s="63"/>
      <c r="T1217" s="63"/>
    </row>
    <row r="1218" spans="1:20" ht="11.25" customHeight="1">
      <c r="A1218" s="1242" t="s">
        <v>29</v>
      </c>
      <c r="B1218" s="361">
        <v>1</v>
      </c>
      <c r="C1218" s="362" t="s">
        <v>935</v>
      </c>
      <c r="D1218" s="363">
        <v>24</v>
      </c>
      <c r="E1218" s="363" t="s">
        <v>401</v>
      </c>
      <c r="F1218" s="857"/>
      <c r="G1218" s="365">
        <v>1.793448</v>
      </c>
      <c r="H1218" s="365">
        <v>3.68</v>
      </c>
      <c r="I1218" s="364">
        <v>13.686139</v>
      </c>
      <c r="J1218" s="366">
        <v>971.5</v>
      </c>
      <c r="K1218" s="365">
        <v>13.686139</v>
      </c>
      <c r="L1218" s="366">
        <v>971.5</v>
      </c>
      <c r="M1218" s="367">
        <f aca="true" t="shared" si="195" ref="M1218:M1224">K1218/L1218</f>
        <v>0.014087636644364385</v>
      </c>
      <c r="N1218" s="368">
        <v>279.803</v>
      </c>
      <c r="O1218" s="369">
        <f aca="true" t="shared" si="196" ref="O1218:O1224">M1218*N1218</f>
        <v>3.941762996003088</v>
      </c>
      <c r="P1218" s="369">
        <f aca="true" t="shared" si="197" ref="P1218:P1224">M1218*60*1000</f>
        <v>845.2581986618632</v>
      </c>
      <c r="Q1218" s="370">
        <f aca="true" t="shared" si="198" ref="Q1218:Q1224">P1218*N1218/1000</f>
        <v>236.5057797601853</v>
      </c>
      <c r="S1218" s="63"/>
      <c r="T1218" s="63"/>
    </row>
    <row r="1219" spans="1:20" ht="12.75" customHeight="1">
      <c r="A1219" s="1243"/>
      <c r="B1219" s="371">
        <v>2</v>
      </c>
      <c r="C1219" s="362" t="s">
        <v>541</v>
      </c>
      <c r="D1219" s="363">
        <v>44</v>
      </c>
      <c r="E1219" s="363" t="s">
        <v>401</v>
      </c>
      <c r="F1219" s="858"/>
      <c r="G1219" s="364">
        <v>2.620644</v>
      </c>
      <c r="H1219" s="364">
        <v>6.89</v>
      </c>
      <c r="I1219" s="364">
        <v>26.383444</v>
      </c>
      <c r="J1219" s="372">
        <v>1862.58</v>
      </c>
      <c r="K1219" s="364">
        <v>26.383444</v>
      </c>
      <c r="L1219" s="372">
        <v>1862.58</v>
      </c>
      <c r="M1219" s="367">
        <f t="shared" si="195"/>
        <v>0.014164999087287527</v>
      </c>
      <c r="N1219" s="373">
        <v>279.803</v>
      </c>
      <c r="O1219" s="369">
        <f t="shared" si="196"/>
        <v>3.963409239620312</v>
      </c>
      <c r="P1219" s="369">
        <f t="shared" si="197"/>
        <v>849.8999452372517</v>
      </c>
      <c r="Q1219" s="370">
        <f t="shared" si="198"/>
        <v>237.80455437721875</v>
      </c>
      <c r="S1219" s="63"/>
      <c r="T1219" s="63"/>
    </row>
    <row r="1220" spans="1:20" ht="12.75" customHeight="1">
      <c r="A1220" s="1243"/>
      <c r="B1220" s="371">
        <v>3</v>
      </c>
      <c r="C1220" s="362" t="s">
        <v>542</v>
      </c>
      <c r="D1220" s="363">
        <v>41</v>
      </c>
      <c r="E1220" s="363" t="s">
        <v>401</v>
      </c>
      <c r="F1220" s="858"/>
      <c r="G1220" s="364">
        <v>2.941884</v>
      </c>
      <c r="H1220" s="364">
        <v>6.32</v>
      </c>
      <c r="I1220" s="364">
        <v>33.255317</v>
      </c>
      <c r="J1220" s="372">
        <v>2247.74</v>
      </c>
      <c r="K1220" s="364">
        <v>33.255317</v>
      </c>
      <c r="L1220" s="372">
        <v>2247.74</v>
      </c>
      <c r="M1220" s="374">
        <f t="shared" si="195"/>
        <v>0.01479500164609786</v>
      </c>
      <c r="N1220" s="373">
        <v>279.803</v>
      </c>
      <c r="O1220" s="369">
        <f t="shared" si="196"/>
        <v>4.139685845583119</v>
      </c>
      <c r="P1220" s="369">
        <f t="shared" si="197"/>
        <v>887.7000987658715</v>
      </c>
      <c r="Q1220" s="375">
        <f t="shared" si="198"/>
        <v>248.38115073498713</v>
      </c>
      <c r="S1220" s="63"/>
      <c r="T1220" s="63"/>
    </row>
    <row r="1221" spans="1:20" ht="12.75" customHeight="1">
      <c r="A1221" s="1243"/>
      <c r="B1221" s="371">
        <v>4</v>
      </c>
      <c r="C1221" s="362" t="s">
        <v>936</v>
      </c>
      <c r="D1221" s="363">
        <v>91</v>
      </c>
      <c r="E1221" s="363" t="s">
        <v>401</v>
      </c>
      <c r="F1221" s="858"/>
      <c r="G1221" s="364">
        <v>6.104016</v>
      </c>
      <c r="H1221" s="364">
        <v>11.92</v>
      </c>
      <c r="I1221" s="364">
        <v>66.626393</v>
      </c>
      <c r="J1221" s="372">
        <v>4482.03</v>
      </c>
      <c r="K1221" s="364">
        <v>66.626393</v>
      </c>
      <c r="L1221" s="372">
        <v>4482.03</v>
      </c>
      <c r="M1221" s="374">
        <f t="shared" si="195"/>
        <v>0.014865226917267398</v>
      </c>
      <c r="N1221" s="373">
        <v>279.803</v>
      </c>
      <c r="O1221" s="376">
        <f t="shared" si="196"/>
        <v>4.1593350871321695</v>
      </c>
      <c r="P1221" s="369">
        <f t="shared" si="197"/>
        <v>891.9136150360438</v>
      </c>
      <c r="Q1221" s="375">
        <f t="shared" si="198"/>
        <v>249.56010522793014</v>
      </c>
      <c r="S1221" s="63"/>
      <c r="T1221" s="63"/>
    </row>
    <row r="1222" spans="1:20" ht="12.75" customHeight="1">
      <c r="A1222" s="1243"/>
      <c r="B1222" s="371">
        <v>5</v>
      </c>
      <c r="C1222" s="362" t="s">
        <v>937</v>
      </c>
      <c r="D1222" s="363">
        <v>60</v>
      </c>
      <c r="E1222" s="363" t="s">
        <v>401</v>
      </c>
      <c r="F1222" s="858"/>
      <c r="G1222" s="364">
        <v>4.08954</v>
      </c>
      <c r="H1222" s="364">
        <v>8</v>
      </c>
      <c r="I1222" s="364">
        <v>46.839986</v>
      </c>
      <c r="J1222" s="372">
        <v>3129.7</v>
      </c>
      <c r="K1222" s="364">
        <v>46.839986</v>
      </c>
      <c r="L1222" s="372">
        <v>3129.7</v>
      </c>
      <c r="M1222" s="374">
        <f t="shared" si="195"/>
        <v>0.014966286225516824</v>
      </c>
      <c r="N1222" s="373">
        <v>279.803</v>
      </c>
      <c r="O1222" s="376">
        <f t="shared" si="196"/>
        <v>4.187611784758284</v>
      </c>
      <c r="P1222" s="369">
        <f t="shared" si="197"/>
        <v>897.9771735310095</v>
      </c>
      <c r="Q1222" s="375">
        <f t="shared" si="198"/>
        <v>251.25670708549703</v>
      </c>
      <c r="S1222" s="63"/>
      <c r="T1222" s="63"/>
    </row>
    <row r="1223" spans="1:20" ht="12.75" customHeight="1">
      <c r="A1223" s="1243"/>
      <c r="B1223" s="371">
        <v>6</v>
      </c>
      <c r="C1223" s="362" t="s">
        <v>938</v>
      </c>
      <c r="D1223" s="363">
        <v>50</v>
      </c>
      <c r="E1223" s="363" t="s">
        <v>401</v>
      </c>
      <c r="F1223" s="858"/>
      <c r="G1223" s="364">
        <v>2.13447</v>
      </c>
      <c r="H1223" s="364">
        <v>7.84</v>
      </c>
      <c r="I1223" s="364">
        <v>39.112857</v>
      </c>
      <c r="J1223" s="372">
        <v>2611.47</v>
      </c>
      <c r="K1223" s="364">
        <v>39.112857</v>
      </c>
      <c r="L1223" s="372">
        <v>2611.47</v>
      </c>
      <c r="M1223" s="374">
        <f t="shared" si="195"/>
        <v>0.014977333455869683</v>
      </c>
      <c r="N1223" s="373">
        <v>279.803</v>
      </c>
      <c r="O1223" s="376">
        <f t="shared" si="196"/>
        <v>4.190702832952705</v>
      </c>
      <c r="P1223" s="369">
        <f t="shared" si="197"/>
        <v>898.640007352181</v>
      </c>
      <c r="Q1223" s="375">
        <f t="shared" si="198"/>
        <v>251.4421699771623</v>
      </c>
      <c r="S1223" s="63"/>
      <c r="T1223" s="63"/>
    </row>
    <row r="1224" spans="1:20" ht="12.75" customHeight="1">
      <c r="A1224" s="1243"/>
      <c r="B1224" s="371">
        <v>7</v>
      </c>
      <c r="C1224" s="362" t="s">
        <v>939</v>
      </c>
      <c r="D1224" s="363">
        <v>91</v>
      </c>
      <c r="E1224" s="363" t="s">
        <v>401</v>
      </c>
      <c r="F1224" s="858"/>
      <c r="G1224" s="364">
        <v>4.61812</v>
      </c>
      <c r="H1224" s="364">
        <v>10.42</v>
      </c>
      <c r="I1224" s="364">
        <v>68.283472</v>
      </c>
      <c r="J1224" s="372">
        <v>4546.17</v>
      </c>
      <c r="K1224" s="364">
        <v>68.283472</v>
      </c>
      <c r="L1224" s="372">
        <v>4546.17</v>
      </c>
      <c r="M1224" s="374">
        <f t="shared" si="195"/>
        <v>0.015019999692048472</v>
      </c>
      <c r="N1224" s="373">
        <v>279.803</v>
      </c>
      <c r="O1224" s="376">
        <f t="shared" si="196"/>
        <v>4.202640973834239</v>
      </c>
      <c r="P1224" s="369">
        <f t="shared" si="197"/>
        <v>901.1999815229083</v>
      </c>
      <c r="Q1224" s="375">
        <f t="shared" si="198"/>
        <v>252.1584584300543</v>
      </c>
      <c r="S1224" s="63"/>
      <c r="T1224" s="63"/>
    </row>
    <row r="1225" spans="1:20" ht="12.75" customHeight="1">
      <c r="A1225" s="1243"/>
      <c r="B1225" s="377">
        <v>8</v>
      </c>
      <c r="C1225" s="378"/>
      <c r="D1225" s="377"/>
      <c r="E1225" s="377"/>
      <c r="F1225" s="379"/>
      <c r="G1225" s="379"/>
      <c r="H1225" s="379"/>
      <c r="I1225" s="379"/>
      <c r="J1225" s="380"/>
      <c r="K1225" s="379"/>
      <c r="L1225" s="380"/>
      <c r="M1225" s="381"/>
      <c r="N1225" s="382"/>
      <c r="O1225" s="382"/>
      <c r="P1225" s="382"/>
      <c r="Q1225" s="383"/>
      <c r="S1225" s="63"/>
      <c r="T1225" s="63"/>
    </row>
    <row r="1226" spans="1:20" ht="12.75" customHeight="1">
      <c r="A1226" s="1243"/>
      <c r="B1226" s="377">
        <v>9</v>
      </c>
      <c r="C1226" s="384"/>
      <c r="D1226" s="377"/>
      <c r="E1226" s="377"/>
      <c r="F1226" s="379"/>
      <c r="G1226" s="379"/>
      <c r="H1226" s="379"/>
      <c r="I1226" s="379"/>
      <c r="J1226" s="380"/>
      <c r="K1226" s="379"/>
      <c r="L1226" s="380"/>
      <c r="M1226" s="381"/>
      <c r="N1226" s="382"/>
      <c r="O1226" s="385"/>
      <c r="P1226" s="382"/>
      <c r="Q1226" s="383"/>
      <c r="S1226" s="63"/>
      <c r="T1226" s="63"/>
    </row>
    <row r="1227" spans="1:20" ht="13.5" customHeight="1" thickBot="1">
      <c r="A1227" s="1244"/>
      <c r="B1227" s="386"/>
      <c r="C1227" s="387"/>
      <c r="D1227" s="388"/>
      <c r="E1227" s="388"/>
      <c r="F1227" s="389"/>
      <c r="G1227" s="389"/>
      <c r="H1227" s="389"/>
      <c r="I1227" s="389"/>
      <c r="J1227" s="390"/>
      <c r="K1227" s="389"/>
      <c r="L1227" s="390"/>
      <c r="M1227" s="391"/>
      <c r="N1227" s="392"/>
      <c r="O1227" s="393"/>
      <c r="P1227" s="392"/>
      <c r="Q1227" s="394"/>
      <c r="S1227" s="63"/>
      <c r="T1227" s="63"/>
    </row>
    <row r="1228" spans="1:20" ht="12.75">
      <c r="A1228" s="1187" t="s">
        <v>30</v>
      </c>
      <c r="B1228" s="90">
        <v>1</v>
      </c>
      <c r="C1228" s="176" t="s">
        <v>940</v>
      </c>
      <c r="D1228" s="178">
        <v>12</v>
      </c>
      <c r="E1228" s="178" t="s">
        <v>401</v>
      </c>
      <c r="F1228" s="861">
        <f aca="true" t="shared" si="199" ref="F1228:F1233">+G1228+H1228+I1228</f>
        <v>17.488651</v>
      </c>
      <c r="G1228" s="252">
        <v>1.772472</v>
      </c>
      <c r="H1228" s="252">
        <v>1.92</v>
      </c>
      <c r="I1228" s="252">
        <v>13.796179</v>
      </c>
      <c r="J1228" s="225">
        <v>597.69</v>
      </c>
      <c r="K1228" s="252">
        <v>13.796179</v>
      </c>
      <c r="L1228" s="298">
        <v>597.69</v>
      </c>
      <c r="M1228" s="170">
        <f aca="true" t="shared" si="200" ref="M1228:M1233">K1228/L1228</f>
        <v>0.023082499288929043</v>
      </c>
      <c r="N1228" s="181">
        <v>279.803</v>
      </c>
      <c r="O1228" s="169">
        <f aca="true" t="shared" si="201" ref="O1228:O1233">M1228*N1228</f>
        <v>6.458552548540213</v>
      </c>
      <c r="P1228" s="169">
        <f aca="true" t="shared" si="202" ref="P1228:P1233">M1228*60*1000</f>
        <v>1384.9499573357427</v>
      </c>
      <c r="Q1228" s="171">
        <f aca="true" t="shared" si="203" ref="Q1228:Q1233">P1228*N1228/1000</f>
        <v>387.5131529124128</v>
      </c>
      <c r="S1228" s="63"/>
      <c r="T1228" s="63"/>
    </row>
    <row r="1229" spans="1:20" ht="12.75">
      <c r="A1229" s="1188"/>
      <c r="B1229" s="91">
        <v>2</v>
      </c>
      <c r="C1229" s="166" t="s">
        <v>543</v>
      </c>
      <c r="D1229" s="102">
        <v>51</v>
      </c>
      <c r="E1229" s="102" t="s">
        <v>401</v>
      </c>
      <c r="F1229" s="861">
        <f t="shared" si="199"/>
        <v>48.328297</v>
      </c>
      <c r="G1229" s="183">
        <v>1.719276</v>
      </c>
      <c r="H1229" s="183">
        <v>0.41</v>
      </c>
      <c r="I1229" s="183">
        <v>46.199021</v>
      </c>
      <c r="J1229" s="226">
        <v>1976.97</v>
      </c>
      <c r="K1229" s="183">
        <v>46.199021</v>
      </c>
      <c r="L1229" s="226">
        <v>1976.97</v>
      </c>
      <c r="M1229" s="113">
        <f t="shared" si="200"/>
        <v>0.02336859992817291</v>
      </c>
      <c r="N1229" s="114">
        <v>279.803</v>
      </c>
      <c r="O1229" s="115">
        <f t="shared" si="201"/>
        <v>6.5386043657025645</v>
      </c>
      <c r="P1229" s="169">
        <f t="shared" si="202"/>
        <v>1402.1159956903746</v>
      </c>
      <c r="Q1229" s="116">
        <f t="shared" si="203"/>
        <v>392.31626194215386</v>
      </c>
      <c r="S1229" s="63"/>
      <c r="T1229" s="63"/>
    </row>
    <row r="1230" spans="1:20" ht="12.75">
      <c r="A1230" s="1188"/>
      <c r="B1230" s="91">
        <v>3</v>
      </c>
      <c r="C1230" s="166" t="s">
        <v>941</v>
      </c>
      <c r="D1230" s="102">
        <v>16</v>
      </c>
      <c r="E1230" s="102" t="s">
        <v>401</v>
      </c>
      <c r="F1230" s="861">
        <f t="shared" si="199"/>
        <v>17.300747</v>
      </c>
      <c r="G1230" s="183">
        <v>0.600912</v>
      </c>
      <c r="H1230" s="183">
        <v>0.14</v>
      </c>
      <c r="I1230" s="183">
        <v>16.559835</v>
      </c>
      <c r="J1230" s="226">
        <v>707.83</v>
      </c>
      <c r="K1230" s="183">
        <v>16.559835</v>
      </c>
      <c r="L1230" s="226">
        <v>707.83</v>
      </c>
      <c r="M1230" s="113">
        <f t="shared" si="200"/>
        <v>0.02339521495274289</v>
      </c>
      <c r="N1230" s="114">
        <v>279.803</v>
      </c>
      <c r="O1230" s="115">
        <f t="shared" si="201"/>
        <v>6.546051329422318</v>
      </c>
      <c r="P1230" s="169">
        <f t="shared" si="202"/>
        <v>1403.7128971645734</v>
      </c>
      <c r="Q1230" s="116">
        <f t="shared" si="203"/>
        <v>392.76307976533917</v>
      </c>
      <c r="S1230" s="63"/>
      <c r="T1230" s="63"/>
    </row>
    <row r="1231" spans="1:20" ht="12.75">
      <c r="A1231" s="1188"/>
      <c r="B1231" s="91">
        <v>4</v>
      </c>
      <c r="C1231" s="166" t="s">
        <v>942</v>
      </c>
      <c r="D1231" s="102">
        <v>48</v>
      </c>
      <c r="E1231" s="102" t="s">
        <v>401</v>
      </c>
      <c r="F1231" s="861">
        <f t="shared" si="199"/>
        <v>46.682254</v>
      </c>
      <c r="G1231" s="183">
        <v>1.546792</v>
      </c>
      <c r="H1231" s="183">
        <v>0.41</v>
      </c>
      <c r="I1231" s="183">
        <v>44.725462</v>
      </c>
      <c r="J1231" s="226">
        <v>1897.76</v>
      </c>
      <c r="K1231" s="183">
        <v>44.725462</v>
      </c>
      <c r="L1231" s="226">
        <v>1897.76</v>
      </c>
      <c r="M1231" s="113">
        <f t="shared" si="200"/>
        <v>0.023567501686198467</v>
      </c>
      <c r="N1231" s="114">
        <v>279.803</v>
      </c>
      <c r="O1231" s="115">
        <f t="shared" si="201"/>
        <v>6.59425767430339</v>
      </c>
      <c r="P1231" s="169">
        <f t="shared" si="202"/>
        <v>1414.050101171908</v>
      </c>
      <c r="Q1231" s="116">
        <f t="shared" si="203"/>
        <v>395.6554604582033</v>
      </c>
      <c r="S1231" s="63"/>
      <c r="T1231" s="63"/>
    </row>
    <row r="1232" spans="1:20" ht="12.75">
      <c r="A1232" s="1188"/>
      <c r="B1232" s="91">
        <v>5</v>
      </c>
      <c r="C1232" s="166" t="s">
        <v>943</v>
      </c>
      <c r="D1232" s="102">
        <v>12</v>
      </c>
      <c r="E1232" s="102" t="s">
        <v>401</v>
      </c>
      <c r="F1232" s="861">
        <f t="shared" si="199"/>
        <v>13.034559</v>
      </c>
      <c r="G1232" s="183">
        <v>0</v>
      </c>
      <c r="H1232" s="183">
        <v>0</v>
      </c>
      <c r="I1232" s="183">
        <v>13.034559</v>
      </c>
      <c r="J1232" s="226">
        <v>532.51</v>
      </c>
      <c r="K1232" s="183">
        <v>13.034559</v>
      </c>
      <c r="L1232" s="226">
        <v>532.51</v>
      </c>
      <c r="M1232" s="113">
        <f t="shared" si="200"/>
        <v>0.024477585397457324</v>
      </c>
      <c r="N1232" s="114">
        <v>279.803</v>
      </c>
      <c r="O1232" s="115">
        <f t="shared" si="201"/>
        <v>6.8489018269647515</v>
      </c>
      <c r="P1232" s="169">
        <f t="shared" si="202"/>
        <v>1468.6551238474394</v>
      </c>
      <c r="Q1232" s="116">
        <f t="shared" si="203"/>
        <v>410.9341096178851</v>
      </c>
      <c r="S1232" s="63"/>
      <c r="T1232" s="63"/>
    </row>
    <row r="1233" spans="1:20" ht="12.75">
      <c r="A1233" s="1188"/>
      <c r="B1233" s="91">
        <v>6</v>
      </c>
      <c r="C1233" s="166" t="s">
        <v>944</v>
      </c>
      <c r="D1233" s="102">
        <v>8</v>
      </c>
      <c r="E1233" s="102" t="s">
        <v>401</v>
      </c>
      <c r="F1233" s="861">
        <f t="shared" si="199"/>
        <v>10.881495</v>
      </c>
      <c r="G1233" s="183">
        <v>0</v>
      </c>
      <c r="H1233" s="183">
        <v>0</v>
      </c>
      <c r="I1233" s="183">
        <v>10.881495</v>
      </c>
      <c r="J1233" s="226">
        <v>435.35</v>
      </c>
      <c r="K1233" s="183">
        <v>10.881495</v>
      </c>
      <c r="L1233" s="226">
        <v>435.35</v>
      </c>
      <c r="M1233" s="113">
        <f t="shared" si="200"/>
        <v>0.02499482025956127</v>
      </c>
      <c r="N1233" s="114">
        <v>279.803</v>
      </c>
      <c r="O1233" s="115">
        <f t="shared" si="201"/>
        <v>6.993625693086022</v>
      </c>
      <c r="P1233" s="169">
        <f t="shared" si="202"/>
        <v>1499.6892155736762</v>
      </c>
      <c r="Q1233" s="116">
        <f t="shared" si="203"/>
        <v>419.6175415851613</v>
      </c>
      <c r="S1233" s="63"/>
      <c r="T1233" s="63"/>
    </row>
    <row r="1234" spans="1:20" ht="12.75">
      <c r="A1234" s="1188"/>
      <c r="B1234" s="91">
        <v>7</v>
      </c>
      <c r="C1234" s="185"/>
      <c r="D1234" s="102"/>
      <c r="E1234" s="102"/>
      <c r="F1234" s="183"/>
      <c r="G1234" s="183"/>
      <c r="H1234" s="183"/>
      <c r="I1234" s="183"/>
      <c r="J1234" s="226"/>
      <c r="K1234" s="183"/>
      <c r="L1234" s="226"/>
      <c r="M1234" s="113"/>
      <c r="N1234" s="114"/>
      <c r="O1234" s="115"/>
      <c r="P1234" s="115"/>
      <c r="Q1234" s="116"/>
      <c r="S1234" s="63"/>
      <c r="T1234" s="63"/>
    </row>
    <row r="1235" spans="1:20" ht="12.75">
      <c r="A1235" s="1188"/>
      <c r="B1235" s="91">
        <v>8</v>
      </c>
      <c r="C1235" s="185"/>
      <c r="D1235" s="102"/>
      <c r="E1235" s="102"/>
      <c r="F1235" s="183"/>
      <c r="G1235" s="183"/>
      <c r="H1235" s="183"/>
      <c r="I1235" s="183"/>
      <c r="J1235" s="226"/>
      <c r="K1235" s="183"/>
      <c r="L1235" s="226"/>
      <c r="M1235" s="113"/>
      <c r="N1235" s="114"/>
      <c r="O1235" s="115"/>
      <c r="P1235" s="115"/>
      <c r="Q1235" s="116"/>
      <c r="S1235" s="63"/>
      <c r="T1235" s="63"/>
    </row>
    <row r="1236" spans="1:20" ht="12.75">
      <c r="A1236" s="1254"/>
      <c r="B1236" s="216">
        <v>9</v>
      </c>
      <c r="C1236" s="185"/>
      <c r="D1236" s="102"/>
      <c r="E1236" s="102"/>
      <c r="F1236" s="183"/>
      <c r="G1236" s="183"/>
      <c r="H1236" s="183"/>
      <c r="I1236" s="183"/>
      <c r="J1236" s="226"/>
      <c r="K1236" s="183"/>
      <c r="L1236" s="226"/>
      <c r="M1236" s="113"/>
      <c r="N1236" s="114"/>
      <c r="O1236" s="115"/>
      <c r="P1236" s="115"/>
      <c r="Q1236" s="116"/>
      <c r="S1236" s="63"/>
      <c r="T1236" s="63"/>
    </row>
    <row r="1237" spans="1:20" ht="13.5" thickBot="1">
      <c r="A1237" s="1254"/>
      <c r="B1237" s="216">
        <v>10</v>
      </c>
      <c r="C1237" s="284"/>
      <c r="D1237" s="103"/>
      <c r="E1237" s="103"/>
      <c r="F1237" s="251"/>
      <c r="G1237" s="251"/>
      <c r="H1237" s="251"/>
      <c r="I1237" s="251"/>
      <c r="J1237" s="227"/>
      <c r="K1237" s="251"/>
      <c r="L1237" s="227"/>
      <c r="M1237" s="172"/>
      <c r="N1237" s="182"/>
      <c r="O1237" s="173"/>
      <c r="P1237" s="173"/>
      <c r="Q1237" s="174"/>
      <c r="S1237" s="63"/>
      <c r="T1237" s="63"/>
    </row>
    <row r="1238" spans="1:20" ht="12.75">
      <c r="A1238" s="1253" t="s">
        <v>12</v>
      </c>
      <c r="B1238" s="92">
        <v>1</v>
      </c>
      <c r="C1238" s="132" t="s">
        <v>945</v>
      </c>
      <c r="D1238" s="133">
        <v>8</v>
      </c>
      <c r="E1238" s="133" t="s">
        <v>401</v>
      </c>
      <c r="F1238" s="886">
        <f aca="true" t="shared" si="204" ref="F1238:F1244">+G1238+H1238+I1238</f>
        <v>13.016744</v>
      </c>
      <c r="G1238" s="204">
        <v>0</v>
      </c>
      <c r="H1238" s="204">
        <v>0</v>
      </c>
      <c r="I1238" s="204">
        <v>13.016744</v>
      </c>
      <c r="J1238" s="223">
        <v>440.76</v>
      </c>
      <c r="K1238" s="204">
        <v>13.016744</v>
      </c>
      <c r="L1238" s="299">
        <v>440.76</v>
      </c>
      <c r="M1238" s="136">
        <f aca="true" t="shared" si="205" ref="M1238:M1244">K1238/L1238</f>
        <v>0.029532498411834102</v>
      </c>
      <c r="N1238" s="134">
        <v>279.803</v>
      </c>
      <c r="O1238" s="137">
        <f aca="true" t="shared" si="206" ref="O1238:O1244">M1238*N1238</f>
        <v>8.263281653126418</v>
      </c>
      <c r="P1238" s="137">
        <f aca="true" t="shared" si="207" ref="P1238:P1244">M1238*60*1000</f>
        <v>1771.9499047100462</v>
      </c>
      <c r="Q1238" s="138">
        <f aca="true" t="shared" si="208" ref="Q1238:Q1244">P1238*N1238/1000</f>
        <v>495.79689918758504</v>
      </c>
      <c r="S1238" s="63"/>
      <c r="T1238" s="63"/>
    </row>
    <row r="1239" spans="1:20" ht="12.75">
      <c r="A1239" s="1191"/>
      <c r="B1239" s="28">
        <v>2</v>
      </c>
      <c r="C1239" s="135" t="s">
        <v>544</v>
      </c>
      <c r="D1239" s="104">
        <v>24</v>
      </c>
      <c r="E1239" s="104" t="s">
        <v>401</v>
      </c>
      <c r="F1239" s="324">
        <f t="shared" si="204"/>
        <v>35.470352</v>
      </c>
      <c r="G1239" s="179">
        <v>2.102844</v>
      </c>
      <c r="H1239" s="179">
        <v>1.66</v>
      </c>
      <c r="I1239" s="179">
        <v>31.707508</v>
      </c>
      <c r="J1239" s="224">
        <v>1071.29</v>
      </c>
      <c r="K1239" s="179">
        <v>31.707508</v>
      </c>
      <c r="L1239" s="224">
        <v>1071.29</v>
      </c>
      <c r="M1239" s="117">
        <f t="shared" si="205"/>
        <v>0.029597502076935286</v>
      </c>
      <c r="N1239" s="118">
        <v>279.803</v>
      </c>
      <c r="O1239" s="119">
        <f t="shared" si="206"/>
        <v>8.281469873632723</v>
      </c>
      <c r="P1239" s="137">
        <f t="shared" si="207"/>
        <v>1775.8501246161172</v>
      </c>
      <c r="Q1239" s="120">
        <f t="shared" si="208"/>
        <v>496.88819241796347</v>
      </c>
      <c r="S1239" s="63"/>
      <c r="T1239" s="63"/>
    </row>
    <row r="1240" spans="1:20" ht="12.75">
      <c r="A1240" s="1191"/>
      <c r="B1240" s="28">
        <v>3</v>
      </c>
      <c r="C1240" s="135" t="s">
        <v>545</v>
      </c>
      <c r="D1240" s="104">
        <v>24</v>
      </c>
      <c r="E1240" s="104" t="s">
        <v>401</v>
      </c>
      <c r="F1240" s="324">
        <f t="shared" si="204"/>
        <v>34.861284</v>
      </c>
      <c r="G1240" s="179">
        <v>1.190388</v>
      </c>
      <c r="H1240" s="179">
        <v>2.08</v>
      </c>
      <c r="I1240" s="179">
        <v>31.590896</v>
      </c>
      <c r="J1240" s="224">
        <v>1067.26</v>
      </c>
      <c r="K1240" s="179">
        <v>31.590896</v>
      </c>
      <c r="L1240" s="224">
        <v>1067.26</v>
      </c>
      <c r="M1240" s="117">
        <f t="shared" si="205"/>
        <v>0.0296</v>
      </c>
      <c r="N1240" s="118">
        <v>279.803</v>
      </c>
      <c r="O1240" s="119">
        <f t="shared" si="206"/>
        <v>8.2821688</v>
      </c>
      <c r="P1240" s="137">
        <f t="shared" si="207"/>
        <v>1776</v>
      </c>
      <c r="Q1240" s="120">
        <f t="shared" si="208"/>
        <v>496.93012799999997</v>
      </c>
      <c r="S1240" s="63"/>
      <c r="T1240" s="63"/>
    </row>
    <row r="1241" spans="1:20" ht="12.75">
      <c r="A1241" s="1191"/>
      <c r="B1241" s="28">
        <v>4</v>
      </c>
      <c r="C1241" s="135" t="s">
        <v>946</v>
      </c>
      <c r="D1241" s="104">
        <v>12</v>
      </c>
      <c r="E1241" s="104" t="s">
        <v>401</v>
      </c>
      <c r="F1241" s="324">
        <f t="shared" si="204"/>
        <v>17.840012</v>
      </c>
      <c r="G1241" s="179">
        <v>0.529644</v>
      </c>
      <c r="H1241" s="179">
        <v>0.39</v>
      </c>
      <c r="I1241" s="179">
        <v>16.920368</v>
      </c>
      <c r="J1241" s="224">
        <v>543.67</v>
      </c>
      <c r="K1241" s="179">
        <v>16.920368</v>
      </c>
      <c r="L1241" s="224">
        <v>543.67</v>
      </c>
      <c r="M1241" s="117">
        <f t="shared" si="205"/>
        <v>0.031122497103022055</v>
      </c>
      <c r="N1241" s="118">
        <v>279.803</v>
      </c>
      <c r="O1241" s="119">
        <f t="shared" si="206"/>
        <v>8.70816805691688</v>
      </c>
      <c r="P1241" s="137">
        <f t="shared" si="207"/>
        <v>1867.3498261813234</v>
      </c>
      <c r="Q1241" s="120">
        <f t="shared" si="208"/>
        <v>522.4900834150128</v>
      </c>
      <c r="S1241" s="63"/>
      <c r="T1241" s="63"/>
    </row>
    <row r="1242" spans="1:20" ht="12.75">
      <c r="A1242" s="1191"/>
      <c r="B1242" s="28">
        <v>5</v>
      </c>
      <c r="C1242" s="135" t="s">
        <v>947</v>
      </c>
      <c r="D1242" s="104">
        <v>8</v>
      </c>
      <c r="E1242" s="104" t="s">
        <v>401</v>
      </c>
      <c r="F1242" s="324">
        <f t="shared" si="204"/>
        <v>11.020154</v>
      </c>
      <c r="G1242" s="179">
        <v>0</v>
      </c>
      <c r="H1242" s="179">
        <v>0</v>
      </c>
      <c r="I1242" s="179">
        <v>11.020154</v>
      </c>
      <c r="J1242" s="224">
        <v>351.52</v>
      </c>
      <c r="K1242" s="179">
        <v>11.020154</v>
      </c>
      <c r="L1242" s="224">
        <v>351.52</v>
      </c>
      <c r="M1242" s="117">
        <f t="shared" si="205"/>
        <v>0.031350005689576695</v>
      </c>
      <c r="N1242" s="118">
        <v>279.803</v>
      </c>
      <c r="O1242" s="119">
        <f t="shared" si="206"/>
        <v>8.771825641960628</v>
      </c>
      <c r="P1242" s="137">
        <f t="shared" si="207"/>
        <v>1881.0003413746017</v>
      </c>
      <c r="Q1242" s="120">
        <f t="shared" si="208"/>
        <v>526.3095385176376</v>
      </c>
      <c r="S1242" s="63"/>
      <c r="T1242" s="63"/>
    </row>
    <row r="1243" spans="1:20" ht="12.75">
      <c r="A1243" s="1191"/>
      <c r="B1243" s="28">
        <v>6</v>
      </c>
      <c r="C1243" s="135" t="s">
        <v>546</v>
      </c>
      <c r="D1243" s="104">
        <v>8</v>
      </c>
      <c r="E1243" s="104" t="s">
        <v>401</v>
      </c>
      <c r="F1243" s="324">
        <f t="shared" si="204"/>
        <v>12.702065000000001</v>
      </c>
      <c r="G1243" s="179">
        <v>0.2782</v>
      </c>
      <c r="H1243" s="179">
        <v>0.88</v>
      </c>
      <c r="I1243" s="179">
        <v>11.543865</v>
      </c>
      <c r="J1243" s="224">
        <v>347.21</v>
      </c>
      <c r="K1243" s="179">
        <v>11.543865</v>
      </c>
      <c r="L1243" s="224">
        <v>347.21</v>
      </c>
      <c r="M1243" s="117">
        <f t="shared" si="205"/>
        <v>0.033247501512053225</v>
      </c>
      <c r="N1243" s="118">
        <v>279.803</v>
      </c>
      <c r="O1243" s="119">
        <f t="shared" si="206"/>
        <v>9.302750665577028</v>
      </c>
      <c r="P1243" s="137">
        <f t="shared" si="207"/>
        <v>1994.8500907231935</v>
      </c>
      <c r="Q1243" s="120">
        <f t="shared" si="208"/>
        <v>558.1650399346216</v>
      </c>
      <c r="S1243" s="63"/>
      <c r="T1243" s="63"/>
    </row>
    <row r="1244" spans="1:20" ht="12.75">
      <c r="A1244" s="1191"/>
      <c r="B1244" s="28">
        <v>7</v>
      </c>
      <c r="C1244" s="135" t="s">
        <v>547</v>
      </c>
      <c r="D1244" s="104">
        <v>5</v>
      </c>
      <c r="E1244" s="104" t="s">
        <v>401</v>
      </c>
      <c r="F1244" s="324">
        <f t="shared" si="204"/>
        <v>6.279787</v>
      </c>
      <c r="G1244" s="179">
        <v>0</v>
      </c>
      <c r="H1244" s="179">
        <v>0</v>
      </c>
      <c r="I1244" s="179">
        <v>6.279787</v>
      </c>
      <c r="J1244" s="224">
        <v>176.04</v>
      </c>
      <c r="K1244" s="179">
        <v>6.279787</v>
      </c>
      <c r="L1244" s="224">
        <v>176.04</v>
      </c>
      <c r="M1244" s="117">
        <f t="shared" si="205"/>
        <v>0.03567250056805272</v>
      </c>
      <c r="N1244" s="118">
        <v>279.803</v>
      </c>
      <c r="O1244" s="119">
        <f t="shared" si="206"/>
        <v>9.981272676442854</v>
      </c>
      <c r="P1244" s="137">
        <f t="shared" si="207"/>
        <v>2140.3500340831633</v>
      </c>
      <c r="Q1244" s="120">
        <f t="shared" si="208"/>
        <v>598.8763605865714</v>
      </c>
      <c r="S1244" s="63"/>
      <c r="T1244" s="63"/>
    </row>
    <row r="1245" spans="1:20" ht="12.75">
      <c r="A1245" s="1191"/>
      <c r="B1245" s="28">
        <v>8</v>
      </c>
      <c r="C1245" s="135"/>
      <c r="D1245" s="104"/>
      <c r="E1245" s="104"/>
      <c r="F1245" s="179"/>
      <c r="G1245" s="179"/>
      <c r="H1245" s="179"/>
      <c r="I1245" s="179"/>
      <c r="J1245" s="224"/>
      <c r="K1245" s="179"/>
      <c r="L1245" s="224"/>
      <c r="M1245" s="117"/>
      <c r="N1245" s="118"/>
      <c r="O1245" s="119"/>
      <c r="P1245" s="137"/>
      <c r="Q1245" s="120"/>
      <c r="S1245" s="63"/>
      <c r="T1245" s="63"/>
    </row>
    <row r="1246" spans="1:20" ht="12.75">
      <c r="A1246" s="1191"/>
      <c r="B1246" s="28">
        <v>9</v>
      </c>
      <c r="C1246" s="135"/>
      <c r="D1246" s="104"/>
      <c r="E1246" s="104"/>
      <c r="F1246" s="179"/>
      <c r="G1246" s="179"/>
      <c r="H1246" s="179"/>
      <c r="I1246" s="179"/>
      <c r="J1246" s="224"/>
      <c r="K1246" s="179"/>
      <c r="L1246" s="224"/>
      <c r="M1246" s="117"/>
      <c r="N1246" s="118"/>
      <c r="O1246" s="119"/>
      <c r="P1246" s="137"/>
      <c r="Q1246" s="120"/>
      <c r="S1246" s="63"/>
      <c r="T1246" s="63"/>
    </row>
    <row r="1247" spans="1:20" ht="13.5" thickBot="1">
      <c r="A1247" s="1192"/>
      <c r="B1247" s="33">
        <v>10</v>
      </c>
      <c r="C1247" s="57"/>
      <c r="D1247" s="33"/>
      <c r="E1247" s="33"/>
      <c r="F1247" s="40"/>
      <c r="G1247" s="40"/>
      <c r="H1247" s="40"/>
      <c r="I1247" s="40"/>
      <c r="J1247" s="41"/>
      <c r="K1247" s="40"/>
      <c r="L1247" s="41"/>
      <c r="M1247" s="60"/>
      <c r="N1247" s="37"/>
      <c r="O1247" s="40"/>
      <c r="P1247" s="40"/>
      <c r="Q1247" s="38"/>
      <c r="S1247" s="63"/>
      <c r="T1247" s="63"/>
    </row>
    <row r="1248" spans="19:20" ht="13.5" customHeight="1">
      <c r="S1248" s="63"/>
      <c r="T1248" s="63"/>
    </row>
    <row r="1249" spans="19:20" ht="13.5" customHeight="1">
      <c r="S1249" s="63"/>
      <c r="T1249" s="63"/>
    </row>
    <row r="1250" spans="19:20" ht="12.75">
      <c r="S1250" s="63"/>
      <c r="T1250" s="63"/>
    </row>
    <row r="1251" spans="19:20" ht="12.75">
      <c r="S1251" s="63"/>
      <c r="T1251" s="63"/>
    </row>
    <row r="1252" spans="19:20" ht="12.75">
      <c r="S1252" s="63"/>
      <c r="T1252" s="63"/>
    </row>
    <row r="1253" spans="19:20" ht="12.75">
      <c r="S1253" s="63"/>
      <c r="T1253" s="63"/>
    </row>
    <row r="1254" spans="1:20" ht="15">
      <c r="A1254" s="1199" t="s">
        <v>948</v>
      </c>
      <c r="B1254" s="1199"/>
      <c r="C1254" s="1199"/>
      <c r="D1254" s="1199"/>
      <c r="E1254" s="1199"/>
      <c r="F1254" s="1199"/>
      <c r="G1254" s="1199"/>
      <c r="H1254" s="1199"/>
      <c r="I1254" s="1199"/>
      <c r="J1254" s="1199"/>
      <c r="K1254" s="1199"/>
      <c r="L1254" s="1199"/>
      <c r="M1254" s="1199"/>
      <c r="N1254" s="1199"/>
      <c r="O1254" s="1199"/>
      <c r="P1254" s="1199"/>
      <c r="Q1254" s="1199"/>
      <c r="S1254" s="63"/>
      <c r="T1254" s="63"/>
    </row>
    <row r="1255" spans="1:20" ht="13.5" thickBot="1">
      <c r="A1255" s="1200" t="s">
        <v>949</v>
      </c>
      <c r="B1255" s="1255"/>
      <c r="C1255" s="1255"/>
      <c r="D1255" s="1255"/>
      <c r="E1255" s="1255"/>
      <c r="F1255" s="1255"/>
      <c r="G1255" s="1255"/>
      <c r="H1255" s="1255"/>
      <c r="I1255" s="1255"/>
      <c r="J1255" s="1255"/>
      <c r="K1255" s="1255"/>
      <c r="L1255" s="1255"/>
      <c r="M1255" s="1255"/>
      <c r="N1255" s="1255"/>
      <c r="O1255" s="1255"/>
      <c r="P1255" s="1255"/>
      <c r="Q1255" s="1255"/>
      <c r="S1255" s="63"/>
      <c r="T1255" s="63"/>
    </row>
    <row r="1256" spans="1:20" ht="12.75" customHeight="1">
      <c r="A1256" s="1201" t="s">
        <v>1</v>
      </c>
      <c r="B1256" s="1203" t="s">
        <v>0</v>
      </c>
      <c r="C1256" s="1193" t="s">
        <v>2</v>
      </c>
      <c r="D1256" s="1193" t="s">
        <v>3</v>
      </c>
      <c r="E1256" s="1193" t="s">
        <v>13</v>
      </c>
      <c r="F1256" s="1207" t="s">
        <v>14</v>
      </c>
      <c r="G1256" s="1208"/>
      <c r="H1256" s="1208"/>
      <c r="I1256" s="1209"/>
      <c r="J1256" s="1193" t="s">
        <v>4</v>
      </c>
      <c r="K1256" s="1193" t="s">
        <v>15</v>
      </c>
      <c r="L1256" s="1193" t="s">
        <v>5</v>
      </c>
      <c r="M1256" s="1193" t="s">
        <v>6</v>
      </c>
      <c r="N1256" s="1193" t="s">
        <v>16</v>
      </c>
      <c r="O1256" s="1195" t="s">
        <v>17</v>
      </c>
      <c r="P1256" s="1193" t="s">
        <v>25</v>
      </c>
      <c r="Q1256" s="1197" t="s">
        <v>26</v>
      </c>
      <c r="S1256" s="63"/>
      <c r="T1256" s="63"/>
    </row>
    <row r="1257" spans="1:20" s="2" customFormat="1" ht="33.75">
      <c r="A1257" s="1202"/>
      <c r="B1257" s="1204"/>
      <c r="C1257" s="1205"/>
      <c r="D1257" s="1194"/>
      <c r="E1257" s="1194"/>
      <c r="F1257" s="26" t="s">
        <v>18</v>
      </c>
      <c r="G1257" s="26" t="s">
        <v>19</v>
      </c>
      <c r="H1257" s="26" t="s">
        <v>20</v>
      </c>
      <c r="I1257" s="26" t="s">
        <v>21</v>
      </c>
      <c r="J1257" s="1194"/>
      <c r="K1257" s="1194"/>
      <c r="L1257" s="1194"/>
      <c r="M1257" s="1194"/>
      <c r="N1257" s="1194"/>
      <c r="O1257" s="1196"/>
      <c r="P1257" s="1194"/>
      <c r="Q1257" s="1198"/>
      <c r="R1257" s="1"/>
      <c r="S1257" s="63"/>
      <c r="T1257" s="63"/>
    </row>
    <row r="1258" spans="1:20" s="3" customFormat="1" ht="13.5" customHeight="1" thickBot="1">
      <c r="A1258" s="1202"/>
      <c r="B1258" s="1204"/>
      <c r="C1258" s="1206"/>
      <c r="D1258" s="42" t="s">
        <v>7</v>
      </c>
      <c r="E1258" s="42" t="s">
        <v>8</v>
      </c>
      <c r="F1258" s="42" t="s">
        <v>9</v>
      </c>
      <c r="G1258" s="42" t="s">
        <v>9</v>
      </c>
      <c r="H1258" s="42" t="s">
        <v>9</v>
      </c>
      <c r="I1258" s="42" t="s">
        <v>9</v>
      </c>
      <c r="J1258" s="42" t="s">
        <v>22</v>
      </c>
      <c r="K1258" s="42" t="s">
        <v>9</v>
      </c>
      <c r="L1258" s="42" t="s">
        <v>22</v>
      </c>
      <c r="M1258" s="42" t="s">
        <v>131</v>
      </c>
      <c r="N1258" s="42" t="s">
        <v>10</v>
      </c>
      <c r="O1258" s="42" t="s">
        <v>132</v>
      </c>
      <c r="P1258" s="43" t="s">
        <v>27</v>
      </c>
      <c r="Q1258" s="44" t="s">
        <v>28</v>
      </c>
      <c r="R1258" s="2"/>
      <c r="S1258" s="63"/>
      <c r="T1258" s="63"/>
    </row>
    <row r="1259" spans="1:20" ht="12.75" customHeight="1">
      <c r="A1259" s="1362" t="s">
        <v>11</v>
      </c>
      <c r="B1259" s="233">
        <v>1</v>
      </c>
      <c r="C1259" s="1160" t="s">
        <v>950</v>
      </c>
      <c r="D1259" s="98">
        <v>40</v>
      </c>
      <c r="E1259" s="98">
        <v>1989</v>
      </c>
      <c r="F1259" s="1031">
        <f>G1259+H1259+I1259</f>
        <v>22.5</v>
      </c>
      <c r="G1259" s="1031">
        <v>4.85</v>
      </c>
      <c r="H1259" s="1031">
        <v>6.4</v>
      </c>
      <c r="I1259" s="1031">
        <v>11.25</v>
      </c>
      <c r="J1259" s="1039">
        <v>2290.61</v>
      </c>
      <c r="K1259" s="1031">
        <f>F1259</f>
        <v>22.5</v>
      </c>
      <c r="L1259" s="1039">
        <v>2290.61</v>
      </c>
      <c r="M1259" s="1003">
        <f>K1259/L1259</f>
        <v>0.009822710980917746</v>
      </c>
      <c r="N1259" s="1004">
        <v>244.38</v>
      </c>
      <c r="O1259" s="1005">
        <f>M1259*N1259</f>
        <v>2.400474109516679</v>
      </c>
      <c r="P1259" s="1005">
        <f>M1259*60*1000</f>
        <v>589.3626588550648</v>
      </c>
      <c r="Q1259" s="1006">
        <f>P1259*N1259/1000</f>
        <v>144.02844657100073</v>
      </c>
      <c r="R1259" s="3"/>
      <c r="S1259" s="63"/>
      <c r="T1259" s="63"/>
    </row>
    <row r="1260" spans="1:20" ht="12.75" customHeight="1">
      <c r="A1260" s="1363"/>
      <c r="B1260" s="234">
        <v>2</v>
      </c>
      <c r="C1260" s="1161"/>
      <c r="D1260" s="99"/>
      <c r="E1260" s="99"/>
      <c r="F1260" s="202"/>
      <c r="G1260" s="605"/>
      <c r="H1260" s="605"/>
      <c r="I1260" s="605"/>
      <c r="J1260" s="587"/>
      <c r="K1260" s="605"/>
      <c r="L1260" s="587"/>
      <c r="M1260" s="108"/>
      <c r="N1260" s="109"/>
      <c r="O1260" s="110"/>
      <c r="P1260" s="130"/>
      <c r="Q1260" s="111"/>
      <c r="R1260" s="6"/>
      <c r="S1260" s="63"/>
      <c r="T1260" s="63"/>
    </row>
    <row r="1261" spans="1:20" ht="12.75">
      <c r="A1261" s="1363"/>
      <c r="B1261" s="234">
        <v>3</v>
      </c>
      <c r="C1261" s="1161"/>
      <c r="D1261" s="99"/>
      <c r="E1261" s="99"/>
      <c r="F1261" s="202"/>
      <c r="G1261" s="605"/>
      <c r="H1261" s="605"/>
      <c r="I1261" s="605"/>
      <c r="J1261" s="587"/>
      <c r="K1261" s="605"/>
      <c r="L1261" s="587"/>
      <c r="M1261" s="108"/>
      <c r="N1261" s="109"/>
      <c r="O1261" s="110"/>
      <c r="P1261" s="130"/>
      <c r="Q1261" s="111"/>
      <c r="R1261" s="6"/>
      <c r="S1261" s="63"/>
      <c r="T1261" s="63"/>
    </row>
    <row r="1262" spans="1:20" ht="12.75">
      <c r="A1262" s="1363"/>
      <c r="B1262" s="234">
        <v>4</v>
      </c>
      <c r="C1262" s="1161"/>
      <c r="D1262" s="99"/>
      <c r="E1262" s="126"/>
      <c r="F1262" s="202"/>
      <c r="G1262" s="605"/>
      <c r="H1262" s="605"/>
      <c r="I1262" s="605"/>
      <c r="J1262" s="587"/>
      <c r="K1262" s="605"/>
      <c r="L1262" s="587"/>
      <c r="M1262" s="108"/>
      <c r="N1262" s="109"/>
      <c r="O1262" s="110"/>
      <c r="P1262" s="130"/>
      <c r="Q1262" s="111"/>
      <c r="R1262" s="6"/>
      <c r="S1262" s="63"/>
      <c r="T1262" s="63"/>
    </row>
    <row r="1263" spans="1:20" ht="12.75">
      <c r="A1263" s="1363"/>
      <c r="B1263" s="234">
        <v>5</v>
      </c>
      <c r="C1263" s="1161"/>
      <c r="D1263" s="99"/>
      <c r="E1263" s="126"/>
      <c r="F1263" s="772"/>
      <c r="G1263" s="605"/>
      <c r="H1263" s="605"/>
      <c r="I1263" s="605"/>
      <c r="J1263" s="587"/>
      <c r="K1263" s="605"/>
      <c r="L1263" s="587"/>
      <c r="M1263" s="108"/>
      <c r="N1263" s="109"/>
      <c r="O1263" s="110"/>
      <c r="P1263" s="130"/>
      <c r="Q1263" s="111"/>
      <c r="R1263" s="6"/>
      <c r="S1263" s="63"/>
      <c r="T1263" s="63"/>
    </row>
    <row r="1264" spans="1:20" ht="12.75">
      <c r="A1264" s="1363"/>
      <c r="B1264" s="234">
        <v>6</v>
      </c>
      <c r="C1264" s="1161"/>
      <c r="D1264" s="99"/>
      <c r="E1264" s="99"/>
      <c r="F1264" s="202"/>
      <c r="G1264" s="605"/>
      <c r="H1264" s="605"/>
      <c r="I1264" s="605"/>
      <c r="J1264" s="587"/>
      <c r="K1264" s="605"/>
      <c r="L1264" s="587"/>
      <c r="M1264" s="108"/>
      <c r="N1264" s="109"/>
      <c r="O1264" s="110"/>
      <c r="P1264" s="130"/>
      <c r="Q1264" s="111"/>
      <c r="R1264" s="6"/>
      <c r="S1264" s="63"/>
      <c r="T1264" s="63"/>
    </row>
    <row r="1265" spans="1:20" ht="12.75">
      <c r="A1265" s="1363"/>
      <c r="B1265" s="234">
        <v>7</v>
      </c>
      <c r="C1265" s="1161"/>
      <c r="D1265" s="99"/>
      <c r="E1265" s="99"/>
      <c r="F1265" s="202"/>
      <c r="G1265" s="605"/>
      <c r="H1265" s="605"/>
      <c r="I1265" s="605"/>
      <c r="J1265" s="587"/>
      <c r="K1265" s="605"/>
      <c r="L1265" s="587"/>
      <c r="M1265" s="108"/>
      <c r="N1265" s="109"/>
      <c r="O1265" s="110"/>
      <c r="P1265" s="130"/>
      <c r="Q1265" s="111"/>
      <c r="R1265" s="6"/>
      <c r="S1265" s="63"/>
      <c r="T1265" s="63"/>
    </row>
    <row r="1266" spans="1:20" ht="12.75">
      <c r="A1266" s="1363"/>
      <c r="B1266" s="234">
        <v>8</v>
      </c>
      <c r="C1266" s="1161"/>
      <c r="D1266" s="99"/>
      <c r="E1266" s="99"/>
      <c r="F1266" s="202"/>
      <c r="G1266" s="605"/>
      <c r="H1266" s="605"/>
      <c r="I1266" s="605"/>
      <c r="J1266" s="587"/>
      <c r="K1266" s="605"/>
      <c r="L1266" s="587"/>
      <c r="M1266" s="108"/>
      <c r="N1266" s="109"/>
      <c r="O1266" s="110"/>
      <c r="P1266" s="130"/>
      <c r="Q1266" s="111"/>
      <c r="S1266" s="63"/>
      <c r="T1266" s="63"/>
    </row>
    <row r="1267" spans="1:20" ht="12.75">
      <c r="A1267" s="1363"/>
      <c r="B1267" s="234">
        <v>9</v>
      </c>
      <c r="C1267" s="1161"/>
      <c r="D1267" s="99"/>
      <c r="E1267" s="99"/>
      <c r="F1267" s="202"/>
      <c r="G1267" s="605"/>
      <c r="H1267" s="605"/>
      <c r="I1267" s="605"/>
      <c r="J1267" s="587"/>
      <c r="K1267" s="605"/>
      <c r="L1267" s="587"/>
      <c r="M1267" s="108"/>
      <c r="N1267" s="109"/>
      <c r="O1267" s="110"/>
      <c r="P1267" s="130"/>
      <c r="Q1267" s="111"/>
      <c r="S1267" s="63"/>
      <c r="T1267" s="63"/>
    </row>
    <row r="1268" spans="1:20" ht="13.5" thickBot="1">
      <c r="A1268" s="1364"/>
      <c r="B1268" s="840">
        <v>10</v>
      </c>
      <c r="C1268" s="1162"/>
      <c r="D1268" s="100"/>
      <c r="E1268" s="100"/>
      <c r="F1268" s="203"/>
      <c r="G1268" s="195"/>
      <c r="H1268" s="195"/>
      <c r="I1268" s="195"/>
      <c r="J1268" s="277"/>
      <c r="K1268" s="195"/>
      <c r="L1268" s="277"/>
      <c r="M1268" s="140"/>
      <c r="N1268" s="129"/>
      <c r="O1268" s="141"/>
      <c r="P1268" s="222"/>
      <c r="Q1268" s="131"/>
      <c r="S1268" s="63"/>
      <c r="T1268" s="63"/>
    </row>
    <row r="1269" spans="1:20" ht="12.75">
      <c r="A1269" s="1365" t="s">
        <v>29</v>
      </c>
      <c r="B1269" s="5">
        <v>1</v>
      </c>
      <c r="C1269" s="1163" t="s">
        <v>951</v>
      </c>
      <c r="D1269" s="363">
        <v>24</v>
      </c>
      <c r="E1269" s="363"/>
      <c r="F1269" s="1032">
        <f aca="true" t="shared" si="209" ref="F1269:F1276">G1269+H1269+I1269</f>
        <v>26.05</v>
      </c>
      <c r="G1269" s="1033">
        <v>0</v>
      </c>
      <c r="H1269" s="1033">
        <v>0</v>
      </c>
      <c r="I1269" s="1032">
        <v>26.05</v>
      </c>
      <c r="J1269" s="1040">
        <v>1614.1</v>
      </c>
      <c r="K1269" s="1032">
        <f aca="true" t="shared" si="210" ref="K1269:K1276">F1269</f>
        <v>26.05</v>
      </c>
      <c r="L1269" s="1040">
        <v>1614.06</v>
      </c>
      <c r="M1269" s="1009">
        <f aca="true" t="shared" si="211" ref="M1269:M1276">K1269/L1269</f>
        <v>0.016139424804530192</v>
      </c>
      <c r="N1269" s="1008">
        <v>244.38</v>
      </c>
      <c r="O1269" s="1010">
        <f aca="true" t="shared" si="212" ref="O1269:O1276">M1269*N1269</f>
        <v>3.9441526337310884</v>
      </c>
      <c r="P1269" s="1011">
        <f aca="true" t="shared" si="213" ref="P1269:P1276">M1269*60*1000</f>
        <v>968.3654882718116</v>
      </c>
      <c r="Q1269" s="1012">
        <f aca="true" t="shared" si="214" ref="Q1269:Q1276">P1269*N1269/1000</f>
        <v>236.6491580238653</v>
      </c>
      <c r="S1269" s="63"/>
      <c r="T1269" s="63"/>
    </row>
    <row r="1270" spans="1:20" ht="12.75">
      <c r="A1270" s="1366"/>
      <c r="B1270" s="234">
        <v>2</v>
      </c>
      <c r="C1270" s="1163" t="s">
        <v>952</v>
      </c>
      <c r="D1270" s="363">
        <v>45</v>
      </c>
      <c r="E1270" s="363">
        <v>1987</v>
      </c>
      <c r="F1270" s="1032">
        <f t="shared" si="209"/>
        <v>35.769999999999996</v>
      </c>
      <c r="G1270" s="1033">
        <v>1.68</v>
      </c>
      <c r="H1270" s="1033">
        <v>0.44</v>
      </c>
      <c r="I1270" s="1032">
        <v>33.65</v>
      </c>
      <c r="J1270" s="1040">
        <v>2007.6</v>
      </c>
      <c r="K1270" s="1032">
        <f t="shared" si="210"/>
        <v>35.769999999999996</v>
      </c>
      <c r="L1270" s="1040">
        <v>2007.58</v>
      </c>
      <c r="M1270" s="1009">
        <f t="shared" si="211"/>
        <v>0.017817471781946422</v>
      </c>
      <c r="N1270" s="1008">
        <v>244.38</v>
      </c>
      <c r="O1270" s="1010">
        <f t="shared" si="212"/>
        <v>4.354233754072067</v>
      </c>
      <c r="P1270" s="1011">
        <f t="shared" si="213"/>
        <v>1069.0483069167854</v>
      </c>
      <c r="Q1270" s="1012">
        <f t="shared" si="214"/>
        <v>261.254025244324</v>
      </c>
      <c r="S1270" s="63"/>
      <c r="T1270" s="63"/>
    </row>
    <row r="1271" spans="1:17" ht="11.25">
      <c r="A1271" s="1366"/>
      <c r="B1271" s="234">
        <v>3</v>
      </c>
      <c r="C1271" s="1163" t="s">
        <v>953</v>
      </c>
      <c r="D1271" s="363">
        <v>40</v>
      </c>
      <c r="E1271" s="363">
        <v>1984</v>
      </c>
      <c r="F1271" s="1032">
        <f t="shared" si="209"/>
        <v>42.1</v>
      </c>
      <c r="G1271" s="1033">
        <v>2.99</v>
      </c>
      <c r="H1271" s="1033">
        <v>6.4</v>
      </c>
      <c r="I1271" s="1032">
        <v>32.71</v>
      </c>
      <c r="J1271" s="1040">
        <v>2271.99</v>
      </c>
      <c r="K1271" s="1032">
        <f t="shared" si="210"/>
        <v>42.1</v>
      </c>
      <c r="L1271" s="1040">
        <v>2271.99</v>
      </c>
      <c r="M1271" s="1009">
        <f t="shared" si="211"/>
        <v>0.018530011135612395</v>
      </c>
      <c r="N1271" s="1008">
        <v>244.38</v>
      </c>
      <c r="O1271" s="1010">
        <f t="shared" si="212"/>
        <v>4.528364121320957</v>
      </c>
      <c r="P1271" s="1011">
        <f t="shared" si="213"/>
        <v>1111.8006681367438</v>
      </c>
      <c r="Q1271" s="1012">
        <f t="shared" si="214"/>
        <v>271.70184727925744</v>
      </c>
    </row>
    <row r="1272" spans="1:17" ht="11.25">
      <c r="A1272" s="1366"/>
      <c r="B1272" s="234">
        <v>4</v>
      </c>
      <c r="C1272" s="1163" t="s">
        <v>954</v>
      </c>
      <c r="D1272" s="363">
        <v>7</v>
      </c>
      <c r="E1272" s="363"/>
      <c r="F1272" s="1033">
        <f t="shared" si="209"/>
        <v>4.39</v>
      </c>
      <c r="G1272" s="1033"/>
      <c r="H1272" s="1033"/>
      <c r="I1272" s="1032">
        <v>4.39</v>
      </c>
      <c r="J1272" s="1040">
        <v>230.19</v>
      </c>
      <c r="K1272" s="1032">
        <f t="shared" si="210"/>
        <v>4.39</v>
      </c>
      <c r="L1272" s="1040">
        <v>230.19</v>
      </c>
      <c r="M1272" s="1009">
        <f t="shared" si="211"/>
        <v>0.019071202050480036</v>
      </c>
      <c r="N1272" s="1008">
        <v>244.38</v>
      </c>
      <c r="O1272" s="1010">
        <f t="shared" si="212"/>
        <v>4.660620357096311</v>
      </c>
      <c r="P1272" s="1011">
        <f t="shared" si="213"/>
        <v>1144.2721230288023</v>
      </c>
      <c r="Q1272" s="1012">
        <f t="shared" si="214"/>
        <v>279.6372214257787</v>
      </c>
    </row>
    <row r="1273" spans="1:17" ht="11.25">
      <c r="A1273" s="1366"/>
      <c r="B1273" s="234">
        <v>5</v>
      </c>
      <c r="C1273" s="1163" t="s">
        <v>955</v>
      </c>
      <c r="D1273" s="363">
        <v>40</v>
      </c>
      <c r="E1273" s="363">
        <v>1987</v>
      </c>
      <c r="F1273" s="1033">
        <f t="shared" si="209"/>
        <v>43.5</v>
      </c>
      <c r="G1273" s="1033">
        <v>2.48</v>
      </c>
      <c r="H1273" s="1033">
        <v>6.4</v>
      </c>
      <c r="I1273" s="1032">
        <v>34.62</v>
      </c>
      <c r="J1273" s="1040">
        <v>2247.83</v>
      </c>
      <c r="K1273" s="1032">
        <f t="shared" si="210"/>
        <v>43.5</v>
      </c>
      <c r="L1273" s="1040">
        <v>2247.83</v>
      </c>
      <c r="M1273" s="1009">
        <f t="shared" si="211"/>
        <v>0.01935199725957924</v>
      </c>
      <c r="N1273" s="1008">
        <v>244.38</v>
      </c>
      <c r="O1273" s="1010">
        <f t="shared" si="212"/>
        <v>4.729241090295974</v>
      </c>
      <c r="P1273" s="1011">
        <f t="shared" si="213"/>
        <v>1161.1198355747542</v>
      </c>
      <c r="Q1273" s="1012">
        <f t="shared" si="214"/>
        <v>283.75446541775847</v>
      </c>
    </row>
    <row r="1274" spans="1:17" ht="11.25">
      <c r="A1274" s="1366"/>
      <c r="B1274" s="234">
        <v>6</v>
      </c>
      <c r="C1274" s="1163" t="s">
        <v>956</v>
      </c>
      <c r="D1274" s="363">
        <v>40</v>
      </c>
      <c r="E1274" s="363">
        <v>1991</v>
      </c>
      <c r="F1274" s="1033">
        <f t="shared" si="209"/>
        <v>44.7</v>
      </c>
      <c r="G1274" s="1033">
        <v>5.1</v>
      </c>
      <c r="H1274" s="1033">
        <v>6.4</v>
      </c>
      <c r="I1274" s="1032">
        <v>33.2</v>
      </c>
      <c r="J1274" s="1040">
        <v>2289.5</v>
      </c>
      <c r="K1274" s="1032">
        <f t="shared" si="210"/>
        <v>44.7</v>
      </c>
      <c r="L1274" s="1040">
        <v>2289.49</v>
      </c>
      <c r="M1274" s="1009">
        <f t="shared" si="211"/>
        <v>0.019523998794491352</v>
      </c>
      <c r="N1274" s="1008">
        <v>244.38</v>
      </c>
      <c r="O1274" s="1010">
        <f t="shared" si="212"/>
        <v>4.771274825397796</v>
      </c>
      <c r="P1274" s="1011">
        <f t="shared" si="213"/>
        <v>1171.4399276694812</v>
      </c>
      <c r="Q1274" s="1012">
        <f t="shared" si="214"/>
        <v>286.27648952386784</v>
      </c>
    </row>
    <row r="1275" spans="1:17" ht="11.25">
      <c r="A1275" s="1366"/>
      <c r="B1275" s="234">
        <v>7</v>
      </c>
      <c r="C1275" s="1164" t="s">
        <v>957</v>
      </c>
      <c r="D1275" s="803">
        <v>40</v>
      </c>
      <c r="E1275" s="803">
        <v>1993</v>
      </c>
      <c r="F1275" s="1033">
        <f t="shared" si="209"/>
        <v>43.5</v>
      </c>
      <c r="G1275" s="1033">
        <v>3</v>
      </c>
      <c r="H1275" s="1033">
        <v>6.4</v>
      </c>
      <c r="I1275" s="1032">
        <v>34.1</v>
      </c>
      <c r="J1275" s="1040">
        <v>2173.9</v>
      </c>
      <c r="K1275" s="1032">
        <f t="shared" si="210"/>
        <v>43.5</v>
      </c>
      <c r="L1275" s="1040">
        <v>2173.87</v>
      </c>
      <c r="M1275" s="1009">
        <f t="shared" si="211"/>
        <v>0.020010396205844876</v>
      </c>
      <c r="N1275" s="1007">
        <v>244.38</v>
      </c>
      <c r="O1275" s="1010">
        <f t="shared" si="212"/>
        <v>4.890140624784371</v>
      </c>
      <c r="P1275" s="1011">
        <f t="shared" si="213"/>
        <v>1200.6237723506924</v>
      </c>
      <c r="Q1275" s="1012">
        <f t="shared" si="214"/>
        <v>293.4084374870622</v>
      </c>
    </row>
    <row r="1276" spans="1:17" ht="11.25">
      <c r="A1276" s="1366"/>
      <c r="B1276" s="234">
        <v>8</v>
      </c>
      <c r="C1276" s="1163" t="s">
        <v>958</v>
      </c>
      <c r="D1276" s="363">
        <v>39</v>
      </c>
      <c r="E1276" s="363">
        <v>1988</v>
      </c>
      <c r="F1276" s="1033">
        <f t="shared" si="209"/>
        <v>45.8</v>
      </c>
      <c r="G1276" s="1033">
        <v>3.56</v>
      </c>
      <c r="H1276" s="1033">
        <v>6.24</v>
      </c>
      <c r="I1276" s="1032">
        <v>36</v>
      </c>
      <c r="J1276" s="1040">
        <v>2275.2</v>
      </c>
      <c r="K1276" s="1032">
        <f t="shared" si="210"/>
        <v>45.8</v>
      </c>
      <c r="L1276" s="1040">
        <v>2275.19</v>
      </c>
      <c r="M1276" s="1009">
        <f t="shared" si="211"/>
        <v>0.020130186929443253</v>
      </c>
      <c r="N1276" s="1007">
        <v>244.38</v>
      </c>
      <c r="O1276" s="1010">
        <f t="shared" si="212"/>
        <v>4.919415081817342</v>
      </c>
      <c r="P1276" s="1011">
        <f t="shared" si="213"/>
        <v>1207.8112157665953</v>
      </c>
      <c r="Q1276" s="1012">
        <f t="shared" si="214"/>
        <v>295.16490490904056</v>
      </c>
    </row>
    <row r="1277" spans="1:17" ht="11.25">
      <c r="A1277" s="1366"/>
      <c r="B1277" s="234">
        <v>9</v>
      </c>
      <c r="C1277" s="378"/>
      <c r="D1277" s="363"/>
      <c r="E1277" s="363"/>
      <c r="F1277" s="364"/>
      <c r="G1277" s="379"/>
      <c r="H1277" s="379"/>
      <c r="I1277" s="379"/>
      <c r="J1277" s="380"/>
      <c r="K1277" s="379"/>
      <c r="L1277" s="380"/>
      <c r="M1277" s="367"/>
      <c r="N1277" s="368"/>
      <c r="O1277" s="376"/>
      <c r="P1277" s="369"/>
      <c r="Q1277" s="375"/>
    </row>
    <row r="1278" spans="1:17" ht="12" thickBot="1">
      <c r="A1278" s="1367"/>
      <c r="B1278" s="235" t="s">
        <v>224</v>
      </c>
      <c r="C1278" s="387"/>
      <c r="D1278" s="398"/>
      <c r="E1278" s="398"/>
      <c r="F1278" s="399"/>
      <c r="G1278" s="389"/>
      <c r="H1278" s="389"/>
      <c r="I1278" s="389"/>
      <c r="J1278" s="390"/>
      <c r="K1278" s="389"/>
      <c r="L1278" s="390"/>
      <c r="M1278" s="401"/>
      <c r="N1278" s="409"/>
      <c r="O1278" s="402"/>
      <c r="P1278" s="402"/>
      <c r="Q1278" s="403"/>
    </row>
    <row r="1279" spans="1:17" ht="11.25">
      <c r="A1279" s="1368" t="s">
        <v>30</v>
      </c>
      <c r="B1279" s="236">
        <v>1</v>
      </c>
      <c r="C1279" s="837" t="s">
        <v>147</v>
      </c>
      <c r="D1279" s="540">
        <v>40</v>
      </c>
      <c r="E1279" s="540">
        <v>1983</v>
      </c>
      <c r="F1279" s="1036">
        <f aca="true" t="shared" si="215" ref="F1279:F1297">G1279+H1279+I1279</f>
        <v>44.22</v>
      </c>
      <c r="G1279" s="1036">
        <v>3.99</v>
      </c>
      <c r="H1279" s="1036">
        <v>6.24</v>
      </c>
      <c r="I1279" s="1036">
        <v>33.99</v>
      </c>
      <c r="J1279" s="1042">
        <v>2268.94</v>
      </c>
      <c r="K1279" s="1036">
        <f aca="true" t="shared" si="216" ref="K1279:K1297">F1279</f>
        <v>44.22</v>
      </c>
      <c r="L1279" s="1042">
        <v>2190.15</v>
      </c>
      <c r="M1279" s="1017">
        <f aca="true" t="shared" si="217" ref="M1279:M1297">K1279/L1279</f>
        <v>0.020190397917950825</v>
      </c>
      <c r="N1279" s="1016">
        <v>244.38</v>
      </c>
      <c r="O1279" s="1018">
        <f aca="true" t="shared" si="218" ref="O1279:O1297">M1279*N1279</f>
        <v>4.934129443188823</v>
      </c>
      <c r="P1279" s="1018">
        <f aca="true" t="shared" si="219" ref="P1279:P1297">M1279*60*1000</f>
        <v>1211.4238750770494</v>
      </c>
      <c r="Q1279" s="1019">
        <f aca="true" t="shared" si="220" ref="Q1279:Q1297">P1279*N1279/1000</f>
        <v>296.0477665913293</v>
      </c>
    </row>
    <row r="1280" spans="1:17" ht="11.25">
      <c r="A1280" s="1369"/>
      <c r="B1280" s="237">
        <v>2</v>
      </c>
      <c r="C1280" s="1165" t="s">
        <v>959</v>
      </c>
      <c r="D1280" s="493">
        <v>18</v>
      </c>
      <c r="E1280" s="493">
        <v>1974</v>
      </c>
      <c r="F1280" s="1034">
        <f t="shared" si="215"/>
        <v>16.509999999999998</v>
      </c>
      <c r="G1280" s="1034">
        <v>1.5</v>
      </c>
      <c r="H1280" s="1034"/>
      <c r="I1280" s="1034">
        <v>15.01</v>
      </c>
      <c r="J1280" s="1041">
        <v>808.66</v>
      </c>
      <c r="K1280" s="1034">
        <f t="shared" si="216"/>
        <v>16.509999999999998</v>
      </c>
      <c r="L1280" s="1041">
        <v>808.66</v>
      </c>
      <c r="M1280" s="1014">
        <f t="shared" si="217"/>
        <v>0.020416491479731902</v>
      </c>
      <c r="N1280" s="1013">
        <v>244.38</v>
      </c>
      <c r="O1280" s="1015">
        <f t="shared" si="218"/>
        <v>4.989382187816882</v>
      </c>
      <c r="P1280" s="1015">
        <f t="shared" si="219"/>
        <v>1224.989488783914</v>
      </c>
      <c r="Q1280" s="1020">
        <f t="shared" si="220"/>
        <v>299.3629312690129</v>
      </c>
    </row>
    <row r="1281" spans="1:17" ht="11.25">
      <c r="A1281" s="1369"/>
      <c r="B1281" s="237">
        <v>3</v>
      </c>
      <c r="C1281" s="1165" t="s">
        <v>960</v>
      </c>
      <c r="D1281" s="493">
        <v>50</v>
      </c>
      <c r="E1281" s="493">
        <v>1980</v>
      </c>
      <c r="F1281" s="1034">
        <f t="shared" si="215"/>
        <v>57.08</v>
      </c>
      <c r="G1281" s="1034">
        <v>4.32</v>
      </c>
      <c r="H1281" s="1034">
        <v>8</v>
      </c>
      <c r="I1281" s="1034">
        <v>44.76</v>
      </c>
      <c r="J1281" s="1041">
        <v>2615.04</v>
      </c>
      <c r="K1281" s="1034">
        <f t="shared" si="216"/>
        <v>57.08</v>
      </c>
      <c r="L1281" s="1041">
        <v>2615.04</v>
      </c>
      <c r="M1281" s="1014">
        <f t="shared" si="217"/>
        <v>0.021827581987273616</v>
      </c>
      <c r="N1281" s="1013">
        <v>244.38</v>
      </c>
      <c r="O1281" s="1015">
        <f t="shared" si="218"/>
        <v>5.334224486049926</v>
      </c>
      <c r="P1281" s="1015">
        <f t="shared" si="219"/>
        <v>1309.6549192364168</v>
      </c>
      <c r="Q1281" s="1020">
        <f t="shared" si="220"/>
        <v>320.0534691629955</v>
      </c>
    </row>
    <row r="1282" spans="1:17" ht="11.25">
      <c r="A1282" s="1369"/>
      <c r="B1282" s="237">
        <v>4</v>
      </c>
      <c r="C1282" s="1165" t="s">
        <v>614</v>
      </c>
      <c r="D1282" s="493">
        <v>24</v>
      </c>
      <c r="E1282" s="493">
        <v>1971</v>
      </c>
      <c r="F1282" s="1034">
        <f t="shared" si="215"/>
        <v>28.5</v>
      </c>
      <c r="G1282" s="1034">
        <v>2.58</v>
      </c>
      <c r="H1282" s="1034">
        <v>0.24</v>
      </c>
      <c r="I1282" s="1034">
        <v>25.68</v>
      </c>
      <c r="J1282" s="1041">
        <v>1271.24</v>
      </c>
      <c r="K1282" s="1034">
        <f t="shared" si="216"/>
        <v>28.5</v>
      </c>
      <c r="L1282" s="1041">
        <v>1271.24</v>
      </c>
      <c r="M1282" s="1014">
        <f t="shared" si="217"/>
        <v>0.022419055410465374</v>
      </c>
      <c r="N1282" s="1013">
        <v>244.38</v>
      </c>
      <c r="O1282" s="1015">
        <f t="shared" si="218"/>
        <v>5.478768761209528</v>
      </c>
      <c r="P1282" s="1015">
        <f t="shared" si="219"/>
        <v>1345.1433246279225</v>
      </c>
      <c r="Q1282" s="1020">
        <f t="shared" si="220"/>
        <v>328.7261256725717</v>
      </c>
    </row>
    <row r="1283" spans="1:17" ht="11.25">
      <c r="A1283" s="1369"/>
      <c r="B1283" s="237">
        <v>5</v>
      </c>
      <c r="C1283" s="1165" t="s">
        <v>961</v>
      </c>
      <c r="D1283" s="493">
        <v>20</v>
      </c>
      <c r="E1283" s="493">
        <v>1970</v>
      </c>
      <c r="F1283" s="1034">
        <f t="shared" si="215"/>
        <v>21.6</v>
      </c>
      <c r="G1283" s="1034">
        <v>1.28</v>
      </c>
      <c r="H1283" s="1034">
        <v>3.2</v>
      </c>
      <c r="I1283" s="1034">
        <v>17.12</v>
      </c>
      <c r="J1283" s="1041">
        <v>957.46</v>
      </c>
      <c r="K1283" s="1034">
        <f t="shared" si="216"/>
        <v>21.6</v>
      </c>
      <c r="L1283" s="1041">
        <v>957.46</v>
      </c>
      <c r="M1283" s="1014">
        <f t="shared" si="217"/>
        <v>0.022559689177615777</v>
      </c>
      <c r="N1283" s="1013">
        <v>244.38</v>
      </c>
      <c r="O1283" s="1015">
        <f t="shared" si="218"/>
        <v>5.5131368412257435</v>
      </c>
      <c r="P1283" s="1015">
        <f t="shared" si="219"/>
        <v>1353.5813506569468</v>
      </c>
      <c r="Q1283" s="1020">
        <f t="shared" si="220"/>
        <v>330.78821047354467</v>
      </c>
    </row>
    <row r="1284" spans="1:17" ht="11.25">
      <c r="A1284" s="1369"/>
      <c r="B1284" s="237">
        <v>6</v>
      </c>
      <c r="C1284" s="1165" t="s">
        <v>962</v>
      </c>
      <c r="D1284" s="493">
        <v>40</v>
      </c>
      <c r="E1284" s="493">
        <v>1992</v>
      </c>
      <c r="F1284" s="1034">
        <f t="shared" si="215"/>
        <v>51.4</v>
      </c>
      <c r="G1284" s="1034">
        <v>3.81</v>
      </c>
      <c r="H1284" s="1034">
        <v>6.4</v>
      </c>
      <c r="I1284" s="1034">
        <v>41.19</v>
      </c>
      <c r="J1284" s="1041">
        <v>2256.03</v>
      </c>
      <c r="K1284" s="1034">
        <f t="shared" si="216"/>
        <v>51.4</v>
      </c>
      <c r="L1284" s="1041">
        <v>2256.03</v>
      </c>
      <c r="M1284" s="1014">
        <f t="shared" si="217"/>
        <v>0.02278338497271756</v>
      </c>
      <c r="N1284" s="1013">
        <v>244.38</v>
      </c>
      <c r="O1284" s="1015">
        <f t="shared" si="218"/>
        <v>5.567803619632717</v>
      </c>
      <c r="P1284" s="1015">
        <f t="shared" si="219"/>
        <v>1367.0030983630536</v>
      </c>
      <c r="Q1284" s="1020">
        <f t="shared" si="220"/>
        <v>334.06821717796305</v>
      </c>
    </row>
    <row r="1285" spans="1:17" ht="11.25">
      <c r="A1285" s="1369"/>
      <c r="B1285" s="237">
        <v>7</v>
      </c>
      <c r="C1285" s="1165" t="s">
        <v>963</v>
      </c>
      <c r="D1285" s="493">
        <v>18</v>
      </c>
      <c r="E1285" s="493"/>
      <c r="F1285" s="1034">
        <f t="shared" si="215"/>
        <v>18.83</v>
      </c>
      <c r="G1285" s="1034">
        <v>1.78</v>
      </c>
      <c r="H1285" s="1034">
        <v>2.88</v>
      </c>
      <c r="I1285" s="1034">
        <v>14.17</v>
      </c>
      <c r="J1285" s="1041">
        <v>787.7</v>
      </c>
      <c r="K1285" s="1034">
        <f t="shared" si="216"/>
        <v>18.83</v>
      </c>
      <c r="L1285" s="1041">
        <v>787.7</v>
      </c>
      <c r="M1285" s="1014">
        <f t="shared" si="217"/>
        <v>0.023905039989843845</v>
      </c>
      <c r="N1285" s="1013">
        <v>244.38</v>
      </c>
      <c r="O1285" s="1015">
        <f t="shared" si="218"/>
        <v>5.8419136727180385</v>
      </c>
      <c r="P1285" s="1015">
        <f t="shared" si="219"/>
        <v>1434.3023993906309</v>
      </c>
      <c r="Q1285" s="1020">
        <f t="shared" si="220"/>
        <v>350.5148203630823</v>
      </c>
    </row>
    <row r="1286" spans="1:17" ht="11.25">
      <c r="A1286" s="1369"/>
      <c r="B1286" s="237">
        <v>8</v>
      </c>
      <c r="C1286" s="1165" t="s">
        <v>964</v>
      </c>
      <c r="D1286" s="493">
        <v>20</v>
      </c>
      <c r="E1286" s="493">
        <v>1994</v>
      </c>
      <c r="F1286" s="1034">
        <f t="shared" si="215"/>
        <v>29.84</v>
      </c>
      <c r="G1286" s="1034">
        <v>1.66</v>
      </c>
      <c r="H1286" s="1034">
        <v>3.2</v>
      </c>
      <c r="I1286" s="1034">
        <v>24.98</v>
      </c>
      <c r="J1286" s="1041">
        <v>1238.6</v>
      </c>
      <c r="K1286" s="1034">
        <f t="shared" si="216"/>
        <v>29.84</v>
      </c>
      <c r="L1286" s="1041">
        <v>1238.61</v>
      </c>
      <c r="M1286" s="1014">
        <f t="shared" si="217"/>
        <v>0.024091521947990087</v>
      </c>
      <c r="N1286" s="1013">
        <v>244.38</v>
      </c>
      <c r="O1286" s="1015">
        <f t="shared" si="218"/>
        <v>5.887486133649817</v>
      </c>
      <c r="P1286" s="1015">
        <f t="shared" si="219"/>
        <v>1445.4913168794053</v>
      </c>
      <c r="Q1286" s="1020">
        <f t="shared" si="220"/>
        <v>353.2491680189891</v>
      </c>
    </row>
    <row r="1287" spans="1:17" ht="11.25">
      <c r="A1287" s="1369"/>
      <c r="B1287" s="237">
        <v>9</v>
      </c>
      <c r="C1287" s="837" t="s">
        <v>965</v>
      </c>
      <c r="D1287" s="540">
        <v>10</v>
      </c>
      <c r="E1287" s="540">
        <v>1971</v>
      </c>
      <c r="F1287" s="1035">
        <f t="shared" si="215"/>
        <v>16.4</v>
      </c>
      <c r="G1287" s="1036">
        <v>0.77</v>
      </c>
      <c r="H1287" s="1036">
        <v>1.6</v>
      </c>
      <c r="I1287" s="1036">
        <v>14.03</v>
      </c>
      <c r="J1287" s="1042">
        <v>649.3</v>
      </c>
      <c r="K1287" s="1035">
        <f t="shared" si="216"/>
        <v>16.4</v>
      </c>
      <c r="L1287" s="1042">
        <v>649.3</v>
      </c>
      <c r="M1287" s="1017">
        <f t="shared" si="217"/>
        <v>0.025257970121669488</v>
      </c>
      <c r="N1287" s="1016">
        <v>244.38</v>
      </c>
      <c r="O1287" s="1018">
        <f t="shared" si="218"/>
        <v>6.17254273833359</v>
      </c>
      <c r="P1287" s="1018">
        <f t="shared" si="219"/>
        <v>1515.4782073001693</v>
      </c>
      <c r="Q1287" s="1019">
        <f t="shared" si="220"/>
        <v>370.35256430001533</v>
      </c>
    </row>
    <row r="1288" spans="1:17" ht="12" thickBot="1">
      <c r="A1288" s="1370"/>
      <c r="B1288" s="238" t="s">
        <v>224</v>
      </c>
      <c r="C1288" s="1166" t="s">
        <v>966</v>
      </c>
      <c r="D1288" s="494">
        <v>36</v>
      </c>
      <c r="E1288" s="494">
        <v>1984</v>
      </c>
      <c r="F1288" s="1145">
        <f t="shared" si="215"/>
        <v>36.300000000000004</v>
      </c>
      <c r="G1288" s="1145">
        <v>1.78</v>
      </c>
      <c r="H1288" s="1145">
        <v>5.76</v>
      </c>
      <c r="I1288" s="1145">
        <v>28.76</v>
      </c>
      <c r="J1288" s="1146">
        <v>1431.02</v>
      </c>
      <c r="K1288" s="1145">
        <f t="shared" si="216"/>
        <v>36.300000000000004</v>
      </c>
      <c r="L1288" s="1146">
        <v>1431.02</v>
      </c>
      <c r="M1288" s="1147">
        <f t="shared" si="217"/>
        <v>0.025366521781666228</v>
      </c>
      <c r="N1288" s="1148">
        <v>244.38</v>
      </c>
      <c r="O1288" s="1149">
        <f t="shared" si="218"/>
        <v>6.199070593003593</v>
      </c>
      <c r="P1288" s="1149">
        <f t="shared" si="219"/>
        <v>1521.9913068999738</v>
      </c>
      <c r="Q1288" s="1150">
        <f t="shared" si="220"/>
        <v>371.9442355802156</v>
      </c>
    </row>
    <row r="1289" spans="1:17" ht="11.25">
      <c r="A1289" s="1215" t="s">
        <v>12</v>
      </c>
      <c r="B1289" s="236">
        <v>1</v>
      </c>
      <c r="C1289" s="1167" t="s">
        <v>967</v>
      </c>
      <c r="D1289" s="1027">
        <v>15</v>
      </c>
      <c r="E1289" s="1027">
        <v>1982</v>
      </c>
      <c r="F1289" s="1038">
        <f t="shared" si="215"/>
        <v>23.82</v>
      </c>
      <c r="G1289" s="1038">
        <v>2.08</v>
      </c>
      <c r="H1289" s="1038">
        <v>2.4</v>
      </c>
      <c r="I1289" s="1038">
        <v>19.34</v>
      </c>
      <c r="J1289" s="1044">
        <v>886.91</v>
      </c>
      <c r="K1289" s="1038">
        <f t="shared" si="216"/>
        <v>23.82</v>
      </c>
      <c r="L1289" s="1044">
        <v>886.91</v>
      </c>
      <c r="M1289" s="1028">
        <f t="shared" si="217"/>
        <v>0.026857291044187125</v>
      </c>
      <c r="N1289" s="1021">
        <v>244.38</v>
      </c>
      <c r="O1289" s="1024">
        <f t="shared" si="218"/>
        <v>6.5633847853784495</v>
      </c>
      <c r="P1289" s="1024">
        <f t="shared" si="219"/>
        <v>1611.4374626512276</v>
      </c>
      <c r="Q1289" s="1029">
        <f t="shared" si="220"/>
        <v>393.803087122707</v>
      </c>
    </row>
    <row r="1290" spans="1:17" ht="11.25">
      <c r="A1290" s="1216"/>
      <c r="B1290" s="237">
        <v>2</v>
      </c>
      <c r="C1290" s="1168" t="s">
        <v>968</v>
      </c>
      <c r="D1290" s="1026">
        <v>15</v>
      </c>
      <c r="E1290" s="862"/>
      <c r="F1290" s="1037">
        <f t="shared" si="215"/>
        <v>21.3</v>
      </c>
      <c r="G1290" s="1037">
        <v>1.1</v>
      </c>
      <c r="H1290" s="1037">
        <v>2.4</v>
      </c>
      <c r="I1290" s="1038">
        <v>17.8</v>
      </c>
      <c r="J1290" s="1043">
        <v>787.02</v>
      </c>
      <c r="K1290" s="1037">
        <f t="shared" si="216"/>
        <v>21.3</v>
      </c>
      <c r="L1290" s="1043">
        <v>787.02</v>
      </c>
      <c r="M1290" s="1022">
        <f t="shared" si="217"/>
        <v>0.02706411527025997</v>
      </c>
      <c r="N1290" s="1021">
        <v>244.38</v>
      </c>
      <c r="O1290" s="1023">
        <f t="shared" si="218"/>
        <v>6.613928489746131</v>
      </c>
      <c r="P1290" s="1024">
        <f t="shared" si="219"/>
        <v>1623.8469162155982</v>
      </c>
      <c r="Q1290" s="1025">
        <f t="shared" si="220"/>
        <v>396.8357093847679</v>
      </c>
    </row>
    <row r="1291" spans="1:17" ht="11.25">
      <c r="A1291" s="1216"/>
      <c r="B1291" s="237">
        <v>3</v>
      </c>
      <c r="C1291" s="1169" t="s">
        <v>969</v>
      </c>
      <c r="D1291" s="518">
        <v>8</v>
      </c>
      <c r="E1291" s="518">
        <v>1959</v>
      </c>
      <c r="F1291" s="1037">
        <f t="shared" si="215"/>
        <v>10.3</v>
      </c>
      <c r="G1291" s="1037">
        <v>0.63</v>
      </c>
      <c r="H1291" s="1037">
        <v>1.28</v>
      </c>
      <c r="I1291" s="1038">
        <v>8.39</v>
      </c>
      <c r="J1291" s="1043">
        <v>371.23</v>
      </c>
      <c r="K1291" s="1037">
        <f t="shared" si="216"/>
        <v>10.3</v>
      </c>
      <c r="L1291" s="1043">
        <v>371.23</v>
      </c>
      <c r="M1291" s="1022">
        <f t="shared" si="217"/>
        <v>0.027745602456698003</v>
      </c>
      <c r="N1291" s="1021">
        <v>244.38</v>
      </c>
      <c r="O1291" s="1023">
        <f t="shared" si="218"/>
        <v>6.780470328367858</v>
      </c>
      <c r="P1291" s="1024">
        <f t="shared" si="219"/>
        <v>1664.7361474018803</v>
      </c>
      <c r="Q1291" s="1025">
        <f t="shared" si="220"/>
        <v>406.8282197020715</v>
      </c>
    </row>
    <row r="1292" spans="1:17" ht="11.25">
      <c r="A1292" s="1216"/>
      <c r="B1292" s="237">
        <v>4</v>
      </c>
      <c r="C1292" s="1167" t="s">
        <v>970</v>
      </c>
      <c r="D1292" s="1027">
        <v>20</v>
      </c>
      <c r="E1292" s="1027">
        <v>1986</v>
      </c>
      <c r="F1292" s="1037">
        <f t="shared" si="215"/>
        <v>29.6</v>
      </c>
      <c r="G1292" s="1037">
        <v>1.12</v>
      </c>
      <c r="H1292" s="1037">
        <v>3.2</v>
      </c>
      <c r="I1292" s="1038">
        <v>25.28</v>
      </c>
      <c r="J1292" s="1043">
        <v>1062.4</v>
      </c>
      <c r="K1292" s="1045">
        <f t="shared" si="216"/>
        <v>29.6</v>
      </c>
      <c r="L1292" s="1043">
        <v>1062.4</v>
      </c>
      <c r="M1292" s="1022">
        <f t="shared" si="217"/>
        <v>0.02786144578313253</v>
      </c>
      <c r="N1292" s="1021">
        <v>244.38</v>
      </c>
      <c r="O1292" s="1023">
        <f t="shared" si="218"/>
        <v>6.808780120481927</v>
      </c>
      <c r="P1292" s="1024">
        <f t="shared" si="219"/>
        <v>1671.6867469879517</v>
      </c>
      <c r="Q1292" s="1025">
        <f t="shared" si="220"/>
        <v>408.52680722891563</v>
      </c>
    </row>
    <row r="1293" spans="1:17" ht="11.25">
      <c r="A1293" s="1216"/>
      <c r="B1293" s="237">
        <v>5</v>
      </c>
      <c r="C1293" s="1169" t="s">
        <v>971</v>
      </c>
      <c r="D1293" s="518">
        <v>12</v>
      </c>
      <c r="E1293" s="518">
        <v>1985</v>
      </c>
      <c r="F1293" s="1037">
        <f t="shared" si="215"/>
        <v>20.6</v>
      </c>
      <c r="G1293" s="1037">
        <v>1.83</v>
      </c>
      <c r="H1293" s="1037">
        <v>1.92</v>
      </c>
      <c r="I1293" s="1038">
        <v>16.85</v>
      </c>
      <c r="J1293" s="1043">
        <v>704.64</v>
      </c>
      <c r="K1293" s="1037">
        <f t="shared" si="216"/>
        <v>20.6</v>
      </c>
      <c r="L1293" s="1043">
        <v>704.64</v>
      </c>
      <c r="M1293" s="1022">
        <f t="shared" si="217"/>
        <v>0.029234786557674843</v>
      </c>
      <c r="N1293" s="1021">
        <v>244.38</v>
      </c>
      <c r="O1293" s="1023">
        <f t="shared" si="218"/>
        <v>7.144397138964578</v>
      </c>
      <c r="P1293" s="1024">
        <f t="shared" si="219"/>
        <v>1754.0871934604904</v>
      </c>
      <c r="Q1293" s="1025">
        <f t="shared" si="220"/>
        <v>428.6638283378747</v>
      </c>
    </row>
    <row r="1294" spans="1:17" ht="11.25">
      <c r="A1294" s="1216"/>
      <c r="B1294" s="237">
        <v>6</v>
      </c>
      <c r="C1294" s="1167" t="s">
        <v>972</v>
      </c>
      <c r="D1294" s="1027">
        <v>7</v>
      </c>
      <c r="E1294" s="1027"/>
      <c r="F1294" s="1038">
        <f t="shared" si="215"/>
        <v>11.100000000000001</v>
      </c>
      <c r="G1294" s="1038">
        <v>0.13</v>
      </c>
      <c r="H1294" s="1038">
        <v>0</v>
      </c>
      <c r="I1294" s="1038">
        <v>10.97</v>
      </c>
      <c r="J1294" s="1044">
        <v>379.07</v>
      </c>
      <c r="K1294" s="1045">
        <f t="shared" si="216"/>
        <v>11.100000000000001</v>
      </c>
      <c r="L1294" s="1044">
        <v>379.07</v>
      </c>
      <c r="M1294" s="1028">
        <f t="shared" si="217"/>
        <v>0.029282190624422933</v>
      </c>
      <c r="N1294" s="1021">
        <v>244.38</v>
      </c>
      <c r="O1294" s="1024">
        <f t="shared" si="218"/>
        <v>7.155981744796477</v>
      </c>
      <c r="P1294" s="1024">
        <f t="shared" si="219"/>
        <v>1756.931437465376</v>
      </c>
      <c r="Q1294" s="1029">
        <f t="shared" si="220"/>
        <v>429.3589046877886</v>
      </c>
    </row>
    <row r="1295" spans="1:17" ht="11.25">
      <c r="A1295" s="1216"/>
      <c r="B1295" s="237">
        <v>7</v>
      </c>
      <c r="C1295" s="1170" t="s">
        <v>973</v>
      </c>
      <c r="D1295" s="1030">
        <v>6</v>
      </c>
      <c r="E1295" s="518">
        <v>1980</v>
      </c>
      <c r="F1295" s="1037">
        <f t="shared" si="215"/>
        <v>9.77</v>
      </c>
      <c r="G1295" s="1037">
        <v>0.4</v>
      </c>
      <c r="H1295" s="1037">
        <v>0.96</v>
      </c>
      <c r="I1295" s="1038">
        <v>8.41</v>
      </c>
      <c r="J1295" s="1043">
        <v>323.84</v>
      </c>
      <c r="K1295" s="1037">
        <f t="shared" si="216"/>
        <v>9.77</v>
      </c>
      <c r="L1295" s="1043">
        <v>323.84</v>
      </c>
      <c r="M1295" s="1022">
        <f t="shared" si="217"/>
        <v>0.030169219367588932</v>
      </c>
      <c r="N1295" s="1021">
        <v>244.38</v>
      </c>
      <c r="O1295" s="1023">
        <f t="shared" si="218"/>
        <v>7.372753829051383</v>
      </c>
      <c r="P1295" s="1024">
        <f t="shared" si="219"/>
        <v>1810.153162055336</v>
      </c>
      <c r="Q1295" s="1025">
        <f t="shared" si="220"/>
        <v>442.36522974308303</v>
      </c>
    </row>
    <row r="1296" spans="1:17" ht="11.25">
      <c r="A1296" s="1216"/>
      <c r="B1296" s="237">
        <v>8</v>
      </c>
      <c r="C1296" s="1169" t="s">
        <v>974</v>
      </c>
      <c r="D1296" s="518">
        <v>12</v>
      </c>
      <c r="E1296" s="518">
        <v>1980</v>
      </c>
      <c r="F1296" s="1037">
        <f t="shared" si="215"/>
        <v>19.6</v>
      </c>
      <c r="G1296" s="1037">
        <v>1.5</v>
      </c>
      <c r="H1296" s="1037">
        <v>1.92</v>
      </c>
      <c r="I1296" s="1038">
        <v>16.18</v>
      </c>
      <c r="J1296" s="1043">
        <v>648.21</v>
      </c>
      <c r="K1296" s="1037">
        <f t="shared" si="216"/>
        <v>19.6</v>
      </c>
      <c r="L1296" s="1043">
        <v>648.21</v>
      </c>
      <c r="M1296" s="1022">
        <f t="shared" si="217"/>
        <v>0.03023711451535768</v>
      </c>
      <c r="N1296" s="1021">
        <v>244.38</v>
      </c>
      <c r="O1296" s="1023">
        <f t="shared" si="218"/>
        <v>7.3893460452631095</v>
      </c>
      <c r="P1296" s="1024">
        <f t="shared" si="219"/>
        <v>1814.2268709214609</v>
      </c>
      <c r="Q1296" s="1025">
        <f t="shared" si="220"/>
        <v>443.36076271578656</v>
      </c>
    </row>
    <row r="1297" spans="1:17" ht="11.25">
      <c r="A1297" s="1216"/>
      <c r="B1297" s="237">
        <v>9</v>
      </c>
      <c r="C1297" s="1169" t="s">
        <v>975</v>
      </c>
      <c r="D1297" s="518">
        <v>5</v>
      </c>
      <c r="E1297" s="518"/>
      <c r="F1297" s="1037">
        <f t="shared" si="215"/>
        <v>7.9</v>
      </c>
      <c r="G1297" s="1037">
        <v>0.26</v>
      </c>
      <c r="H1297" s="1037">
        <v>0.8</v>
      </c>
      <c r="I1297" s="1038">
        <v>6.84</v>
      </c>
      <c r="J1297" s="1043">
        <v>254.18</v>
      </c>
      <c r="K1297" s="1037">
        <f t="shared" si="216"/>
        <v>7.9</v>
      </c>
      <c r="L1297" s="1043">
        <v>254.18</v>
      </c>
      <c r="M1297" s="1022">
        <f t="shared" si="217"/>
        <v>0.031080336769218665</v>
      </c>
      <c r="N1297" s="1021">
        <v>244.38</v>
      </c>
      <c r="O1297" s="1023">
        <f t="shared" si="218"/>
        <v>7.595412699661657</v>
      </c>
      <c r="P1297" s="1024">
        <f t="shared" si="219"/>
        <v>1864.82020615312</v>
      </c>
      <c r="Q1297" s="1025">
        <f t="shared" si="220"/>
        <v>455.72476197969945</v>
      </c>
    </row>
    <row r="1298" spans="1:17" ht="12" thickBot="1">
      <c r="A1298" s="1217"/>
      <c r="B1298" s="238" t="s">
        <v>224</v>
      </c>
      <c r="C1298" s="473"/>
      <c r="D1298" s="105"/>
      <c r="E1298" s="105"/>
      <c r="F1298" s="205"/>
      <c r="G1298" s="610"/>
      <c r="H1298" s="610"/>
      <c r="I1298" s="610"/>
      <c r="J1298" s="770"/>
      <c r="K1298" s="562"/>
      <c r="L1298" s="770"/>
      <c r="M1298" s="121"/>
      <c r="N1298" s="345"/>
      <c r="O1298" s="123"/>
      <c r="P1298" s="771"/>
      <c r="Q1298" s="124"/>
    </row>
    <row r="1299" spans="3:5" ht="11.25">
      <c r="C1299" s="1"/>
      <c r="D1299" s="1"/>
      <c r="E1299" s="1"/>
    </row>
    <row r="1303" spans="1:17" ht="15">
      <c r="A1303" s="1199" t="s">
        <v>1013</v>
      </c>
      <c r="B1303" s="1199"/>
      <c r="C1303" s="1199"/>
      <c r="D1303" s="1199"/>
      <c r="E1303" s="1199"/>
      <c r="F1303" s="1199"/>
      <c r="G1303" s="1199"/>
      <c r="H1303" s="1199"/>
      <c r="I1303" s="1199"/>
      <c r="J1303" s="1199"/>
      <c r="K1303" s="1199"/>
      <c r="L1303" s="1199"/>
      <c r="M1303" s="1199"/>
      <c r="N1303" s="1199"/>
      <c r="O1303" s="1199"/>
      <c r="P1303" s="1199"/>
      <c r="Q1303" s="1199"/>
    </row>
    <row r="1304" spans="1:17" ht="13.5" thickBot="1">
      <c r="A1304" s="1200" t="s">
        <v>927</v>
      </c>
      <c r="B1304" s="1200"/>
      <c r="C1304" s="1200"/>
      <c r="D1304" s="1200"/>
      <c r="E1304" s="1200"/>
      <c r="F1304" s="1200"/>
      <c r="G1304" s="1200"/>
      <c r="H1304" s="1200"/>
      <c r="I1304" s="1200"/>
      <c r="J1304" s="1200"/>
      <c r="K1304" s="1200"/>
      <c r="L1304" s="1200"/>
      <c r="M1304" s="1200"/>
      <c r="N1304" s="1200"/>
      <c r="O1304" s="1200"/>
      <c r="P1304" s="1200"/>
      <c r="Q1304" s="1200"/>
    </row>
    <row r="1305" spans="1:17" ht="11.25">
      <c r="A1305" s="1201" t="s">
        <v>1</v>
      </c>
      <c r="B1305" s="1203" t="s">
        <v>0</v>
      </c>
      <c r="C1305" s="1193" t="s">
        <v>2</v>
      </c>
      <c r="D1305" s="1193" t="s">
        <v>3</v>
      </c>
      <c r="E1305" s="1193" t="s">
        <v>13</v>
      </c>
      <c r="F1305" s="1207" t="s">
        <v>14</v>
      </c>
      <c r="G1305" s="1208"/>
      <c r="H1305" s="1208"/>
      <c r="I1305" s="1209"/>
      <c r="J1305" s="1193" t="s">
        <v>4</v>
      </c>
      <c r="K1305" s="1193" t="s">
        <v>15</v>
      </c>
      <c r="L1305" s="1193" t="s">
        <v>5</v>
      </c>
      <c r="M1305" s="1193" t="s">
        <v>6</v>
      </c>
      <c r="N1305" s="1193" t="s">
        <v>16</v>
      </c>
      <c r="O1305" s="1195" t="s">
        <v>17</v>
      </c>
      <c r="P1305" s="1193" t="s">
        <v>25</v>
      </c>
      <c r="Q1305" s="1197" t="s">
        <v>26</v>
      </c>
    </row>
    <row r="1306" spans="1:17" ht="33.75">
      <c r="A1306" s="1202"/>
      <c r="B1306" s="1204"/>
      <c r="C1306" s="1205"/>
      <c r="D1306" s="1194"/>
      <c r="E1306" s="1194"/>
      <c r="F1306" s="26" t="s">
        <v>18</v>
      </c>
      <c r="G1306" s="26" t="s">
        <v>19</v>
      </c>
      <c r="H1306" s="26" t="s">
        <v>20</v>
      </c>
      <c r="I1306" s="26" t="s">
        <v>21</v>
      </c>
      <c r="J1306" s="1194"/>
      <c r="K1306" s="1194"/>
      <c r="L1306" s="1194"/>
      <c r="M1306" s="1194"/>
      <c r="N1306" s="1194"/>
      <c r="O1306" s="1196"/>
      <c r="P1306" s="1194"/>
      <c r="Q1306" s="1198"/>
    </row>
    <row r="1307" spans="1:17" ht="23.25" thickBot="1">
      <c r="A1307" s="1202"/>
      <c r="B1307" s="1204"/>
      <c r="C1307" s="1206"/>
      <c r="D1307" s="42" t="s">
        <v>7</v>
      </c>
      <c r="E1307" s="42" t="s">
        <v>8</v>
      </c>
      <c r="F1307" s="42" t="s">
        <v>9</v>
      </c>
      <c r="G1307" s="42" t="s">
        <v>9</v>
      </c>
      <c r="H1307" s="42" t="s">
        <v>9</v>
      </c>
      <c r="I1307" s="42" t="s">
        <v>9</v>
      </c>
      <c r="J1307" s="42" t="s">
        <v>22</v>
      </c>
      <c r="K1307" s="42" t="s">
        <v>9</v>
      </c>
      <c r="L1307" s="42" t="s">
        <v>22</v>
      </c>
      <c r="M1307" s="42" t="s">
        <v>131</v>
      </c>
      <c r="N1307" s="42" t="s">
        <v>10</v>
      </c>
      <c r="O1307" s="42" t="s">
        <v>132</v>
      </c>
      <c r="P1307" s="43" t="s">
        <v>27</v>
      </c>
      <c r="Q1307" s="44" t="s">
        <v>28</v>
      </c>
    </row>
    <row r="1308" spans="1:17" ht="11.25" customHeight="1">
      <c r="A1308" s="1251" t="s">
        <v>45</v>
      </c>
      <c r="B1308" s="236">
        <v>1</v>
      </c>
      <c r="C1308" s="362" t="s">
        <v>990</v>
      </c>
      <c r="D1308" s="363">
        <v>60</v>
      </c>
      <c r="E1308" s="363" t="s">
        <v>991</v>
      </c>
      <c r="F1308" s="365">
        <v>41.99</v>
      </c>
      <c r="G1308" s="365">
        <v>5.104</v>
      </c>
      <c r="H1308" s="365">
        <v>9.6</v>
      </c>
      <c r="I1308" s="364">
        <v>27.286</v>
      </c>
      <c r="J1308" s="846"/>
      <c r="K1308" s="365">
        <v>27.286</v>
      </c>
      <c r="L1308" s="366">
        <v>2539.48</v>
      </c>
      <c r="M1308" s="367">
        <f aca="true" t="shared" si="221" ref="M1308:M1329">K1308/L1308</f>
        <v>0.010744719391371463</v>
      </c>
      <c r="N1308" s="368">
        <v>276.97</v>
      </c>
      <c r="O1308" s="369">
        <f aca="true" t="shared" si="222" ref="O1308:O1329">M1308*N1308</f>
        <v>2.9759649298281543</v>
      </c>
      <c r="P1308" s="369">
        <f aca="true" t="shared" si="223" ref="P1308:P1329">M1308*60*1000</f>
        <v>644.6831634822878</v>
      </c>
      <c r="Q1308" s="370">
        <f aca="true" t="shared" si="224" ref="Q1308:Q1329">P1308*N1308/1000</f>
        <v>178.55789578968927</v>
      </c>
    </row>
    <row r="1309" spans="1:17" ht="11.25" customHeight="1">
      <c r="A1309" s="1213"/>
      <c r="B1309" s="922">
        <v>2</v>
      </c>
      <c r="C1309" s="362" t="s">
        <v>992</v>
      </c>
      <c r="D1309" s="363">
        <v>55</v>
      </c>
      <c r="E1309" s="363" t="s">
        <v>991</v>
      </c>
      <c r="F1309" s="364">
        <v>43.554</v>
      </c>
      <c r="G1309" s="364">
        <v>3.649</v>
      </c>
      <c r="H1309" s="364">
        <v>8.8</v>
      </c>
      <c r="I1309" s="364">
        <v>31.105</v>
      </c>
      <c r="J1309" s="847"/>
      <c r="K1309" s="364">
        <v>31.105</v>
      </c>
      <c r="L1309" s="372">
        <v>2542.62</v>
      </c>
      <c r="M1309" s="367">
        <f t="shared" si="221"/>
        <v>0.012233444242552958</v>
      </c>
      <c r="N1309" s="368">
        <v>276.97</v>
      </c>
      <c r="O1309" s="369">
        <f t="shared" si="222"/>
        <v>3.3882970518598934</v>
      </c>
      <c r="P1309" s="369">
        <f t="shared" si="223"/>
        <v>734.0066545531774</v>
      </c>
      <c r="Q1309" s="370">
        <f t="shared" si="224"/>
        <v>203.29782311159357</v>
      </c>
    </row>
    <row r="1310" spans="1:17" ht="11.25" customHeight="1">
      <c r="A1310" s="1213"/>
      <c r="B1310" s="234">
        <v>3</v>
      </c>
      <c r="C1310" s="362" t="s">
        <v>993</v>
      </c>
      <c r="D1310" s="363">
        <v>36</v>
      </c>
      <c r="E1310" s="363" t="s">
        <v>991</v>
      </c>
      <c r="F1310" s="364">
        <v>39.782</v>
      </c>
      <c r="G1310" s="364">
        <v>4.493</v>
      </c>
      <c r="H1310" s="364">
        <v>5.76</v>
      </c>
      <c r="I1310" s="364">
        <v>29.529</v>
      </c>
      <c r="J1310" s="847"/>
      <c r="K1310" s="364">
        <v>29.529</v>
      </c>
      <c r="L1310" s="372">
        <v>2319.07</v>
      </c>
      <c r="M1310" s="374">
        <f t="shared" si="221"/>
        <v>0.012733121466794879</v>
      </c>
      <c r="N1310" s="368">
        <v>276.97</v>
      </c>
      <c r="O1310" s="369">
        <f t="shared" si="222"/>
        <v>3.526692652658178</v>
      </c>
      <c r="P1310" s="369">
        <f t="shared" si="223"/>
        <v>763.9872880076928</v>
      </c>
      <c r="Q1310" s="375">
        <f t="shared" si="224"/>
        <v>211.60155915949068</v>
      </c>
    </row>
    <row r="1311" spans="1:17" ht="11.25" customHeight="1">
      <c r="A1311" s="1213"/>
      <c r="B1311" s="234">
        <v>4</v>
      </c>
      <c r="C1311" s="362" t="s">
        <v>994</v>
      </c>
      <c r="D1311" s="363">
        <v>60</v>
      </c>
      <c r="E1311" s="363" t="s">
        <v>991</v>
      </c>
      <c r="F1311" s="364">
        <v>46.88</v>
      </c>
      <c r="G1311" s="364">
        <v>4.66</v>
      </c>
      <c r="H1311" s="364">
        <v>9.6</v>
      </c>
      <c r="I1311" s="364">
        <v>32.62</v>
      </c>
      <c r="J1311" s="847"/>
      <c r="K1311" s="364">
        <v>32.62</v>
      </c>
      <c r="L1311" s="372">
        <v>2501.31</v>
      </c>
      <c r="M1311" s="374">
        <f t="shared" si="221"/>
        <v>0.013041166428791313</v>
      </c>
      <c r="N1311" s="368">
        <v>276.97</v>
      </c>
      <c r="O1311" s="376">
        <f t="shared" si="222"/>
        <v>3.61201186578233</v>
      </c>
      <c r="P1311" s="369">
        <f t="shared" si="223"/>
        <v>782.4699857274788</v>
      </c>
      <c r="Q1311" s="375">
        <f t="shared" si="224"/>
        <v>216.72071194693984</v>
      </c>
    </row>
    <row r="1312" spans="1:17" ht="11.25" customHeight="1">
      <c r="A1312" s="1213"/>
      <c r="B1312" s="234">
        <v>5</v>
      </c>
      <c r="C1312" s="362" t="s">
        <v>995</v>
      </c>
      <c r="D1312" s="363">
        <v>45</v>
      </c>
      <c r="E1312" s="363" t="s">
        <v>991</v>
      </c>
      <c r="F1312" s="364">
        <v>42.979</v>
      </c>
      <c r="G1312" s="364">
        <v>5.132</v>
      </c>
      <c r="H1312" s="364">
        <v>7.2</v>
      </c>
      <c r="I1312" s="364">
        <v>30.647</v>
      </c>
      <c r="J1312" s="847"/>
      <c r="K1312" s="364">
        <v>30.647</v>
      </c>
      <c r="L1312" s="372">
        <v>2224.3</v>
      </c>
      <c r="M1312" s="374">
        <f t="shared" si="221"/>
        <v>0.013778267320055746</v>
      </c>
      <c r="N1312" s="368">
        <v>276.97</v>
      </c>
      <c r="O1312" s="376">
        <f t="shared" si="222"/>
        <v>3.8161666996358403</v>
      </c>
      <c r="P1312" s="369">
        <f t="shared" si="223"/>
        <v>826.6960392033448</v>
      </c>
      <c r="Q1312" s="375">
        <f t="shared" si="224"/>
        <v>228.97000197815044</v>
      </c>
    </row>
    <row r="1313" spans="1:17" ht="11.25" customHeight="1">
      <c r="A1313" s="1213"/>
      <c r="B1313" s="234">
        <v>6</v>
      </c>
      <c r="C1313" s="362" t="s">
        <v>996</v>
      </c>
      <c r="D1313" s="363">
        <v>45</v>
      </c>
      <c r="E1313" s="363" t="s">
        <v>991</v>
      </c>
      <c r="F1313" s="364">
        <v>43.226</v>
      </c>
      <c r="G1313" s="364">
        <v>4.888</v>
      </c>
      <c r="H1313" s="364">
        <v>7.2</v>
      </c>
      <c r="I1313" s="364">
        <v>31.138</v>
      </c>
      <c r="J1313" s="847"/>
      <c r="K1313" s="364">
        <v>31.138</v>
      </c>
      <c r="L1313" s="372">
        <v>2197.37</v>
      </c>
      <c r="M1313" s="374">
        <f t="shared" si="221"/>
        <v>0.014170576643897023</v>
      </c>
      <c r="N1313" s="368">
        <v>276.97</v>
      </c>
      <c r="O1313" s="376">
        <f t="shared" si="222"/>
        <v>3.9248246130601587</v>
      </c>
      <c r="P1313" s="369">
        <f t="shared" si="223"/>
        <v>850.2345986338213</v>
      </c>
      <c r="Q1313" s="375">
        <f t="shared" si="224"/>
        <v>235.48947678360952</v>
      </c>
    </row>
    <row r="1314" spans="1:17" ht="11.25" customHeight="1">
      <c r="A1314" s="1213"/>
      <c r="B1314" s="234">
        <v>7</v>
      </c>
      <c r="C1314" s="362" t="s">
        <v>997</v>
      </c>
      <c r="D1314" s="363">
        <v>20</v>
      </c>
      <c r="E1314" s="363" t="s">
        <v>991</v>
      </c>
      <c r="F1314" s="364">
        <v>24.07</v>
      </c>
      <c r="G1314" s="364">
        <v>2.666</v>
      </c>
      <c r="H1314" s="364">
        <v>3.2</v>
      </c>
      <c r="I1314" s="364">
        <v>18.204</v>
      </c>
      <c r="J1314" s="847"/>
      <c r="K1314" s="364">
        <v>18.204</v>
      </c>
      <c r="L1314" s="372">
        <v>1275.88</v>
      </c>
      <c r="M1314" s="374">
        <f t="shared" si="221"/>
        <v>0.014267799479574881</v>
      </c>
      <c r="N1314" s="368">
        <v>276.97</v>
      </c>
      <c r="O1314" s="376">
        <f t="shared" si="222"/>
        <v>3.9517524218578552</v>
      </c>
      <c r="P1314" s="369">
        <f t="shared" si="223"/>
        <v>856.0679687744929</v>
      </c>
      <c r="Q1314" s="375">
        <f t="shared" si="224"/>
        <v>237.10514531147132</v>
      </c>
    </row>
    <row r="1315" spans="1:17" ht="12.75" customHeight="1">
      <c r="A1315" s="1213"/>
      <c r="B1315" s="234">
        <v>8</v>
      </c>
      <c r="C1315" s="362" t="s">
        <v>998</v>
      </c>
      <c r="D1315" s="363">
        <v>35</v>
      </c>
      <c r="E1315" s="363" t="s">
        <v>991</v>
      </c>
      <c r="F1315" s="364">
        <v>39.475</v>
      </c>
      <c r="G1315" s="364">
        <v>3.51</v>
      </c>
      <c r="H1315" s="364">
        <v>5.28</v>
      </c>
      <c r="I1315" s="364">
        <v>30.685</v>
      </c>
      <c r="J1315" s="847"/>
      <c r="K1315" s="364">
        <v>30.685</v>
      </c>
      <c r="L1315" s="372">
        <v>2125.33</v>
      </c>
      <c r="M1315" s="374">
        <f t="shared" si="221"/>
        <v>0.014437757901125942</v>
      </c>
      <c r="N1315" s="368">
        <v>276.97</v>
      </c>
      <c r="O1315" s="376">
        <f t="shared" si="222"/>
        <v>3.9988258058748527</v>
      </c>
      <c r="P1315" s="369">
        <f t="shared" si="223"/>
        <v>866.2654740675565</v>
      </c>
      <c r="Q1315" s="375">
        <f t="shared" si="224"/>
        <v>239.92954835249114</v>
      </c>
    </row>
    <row r="1316" spans="1:17" ht="12.75" customHeight="1">
      <c r="A1316" s="1213"/>
      <c r="B1316" s="234">
        <v>9</v>
      </c>
      <c r="C1316" s="362" t="s">
        <v>999</v>
      </c>
      <c r="D1316" s="363">
        <v>55</v>
      </c>
      <c r="E1316" s="363" t="s">
        <v>991</v>
      </c>
      <c r="F1316" s="364">
        <v>49.707</v>
      </c>
      <c r="G1316" s="364">
        <v>5.165</v>
      </c>
      <c r="H1316" s="364">
        <v>8.8</v>
      </c>
      <c r="I1316" s="364">
        <v>35.742</v>
      </c>
      <c r="J1316" s="847"/>
      <c r="K1316" s="364">
        <v>35.742</v>
      </c>
      <c r="L1316" s="372">
        <v>2472.96</v>
      </c>
      <c r="M1316" s="374">
        <f t="shared" si="221"/>
        <v>0.014453124999999999</v>
      </c>
      <c r="N1316" s="368">
        <v>276.97</v>
      </c>
      <c r="O1316" s="376">
        <f t="shared" si="222"/>
        <v>4.00308203125</v>
      </c>
      <c r="P1316" s="369">
        <f t="shared" si="223"/>
        <v>867.1874999999999</v>
      </c>
      <c r="Q1316" s="375">
        <f t="shared" si="224"/>
        <v>240.184921875</v>
      </c>
    </row>
    <row r="1317" spans="1:17" ht="12.75" customHeight="1" thickBot="1">
      <c r="A1317" s="1213"/>
      <c r="B1317" s="234">
        <v>10</v>
      </c>
      <c r="C1317" s="397" t="s">
        <v>1000</v>
      </c>
      <c r="D1317" s="400">
        <v>10</v>
      </c>
      <c r="E1317" s="398" t="s">
        <v>991</v>
      </c>
      <c r="F1317" s="399">
        <v>12.819</v>
      </c>
      <c r="G1317" s="399">
        <v>0.889</v>
      </c>
      <c r="H1317" s="399">
        <v>1.6</v>
      </c>
      <c r="I1317" s="399">
        <v>10.33</v>
      </c>
      <c r="J1317" s="859"/>
      <c r="K1317" s="399">
        <v>10.33</v>
      </c>
      <c r="L1317" s="400">
        <v>705.87</v>
      </c>
      <c r="M1317" s="401">
        <f t="shared" si="221"/>
        <v>0.014634422769065125</v>
      </c>
      <c r="N1317" s="409">
        <v>276.97</v>
      </c>
      <c r="O1317" s="402">
        <f t="shared" si="222"/>
        <v>4.053296074347968</v>
      </c>
      <c r="P1317" s="402">
        <f t="shared" si="223"/>
        <v>878.0653661439076</v>
      </c>
      <c r="Q1317" s="403">
        <f t="shared" si="224"/>
        <v>243.1977644608781</v>
      </c>
    </row>
    <row r="1318" spans="1:17" ht="12.75" customHeight="1">
      <c r="A1318" s="1213" t="s">
        <v>46</v>
      </c>
      <c r="B1318" s="922">
        <v>1</v>
      </c>
      <c r="C1318" s="176" t="s">
        <v>1001</v>
      </c>
      <c r="D1318" s="178">
        <v>25</v>
      </c>
      <c r="E1318" s="101" t="s">
        <v>991</v>
      </c>
      <c r="F1318" s="252">
        <v>28.723</v>
      </c>
      <c r="G1318" s="252">
        <v>2.61</v>
      </c>
      <c r="H1318" s="252">
        <v>4</v>
      </c>
      <c r="I1318" s="252">
        <v>22.113</v>
      </c>
      <c r="J1318" s="843"/>
      <c r="K1318" s="252">
        <v>22.113</v>
      </c>
      <c r="L1318" s="298">
        <v>1351.97</v>
      </c>
      <c r="M1318" s="170">
        <f t="shared" si="221"/>
        <v>0.016356132162695918</v>
      </c>
      <c r="N1318" s="181">
        <v>276.97</v>
      </c>
      <c r="O1318" s="169">
        <f t="shared" si="222"/>
        <v>4.530157925101889</v>
      </c>
      <c r="P1318" s="169">
        <f t="shared" si="223"/>
        <v>981.3679297617551</v>
      </c>
      <c r="Q1318" s="171">
        <f t="shared" si="224"/>
        <v>271.8094755061133</v>
      </c>
    </row>
    <row r="1319" spans="1:17" ht="12.75" customHeight="1">
      <c r="A1319" s="1213"/>
      <c r="B1319" s="237">
        <v>2</v>
      </c>
      <c r="C1319" s="166" t="s">
        <v>1002</v>
      </c>
      <c r="D1319" s="102">
        <v>45</v>
      </c>
      <c r="E1319" s="102" t="s">
        <v>991</v>
      </c>
      <c r="F1319" s="183">
        <v>50.216</v>
      </c>
      <c r="G1319" s="183">
        <v>4.629</v>
      </c>
      <c r="H1319" s="183">
        <v>7.2</v>
      </c>
      <c r="I1319" s="183">
        <v>38.387</v>
      </c>
      <c r="J1319" s="844"/>
      <c r="K1319" s="183">
        <v>38.387</v>
      </c>
      <c r="L1319" s="226">
        <v>2197.71</v>
      </c>
      <c r="M1319" s="113">
        <f t="shared" si="221"/>
        <v>0.0174668177330039</v>
      </c>
      <c r="N1319" s="181">
        <v>276.97</v>
      </c>
      <c r="O1319" s="115">
        <f t="shared" si="222"/>
        <v>4.837784507510091</v>
      </c>
      <c r="P1319" s="169">
        <f t="shared" si="223"/>
        <v>1048.009063980234</v>
      </c>
      <c r="Q1319" s="116">
        <f t="shared" si="224"/>
        <v>290.2670704506055</v>
      </c>
    </row>
    <row r="1320" spans="1:17" ht="12.75" customHeight="1">
      <c r="A1320" s="1213"/>
      <c r="B1320" s="237">
        <v>3</v>
      </c>
      <c r="C1320" s="166" t="s">
        <v>1003</v>
      </c>
      <c r="D1320" s="102">
        <v>55</v>
      </c>
      <c r="E1320" s="102" t="s">
        <v>991</v>
      </c>
      <c r="F1320" s="183">
        <v>61.969</v>
      </c>
      <c r="G1320" s="183">
        <v>5.215</v>
      </c>
      <c r="H1320" s="183">
        <v>8.8</v>
      </c>
      <c r="I1320" s="183">
        <v>47.954</v>
      </c>
      <c r="J1320" s="844"/>
      <c r="K1320" s="183">
        <v>47.954</v>
      </c>
      <c r="L1320" s="226">
        <v>2709.88</v>
      </c>
      <c r="M1320" s="113">
        <f t="shared" si="221"/>
        <v>0.01769598653814929</v>
      </c>
      <c r="N1320" s="181">
        <v>276.97</v>
      </c>
      <c r="O1320" s="115">
        <f t="shared" si="222"/>
        <v>4.901257391471209</v>
      </c>
      <c r="P1320" s="169">
        <f t="shared" si="223"/>
        <v>1061.7591922889574</v>
      </c>
      <c r="Q1320" s="116">
        <f t="shared" si="224"/>
        <v>294.0754434882725</v>
      </c>
    </row>
    <row r="1321" spans="1:17" ht="12.75" customHeight="1">
      <c r="A1321" s="1213"/>
      <c r="B1321" s="237">
        <v>4</v>
      </c>
      <c r="C1321" s="166" t="s">
        <v>1004</v>
      </c>
      <c r="D1321" s="102">
        <v>25</v>
      </c>
      <c r="E1321" s="102" t="s">
        <v>991</v>
      </c>
      <c r="F1321" s="183">
        <v>31.417</v>
      </c>
      <c r="G1321" s="183">
        <v>3.499</v>
      </c>
      <c r="H1321" s="183">
        <v>4</v>
      </c>
      <c r="I1321" s="183">
        <v>23.918</v>
      </c>
      <c r="J1321" s="844"/>
      <c r="K1321" s="183">
        <v>23.918</v>
      </c>
      <c r="L1321" s="226">
        <v>1350.24</v>
      </c>
      <c r="M1321" s="113">
        <f t="shared" si="221"/>
        <v>0.017713887901410118</v>
      </c>
      <c r="N1321" s="181">
        <v>276.97</v>
      </c>
      <c r="O1321" s="115">
        <f t="shared" si="222"/>
        <v>4.906215532053561</v>
      </c>
      <c r="P1321" s="169">
        <f t="shared" si="223"/>
        <v>1062.8332740846072</v>
      </c>
      <c r="Q1321" s="116">
        <f t="shared" si="224"/>
        <v>294.3729319232137</v>
      </c>
    </row>
    <row r="1322" spans="1:17" ht="12.75" customHeight="1">
      <c r="A1322" s="1213"/>
      <c r="B1322" s="237">
        <v>5</v>
      </c>
      <c r="C1322" s="166" t="s">
        <v>1005</v>
      </c>
      <c r="D1322" s="102">
        <v>18</v>
      </c>
      <c r="E1322" s="102" t="s">
        <v>991</v>
      </c>
      <c r="F1322" s="183">
        <v>27.574</v>
      </c>
      <c r="G1322" s="183">
        <v>1.083</v>
      </c>
      <c r="H1322" s="183">
        <v>2.88</v>
      </c>
      <c r="I1322" s="183">
        <v>23.611</v>
      </c>
      <c r="J1322" s="861"/>
      <c r="K1322" s="183">
        <v>23.611</v>
      </c>
      <c r="L1322" s="226">
        <v>1120.9</v>
      </c>
      <c r="M1322" s="113">
        <f t="shared" si="221"/>
        <v>0.021064323311624587</v>
      </c>
      <c r="N1322" s="181">
        <v>276.97</v>
      </c>
      <c r="O1322" s="115">
        <f t="shared" si="222"/>
        <v>5.834185627620663</v>
      </c>
      <c r="P1322" s="169">
        <f t="shared" si="223"/>
        <v>1263.8593986974752</v>
      </c>
      <c r="Q1322" s="116">
        <f t="shared" si="224"/>
        <v>350.05113765723974</v>
      </c>
    </row>
    <row r="1323" spans="1:17" ht="12.75" customHeight="1">
      <c r="A1323" s="1213"/>
      <c r="B1323" s="237">
        <v>6</v>
      </c>
      <c r="C1323" s="166" t="s">
        <v>1006</v>
      </c>
      <c r="D1323" s="102">
        <v>19</v>
      </c>
      <c r="E1323" s="102" t="s">
        <v>991</v>
      </c>
      <c r="F1323" s="183">
        <v>24.112</v>
      </c>
      <c r="G1323" s="183">
        <v>0.661</v>
      </c>
      <c r="H1323" s="183">
        <v>3.04</v>
      </c>
      <c r="I1323" s="183">
        <v>20.411</v>
      </c>
      <c r="J1323" s="844"/>
      <c r="K1323" s="183">
        <v>20.412</v>
      </c>
      <c r="L1323" s="226">
        <v>966.6</v>
      </c>
      <c r="M1323" s="113">
        <f t="shared" si="221"/>
        <v>0.02111731843575419</v>
      </c>
      <c r="N1323" s="181">
        <v>276.97</v>
      </c>
      <c r="O1323" s="115">
        <f t="shared" si="222"/>
        <v>5.848863687150838</v>
      </c>
      <c r="P1323" s="169">
        <f t="shared" si="223"/>
        <v>1267.0391061452513</v>
      </c>
      <c r="Q1323" s="116">
        <f t="shared" si="224"/>
        <v>350.9318212290503</v>
      </c>
    </row>
    <row r="1324" spans="1:17" ht="12.75" customHeight="1">
      <c r="A1324" s="1213"/>
      <c r="B1324" s="237">
        <v>7</v>
      </c>
      <c r="C1324" s="166" t="s">
        <v>1007</v>
      </c>
      <c r="D1324" s="102">
        <v>20</v>
      </c>
      <c r="E1324" s="102" t="s">
        <v>991</v>
      </c>
      <c r="F1324" s="183">
        <v>32.433</v>
      </c>
      <c r="G1324" s="183">
        <v>0.661</v>
      </c>
      <c r="H1324" s="183">
        <v>0.2</v>
      </c>
      <c r="I1324" s="183">
        <v>31.572</v>
      </c>
      <c r="J1324" s="844"/>
      <c r="K1324" s="183">
        <v>31.572</v>
      </c>
      <c r="L1324" s="226">
        <v>1477.51</v>
      </c>
      <c r="M1324" s="113">
        <f t="shared" si="221"/>
        <v>0.021368383293514086</v>
      </c>
      <c r="N1324" s="181">
        <v>276.97</v>
      </c>
      <c r="O1324" s="115">
        <f t="shared" si="222"/>
        <v>5.918401120804597</v>
      </c>
      <c r="P1324" s="169">
        <f t="shared" si="223"/>
        <v>1282.102997610845</v>
      </c>
      <c r="Q1324" s="116">
        <f t="shared" si="224"/>
        <v>355.1040672482758</v>
      </c>
    </row>
    <row r="1325" spans="1:17" ht="12.75" customHeight="1">
      <c r="A1325" s="1213"/>
      <c r="B1325" s="237">
        <v>8</v>
      </c>
      <c r="C1325" s="166" t="s">
        <v>1008</v>
      </c>
      <c r="D1325" s="102">
        <v>20</v>
      </c>
      <c r="E1325" s="102" t="s">
        <v>991</v>
      </c>
      <c r="F1325" s="183">
        <v>29.174</v>
      </c>
      <c r="G1325" s="183">
        <v>1.261</v>
      </c>
      <c r="H1325" s="183">
        <v>3.2</v>
      </c>
      <c r="I1325" s="183">
        <v>24.713</v>
      </c>
      <c r="J1325" s="844"/>
      <c r="K1325" s="183">
        <v>24.713</v>
      </c>
      <c r="L1325" s="226">
        <v>1061.52</v>
      </c>
      <c r="M1325" s="113">
        <f t="shared" si="221"/>
        <v>0.023280767201748438</v>
      </c>
      <c r="N1325" s="181">
        <v>276.97</v>
      </c>
      <c r="O1325" s="115">
        <f t="shared" si="222"/>
        <v>6.448074091868266</v>
      </c>
      <c r="P1325" s="169">
        <f t="shared" si="223"/>
        <v>1396.8460321049063</v>
      </c>
      <c r="Q1325" s="116">
        <f t="shared" si="224"/>
        <v>386.8844455120959</v>
      </c>
    </row>
    <row r="1326" spans="1:17" ht="12.75" customHeight="1">
      <c r="A1326" s="1213"/>
      <c r="B1326" s="237">
        <v>9</v>
      </c>
      <c r="C1326" s="166" t="s">
        <v>1009</v>
      </c>
      <c r="D1326" s="102">
        <v>35</v>
      </c>
      <c r="E1326" s="102" t="s">
        <v>991</v>
      </c>
      <c r="F1326" s="183">
        <v>28.67</v>
      </c>
      <c r="G1326" s="183">
        <v>0</v>
      </c>
      <c r="H1326" s="183">
        <v>0</v>
      </c>
      <c r="I1326" s="183">
        <v>28.67</v>
      </c>
      <c r="J1326" s="844"/>
      <c r="K1326" s="183">
        <v>28.67</v>
      </c>
      <c r="L1326" s="226">
        <v>1229.2</v>
      </c>
      <c r="M1326" s="113">
        <f t="shared" si="221"/>
        <v>0.023324113244386595</v>
      </c>
      <c r="N1326" s="181">
        <v>276.97</v>
      </c>
      <c r="O1326" s="115">
        <f t="shared" si="222"/>
        <v>6.460079645297756</v>
      </c>
      <c r="P1326" s="169">
        <f t="shared" si="223"/>
        <v>1399.4467946631958</v>
      </c>
      <c r="Q1326" s="116">
        <f t="shared" si="224"/>
        <v>387.6047787178654</v>
      </c>
    </row>
    <row r="1327" spans="1:17" ht="13.5" customHeight="1" thickBot="1">
      <c r="A1327" s="1214"/>
      <c r="B1327" s="238" t="s">
        <v>224</v>
      </c>
      <c r="C1327" s="166" t="s">
        <v>1010</v>
      </c>
      <c r="D1327" s="103">
        <v>43</v>
      </c>
      <c r="E1327" s="103" t="s">
        <v>991</v>
      </c>
      <c r="F1327" s="251">
        <v>26.2</v>
      </c>
      <c r="G1327" s="251">
        <v>0</v>
      </c>
      <c r="H1327" s="251">
        <v>0</v>
      </c>
      <c r="I1327" s="251">
        <v>26.2</v>
      </c>
      <c r="J1327" s="845"/>
      <c r="K1327" s="251">
        <v>26.2</v>
      </c>
      <c r="L1327" s="227">
        <v>1068.56</v>
      </c>
      <c r="M1327" s="172">
        <f t="shared" si="221"/>
        <v>0.02451897881260762</v>
      </c>
      <c r="N1327" s="182">
        <v>276.97</v>
      </c>
      <c r="O1327" s="173">
        <f t="shared" si="222"/>
        <v>6.791021561727933</v>
      </c>
      <c r="P1327" s="173">
        <f t="shared" si="223"/>
        <v>1471.1387287564573</v>
      </c>
      <c r="Q1327" s="174">
        <f t="shared" si="224"/>
        <v>407.461293703676</v>
      </c>
    </row>
    <row r="1328" spans="1:17" ht="11.25">
      <c r="A1328" s="1215" t="s">
        <v>12</v>
      </c>
      <c r="B1328" s="236">
        <v>1</v>
      </c>
      <c r="C1328" s="132" t="s">
        <v>1011</v>
      </c>
      <c r="D1328" s="133">
        <v>8</v>
      </c>
      <c r="E1328" s="282" t="s">
        <v>991</v>
      </c>
      <c r="F1328" s="204">
        <v>9.981</v>
      </c>
      <c r="G1328" s="204">
        <v>0</v>
      </c>
      <c r="H1328" s="204">
        <v>0</v>
      </c>
      <c r="I1328" s="204">
        <v>9.981</v>
      </c>
      <c r="J1328" s="886"/>
      <c r="K1328" s="204">
        <v>9.981</v>
      </c>
      <c r="L1328" s="299">
        <v>378.95</v>
      </c>
      <c r="M1328" s="136">
        <f t="shared" si="221"/>
        <v>0.026338567093284075</v>
      </c>
      <c r="N1328" s="134">
        <v>276.97</v>
      </c>
      <c r="O1328" s="137">
        <f t="shared" si="222"/>
        <v>7.294992927826891</v>
      </c>
      <c r="P1328" s="137">
        <f t="shared" si="223"/>
        <v>1580.3140255970445</v>
      </c>
      <c r="Q1328" s="138">
        <f t="shared" si="224"/>
        <v>437.69957566961347</v>
      </c>
    </row>
    <row r="1329" spans="1:17" ht="11.25">
      <c r="A1329" s="1216"/>
      <c r="B1329" s="237">
        <v>2</v>
      </c>
      <c r="C1329" s="135" t="s">
        <v>1012</v>
      </c>
      <c r="D1329" s="104">
        <v>8</v>
      </c>
      <c r="E1329" s="104" t="s">
        <v>991</v>
      </c>
      <c r="F1329" s="179">
        <v>10.535</v>
      </c>
      <c r="G1329" s="179">
        <v>0</v>
      </c>
      <c r="H1329" s="179">
        <v>0.03</v>
      </c>
      <c r="I1329" s="179">
        <v>10.505</v>
      </c>
      <c r="J1329" s="324"/>
      <c r="K1329" s="179">
        <v>10.505</v>
      </c>
      <c r="L1329" s="224">
        <v>389.52</v>
      </c>
      <c r="M1329" s="117">
        <f t="shared" si="221"/>
        <v>0.026969090162250978</v>
      </c>
      <c r="N1329" s="134">
        <v>276.97</v>
      </c>
      <c r="O1329" s="119">
        <f t="shared" si="222"/>
        <v>7.469628902238654</v>
      </c>
      <c r="P1329" s="137">
        <f t="shared" si="223"/>
        <v>1618.1454097350588</v>
      </c>
      <c r="Q1329" s="120">
        <f t="shared" si="224"/>
        <v>448.1777341343193</v>
      </c>
    </row>
    <row r="1330" spans="1:17" ht="11.25">
      <c r="A1330" s="1216"/>
      <c r="B1330" s="237">
        <v>3</v>
      </c>
      <c r="C1330" s="135"/>
      <c r="D1330" s="104"/>
      <c r="E1330" s="104"/>
      <c r="F1330" s="179"/>
      <c r="G1330" s="179"/>
      <c r="H1330" s="179"/>
      <c r="I1330" s="179"/>
      <c r="J1330" s="224"/>
      <c r="K1330" s="179"/>
      <c r="L1330" s="224"/>
      <c r="M1330" s="117"/>
      <c r="N1330" s="118"/>
      <c r="O1330" s="119"/>
      <c r="P1330" s="137"/>
      <c r="Q1330" s="120"/>
    </row>
    <row r="1331" spans="1:17" ht="11.25">
      <c r="A1331" s="1216"/>
      <c r="B1331" s="237">
        <v>4</v>
      </c>
      <c r="C1331" s="135"/>
      <c r="D1331" s="104"/>
      <c r="E1331" s="104"/>
      <c r="F1331" s="179"/>
      <c r="G1331" s="179"/>
      <c r="H1331" s="179"/>
      <c r="I1331" s="179"/>
      <c r="J1331" s="224"/>
      <c r="K1331" s="179"/>
      <c r="L1331" s="224"/>
      <c r="M1331" s="117"/>
      <c r="N1331" s="118"/>
      <c r="O1331" s="119"/>
      <c r="P1331" s="137"/>
      <c r="Q1331" s="120"/>
    </row>
    <row r="1332" spans="1:17" ht="11.25">
      <c r="A1332" s="1216"/>
      <c r="B1332" s="237">
        <v>5</v>
      </c>
      <c r="C1332" s="135"/>
      <c r="D1332" s="104"/>
      <c r="E1332" s="104"/>
      <c r="F1332" s="179"/>
      <c r="G1332" s="179"/>
      <c r="H1332" s="179"/>
      <c r="I1332" s="179"/>
      <c r="J1332" s="224"/>
      <c r="K1332" s="179"/>
      <c r="L1332" s="224"/>
      <c r="M1332" s="117"/>
      <c r="N1332" s="118"/>
      <c r="O1332" s="119"/>
      <c r="P1332" s="137"/>
      <c r="Q1332" s="120"/>
    </row>
    <row r="1333" spans="1:17" ht="11.25">
      <c r="A1333" s="1216"/>
      <c r="B1333" s="237">
        <v>6</v>
      </c>
      <c r="C1333" s="36"/>
      <c r="D1333" s="104"/>
      <c r="E1333" s="104"/>
      <c r="F1333" s="179"/>
      <c r="G1333" s="162"/>
      <c r="H1333" s="162"/>
      <c r="I1333" s="162"/>
      <c r="J1333" s="286"/>
      <c r="K1333" s="162"/>
      <c r="L1333" s="286"/>
      <c r="M1333" s="117"/>
      <c r="N1333" s="118"/>
      <c r="O1333" s="119"/>
      <c r="P1333" s="137"/>
      <c r="Q1333" s="138"/>
    </row>
    <row r="1334" spans="1:17" ht="11.25">
      <c r="A1334" s="1216"/>
      <c r="B1334" s="237">
        <v>7</v>
      </c>
      <c r="C1334" s="36"/>
      <c r="D1334" s="104"/>
      <c r="E1334" s="104"/>
      <c r="F1334" s="179"/>
      <c r="G1334" s="162"/>
      <c r="H1334" s="162"/>
      <c r="I1334" s="162"/>
      <c r="J1334" s="286"/>
      <c r="K1334" s="162"/>
      <c r="L1334" s="286"/>
      <c r="M1334" s="117"/>
      <c r="N1334" s="134"/>
      <c r="O1334" s="119"/>
      <c r="P1334" s="137"/>
      <c r="Q1334" s="120"/>
    </row>
    <row r="1335" spans="1:17" ht="11.25">
      <c r="A1335" s="1216"/>
      <c r="B1335" s="237">
        <v>8</v>
      </c>
      <c r="C1335" s="36"/>
      <c r="D1335" s="104"/>
      <c r="E1335" s="104"/>
      <c r="F1335" s="179"/>
      <c r="G1335" s="162"/>
      <c r="H1335" s="162"/>
      <c r="I1335" s="162"/>
      <c r="J1335" s="286"/>
      <c r="K1335" s="162"/>
      <c r="L1335" s="286"/>
      <c r="M1335" s="117"/>
      <c r="N1335" s="134"/>
      <c r="O1335" s="119"/>
      <c r="P1335" s="137"/>
      <c r="Q1335" s="120"/>
    </row>
    <row r="1336" spans="1:17" ht="11.25">
      <c r="A1336" s="1216"/>
      <c r="B1336" s="237">
        <v>9</v>
      </c>
      <c r="C1336" s="36"/>
      <c r="D1336" s="104"/>
      <c r="E1336" s="282"/>
      <c r="F1336" s="179"/>
      <c r="G1336" s="162"/>
      <c r="H1336" s="162"/>
      <c r="I1336" s="162"/>
      <c r="J1336" s="286"/>
      <c r="K1336" s="162"/>
      <c r="L1336" s="286"/>
      <c r="M1336" s="117"/>
      <c r="N1336" s="134"/>
      <c r="O1336" s="119"/>
      <c r="P1336" s="137"/>
      <c r="Q1336" s="120"/>
    </row>
    <row r="1337" spans="1:17" ht="12" thickBot="1">
      <c r="A1337" s="1217"/>
      <c r="B1337" s="238" t="s">
        <v>224</v>
      </c>
      <c r="C1337" s="37"/>
      <c r="D1337" s="105"/>
      <c r="E1337" s="105"/>
      <c r="F1337" s="205"/>
      <c r="G1337" s="289"/>
      <c r="H1337" s="289"/>
      <c r="I1337" s="289"/>
      <c r="J1337" s="292"/>
      <c r="K1337" s="289"/>
      <c r="L1337" s="292"/>
      <c r="M1337" s="121"/>
      <c r="N1337" s="122"/>
      <c r="O1337" s="123"/>
      <c r="P1337" s="123"/>
      <c r="Q1337" s="124"/>
    </row>
    <row r="1338" spans="1:17" ht="11.25">
      <c r="A1338" s="806"/>
      <c r="B1338" s="325"/>
      <c r="C1338" s="807"/>
      <c r="D1338" s="325"/>
      <c r="E1338" s="325"/>
      <c r="F1338" s="806"/>
      <c r="G1338" s="806"/>
      <c r="H1338" s="806"/>
      <c r="I1338" s="806"/>
      <c r="J1338" s="806"/>
      <c r="K1338" s="806"/>
      <c r="L1338" s="806"/>
      <c r="M1338" s="806"/>
      <c r="N1338" s="806"/>
      <c r="O1338" s="806"/>
      <c r="P1338" s="806"/>
      <c r="Q1338" s="806"/>
    </row>
    <row r="1339" spans="1:17" ht="11.25">
      <c r="A1339" s="806"/>
      <c r="B1339" s="325"/>
      <c r="C1339" s="807"/>
      <c r="D1339" s="325"/>
      <c r="E1339" s="325"/>
      <c r="F1339" s="806"/>
      <c r="G1339" s="806"/>
      <c r="H1339" s="806"/>
      <c r="I1339" s="806"/>
      <c r="J1339" s="806"/>
      <c r="K1339" s="806"/>
      <c r="L1339" s="806"/>
      <c r="M1339" s="806"/>
      <c r="N1339" s="806"/>
      <c r="O1339" s="806"/>
      <c r="P1339" s="806"/>
      <c r="Q1339" s="806"/>
    </row>
    <row r="1340" spans="1:17" ht="11.25">
      <c r="A1340" s="806"/>
      <c r="B1340" s="325"/>
      <c r="C1340" s="807"/>
      <c r="D1340" s="325"/>
      <c r="E1340" s="325"/>
      <c r="F1340" s="806"/>
      <c r="G1340" s="806"/>
      <c r="H1340" s="806"/>
      <c r="I1340" s="806"/>
      <c r="J1340" s="806"/>
      <c r="K1340" s="806"/>
      <c r="L1340" s="806"/>
      <c r="M1340" s="806"/>
      <c r="N1340" s="806"/>
      <c r="O1340" s="806"/>
      <c r="P1340" s="806"/>
      <c r="Q1340" s="806"/>
    </row>
    <row r="1341" spans="1:17" ht="15">
      <c r="A1341" s="1199" t="s">
        <v>1014</v>
      </c>
      <c r="B1341" s="1199"/>
      <c r="C1341" s="1199"/>
      <c r="D1341" s="1199"/>
      <c r="E1341" s="1199"/>
      <c r="F1341" s="1199"/>
      <c r="G1341" s="1199"/>
      <c r="H1341" s="1199"/>
      <c r="I1341" s="1199"/>
      <c r="J1341" s="1199"/>
      <c r="K1341" s="1199"/>
      <c r="L1341" s="1199"/>
      <c r="M1341" s="1199"/>
      <c r="N1341" s="1199"/>
      <c r="O1341" s="1199"/>
      <c r="P1341" s="1199"/>
      <c r="Q1341" s="1199"/>
    </row>
    <row r="1342" spans="1:17" ht="13.5" thickBot="1">
      <c r="A1342" s="1200" t="s">
        <v>1015</v>
      </c>
      <c r="B1342" s="1200"/>
      <c r="C1342" s="1200"/>
      <c r="D1342" s="1200"/>
      <c r="E1342" s="1200"/>
      <c r="F1342" s="1200"/>
      <c r="G1342" s="1200"/>
      <c r="H1342" s="1200"/>
      <c r="I1342" s="1200"/>
      <c r="J1342" s="1200"/>
      <c r="K1342" s="1200"/>
      <c r="L1342" s="1200"/>
      <c r="M1342" s="1200"/>
      <c r="N1342" s="1200"/>
      <c r="O1342" s="1200"/>
      <c r="P1342" s="1200"/>
      <c r="Q1342" s="1200"/>
    </row>
    <row r="1343" spans="1:17" ht="11.25">
      <c r="A1343" s="1201" t="s">
        <v>1</v>
      </c>
      <c r="B1343" s="1203" t="s">
        <v>0</v>
      </c>
      <c r="C1343" s="1193" t="s">
        <v>2</v>
      </c>
      <c r="D1343" s="1193" t="s">
        <v>3</v>
      </c>
      <c r="E1343" s="1193" t="s">
        <v>13</v>
      </c>
      <c r="F1343" s="1207" t="s">
        <v>14</v>
      </c>
      <c r="G1343" s="1208"/>
      <c r="H1343" s="1208"/>
      <c r="I1343" s="1209"/>
      <c r="J1343" s="1193" t="s">
        <v>4</v>
      </c>
      <c r="K1343" s="1193" t="s">
        <v>15</v>
      </c>
      <c r="L1343" s="1193" t="s">
        <v>5</v>
      </c>
      <c r="M1343" s="1193" t="s">
        <v>6</v>
      </c>
      <c r="N1343" s="1193" t="s">
        <v>16</v>
      </c>
      <c r="O1343" s="1195" t="s">
        <v>17</v>
      </c>
      <c r="P1343" s="1193" t="s">
        <v>25</v>
      </c>
      <c r="Q1343" s="1197" t="s">
        <v>26</v>
      </c>
    </row>
    <row r="1344" spans="1:17" ht="33.75">
      <c r="A1344" s="1202"/>
      <c r="B1344" s="1204"/>
      <c r="C1344" s="1205"/>
      <c r="D1344" s="1194"/>
      <c r="E1344" s="1194"/>
      <c r="F1344" s="26" t="s">
        <v>18</v>
      </c>
      <c r="G1344" s="26" t="s">
        <v>19</v>
      </c>
      <c r="H1344" s="26" t="s">
        <v>20</v>
      </c>
      <c r="I1344" s="26" t="s">
        <v>21</v>
      </c>
      <c r="J1344" s="1194"/>
      <c r="K1344" s="1194"/>
      <c r="L1344" s="1194"/>
      <c r="M1344" s="1194"/>
      <c r="N1344" s="1194"/>
      <c r="O1344" s="1196"/>
      <c r="P1344" s="1194"/>
      <c r="Q1344" s="1198"/>
    </row>
    <row r="1345" spans="1:17" ht="12" thickBot="1">
      <c r="A1345" s="1202"/>
      <c r="B1345" s="1204"/>
      <c r="C1345" s="1206"/>
      <c r="D1345" s="42" t="s">
        <v>7</v>
      </c>
      <c r="E1345" s="42" t="s">
        <v>8</v>
      </c>
      <c r="F1345" s="42" t="s">
        <v>9</v>
      </c>
      <c r="G1345" s="42" t="s">
        <v>9</v>
      </c>
      <c r="H1345" s="42" t="s">
        <v>9</v>
      </c>
      <c r="I1345" s="42" t="s">
        <v>9</v>
      </c>
      <c r="J1345" s="42" t="s">
        <v>22</v>
      </c>
      <c r="K1345" s="42" t="s">
        <v>9</v>
      </c>
      <c r="L1345" s="42" t="s">
        <v>22</v>
      </c>
      <c r="M1345" s="42" t="s">
        <v>23</v>
      </c>
      <c r="N1345" s="42" t="s">
        <v>10</v>
      </c>
      <c r="O1345" s="42" t="s">
        <v>24</v>
      </c>
      <c r="P1345" s="43" t="s">
        <v>27</v>
      </c>
      <c r="Q1345" s="44" t="s">
        <v>28</v>
      </c>
    </row>
    <row r="1346" spans="1:17" ht="11.25">
      <c r="A1346" s="1210" t="s">
        <v>48</v>
      </c>
      <c r="B1346" s="485">
        <v>1</v>
      </c>
      <c r="C1346" s="163" t="s">
        <v>1016</v>
      </c>
      <c r="D1346" s="126">
        <v>32</v>
      </c>
      <c r="E1346" s="126">
        <v>1985</v>
      </c>
      <c r="F1346" s="207">
        <v>16.6</v>
      </c>
      <c r="G1346" s="207">
        <v>3.79</v>
      </c>
      <c r="H1346" s="207">
        <v>5.12</v>
      </c>
      <c r="I1346" s="207">
        <v>7.71</v>
      </c>
      <c r="J1346" s="219">
        <v>1773.01</v>
      </c>
      <c r="K1346" s="207">
        <v>7.71</v>
      </c>
      <c r="L1346" s="219">
        <v>1773.01</v>
      </c>
      <c r="M1346" s="139">
        <f>K1346/L1346</f>
        <v>0.004348537233292537</v>
      </c>
      <c r="N1346" s="127">
        <v>201.868</v>
      </c>
      <c r="O1346" s="337">
        <f>M1346*N1346</f>
        <v>0.8778305142102978</v>
      </c>
      <c r="P1346" s="337">
        <f>M1346*60*1000</f>
        <v>260.9122339975522</v>
      </c>
      <c r="Q1346" s="1151">
        <f>P1346*N1346/1000</f>
        <v>52.66983085261787</v>
      </c>
    </row>
    <row r="1347" spans="1:17" ht="11.25">
      <c r="A1347" s="1211"/>
      <c r="B1347" s="487">
        <v>2</v>
      </c>
      <c r="C1347" s="1046"/>
      <c r="D1347" s="89"/>
      <c r="E1347" s="88"/>
      <c r="F1347" s="1047"/>
      <c r="G1347" s="1047"/>
      <c r="H1347" s="1048"/>
      <c r="I1347" s="1047"/>
      <c r="J1347" s="629"/>
      <c r="K1347" s="1047"/>
      <c r="L1347" s="629"/>
      <c r="M1347" s="108"/>
      <c r="N1347" s="109"/>
      <c r="O1347" s="110"/>
      <c r="P1347" s="110"/>
      <c r="Q1347" s="111"/>
    </row>
    <row r="1348" spans="1:17" ht="11.25">
      <c r="A1348" s="1211"/>
      <c r="B1348" s="487">
        <v>3</v>
      </c>
      <c r="C1348" s="783"/>
      <c r="D1348" s="89"/>
      <c r="E1348" s="88"/>
      <c r="F1348" s="1047"/>
      <c r="G1348" s="1047"/>
      <c r="H1348" s="1048"/>
      <c r="I1348" s="1047"/>
      <c r="J1348" s="629"/>
      <c r="K1348" s="1047"/>
      <c r="L1348" s="629"/>
      <c r="M1348" s="108"/>
      <c r="N1348" s="109"/>
      <c r="O1348" s="110"/>
      <c r="P1348" s="110"/>
      <c r="Q1348" s="111"/>
    </row>
    <row r="1349" spans="1:17" ht="11.25">
      <c r="A1349" s="1211"/>
      <c r="B1349" s="487">
        <v>4</v>
      </c>
      <c r="C1349" s="783"/>
      <c r="D1349" s="89"/>
      <c r="E1349" s="88"/>
      <c r="F1349" s="1047"/>
      <c r="G1349" s="1047"/>
      <c r="H1349" s="1048"/>
      <c r="I1349" s="1047"/>
      <c r="J1349" s="629"/>
      <c r="K1349" s="1047"/>
      <c r="L1349" s="629"/>
      <c r="M1349" s="108"/>
      <c r="N1349" s="109"/>
      <c r="O1349" s="110"/>
      <c r="P1349" s="110"/>
      <c r="Q1349" s="111"/>
    </row>
    <row r="1350" spans="1:17" ht="11.25">
      <c r="A1350" s="1211"/>
      <c r="B1350" s="487">
        <v>5</v>
      </c>
      <c r="C1350" s="783"/>
      <c r="D1350" s="89"/>
      <c r="E1350" s="88"/>
      <c r="F1350" s="1047"/>
      <c r="G1350" s="1047"/>
      <c r="H1350" s="1048"/>
      <c r="I1350" s="1047"/>
      <c r="J1350" s="629"/>
      <c r="K1350" s="1047"/>
      <c r="L1350" s="629"/>
      <c r="M1350" s="108"/>
      <c r="N1350" s="109"/>
      <c r="O1350" s="110"/>
      <c r="P1350" s="110"/>
      <c r="Q1350" s="111"/>
    </row>
    <row r="1351" spans="1:17" ht="11.25">
      <c r="A1351" s="1211"/>
      <c r="B1351" s="785">
        <v>6</v>
      </c>
      <c r="C1351" s="783"/>
      <c r="D1351" s="89"/>
      <c r="E1351" s="88"/>
      <c r="F1351" s="1047"/>
      <c r="G1351" s="1047"/>
      <c r="H1351" s="1048"/>
      <c r="I1351" s="1047"/>
      <c r="J1351" s="629"/>
      <c r="K1351" s="1047"/>
      <c r="L1351" s="629"/>
      <c r="M1351" s="108"/>
      <c r="N1351" s="109"/>
      <c r="O1351" s="110"/>
      <c r="P1351" s="110"/>
      <c r="Q1351" s="111"/>
    </row>
    <row r="1352" spans="1:17" ht="11.25">
      <c r="A1352" s="1211"/>
      <c r="B1352" s="487">
        <v>7</v>
      </c>
      <c r="C1352" s="783"/>
      <c r="D1352" s="89"/>
      <c r="E1352" s="88"/>
      <c r="F1352" s="1047"/>
      <c r="G1352" s="1047"/>
      <c r="H1352" s="1048"/>
      <c r="I1352" s="1047"/>
      <c r="J1352" s="629"/>
      <c r="K1352" s="1047"/>
      <c r="L1352" s="629"/>
      <c r="M1352" s="108"/>
      <c r="N1352" s="109"/>
      <c r="O1352" s="110"/>
      <c r="P1352" s="110"/>
      <c r="Q1352" s="111"/>
    </row>
    <row r="1353" spans="1:17" ht="11.25">
      <c r="A1353" s="1211"/>
      <c r="B1353" s="785">
        <v>8</v>
      </c>
      <c r="C1353" s="783"/>
      <c r="D1353" s="89"/>
      <c r="E1353" s="88"/>
      <c r="F1353" s="1047"/>
      <c r="G1353" s="1047"/>
      <c r="H1353" s="1048"/>
      <c r="I1353" s="1047"/>
      <c r="J1353" s="629"/>
      <c r="K1353" s="1047"/>
      <c r="L1353" s="629"/>
      <c r="M1353" s="108"/>
      <c r="N1353" s="109"/>
      <c r="O1353" s="110"/>
      <c r="P1353" s="110"/>
      <c r="Q1353" s="111"/>
    </row>
    <row r="1354" spans="1:17" ht="11.25">
      <c r="A1354" s="1211"/>
      <c r="B1354" s="786">
        <v>9</v>
      </c>
      <c r="C1354" s="783"/>
      <c r="D1354" s="89"/>
      <c r="E1354" s="88"/>
      <c r="F1354" s="1049"/>
      <c r="G1354" s="1049"/>
      <c r="H1354" s="1048"/>
      <c r="I1354" s="1049"/>
      <c r="J1354" s="629"/>
      <c r="K1354" s="1049"/>
      <c r="L1354" s="629"/>
      <c r="M1354" s="644"/>
      <c r="N1354" s="645"/>
      <c r="O1354" s="501"/>
      <c r="P1354" s="501"/>
      <c r="Q1354" s="502"/>
    </row>
    <row r="1355" spans="1:18" ht="12" thickBot="1">
      <c r="A1355" s="1212"/>
      <c r="B1355" s="787">
        <v>10</v>
      </c>
      <c r="C1355" s="1152"/>
      <c r="D1355" s="206"/>
      <c r="E1355" s="146"/>
      <c r="F1355" s="1153"/>
      <c r="G1355" s="1153"/>
      <c r="H1355" s="1154"/>
      <c r="I1355" s="1153"/>
      <c r="J1355" s="1155"/>
      <c r="K1355" s="1153"/>
      <c r="L1355" s="1155"/>
      <c r="M1355" s="140"/>
      <c r="N1355" s="129"/>
      <c r="O1355" s="222"/>
      <c r="P1355" s="222"/>
      <c r="Q1355" s="131"/>
      <c r="R1355" s="231"/>
    </row>
    <row r="1356" spans="1:18" ht="11.25">
      <c r="A1356" s="1184" t="s">
        <v>29</v>
      </c>
      <c r="B1356" s="404">
        <v>1</v>
      </c>
      <c r="C1356" s="839" t="s">
        <v>1017</v>
      </c>
      <c r="D1356" s="423">
        <v>42</v>
      </c>
      <c r="E1356" s="423">
        <v>1990</v>
      </c>
      <c r="F1356" s="396">
        <v>46.7</v>
      </c>
      <c r="G1356" s="396">
        <v>5.633</v>
      </c>
      <c r="H1356" s="396">
        <v>6.82</v>
      </c>
      <c r="I1356" s="396">
        <v>34.337</v>
      </c>
      <c r="J1356" s="424">
        <v>2457.91</v>
      </c>
      <c r="K1356" s="396">
        <v>34.337</v>
      </c>
      <c r="L1356" s="424">
        <v>2457.91</v>
      </c>
      <c r="M1356" s="367">
        <f>K1356/L1356</f>
        <v>0.013969998901505753</v>
      </c>
      <c r="N1356" s="368">
        <v>201.868</v>
      </c>
      <c r="O1356" s="369">
        <f>M1356*N1356</f>
        <v>2.8200957382491634</v>
      </c>
      <c r="P1356" s="369">
        <f>M1356*60*1000</f>
        <v>838.1999340903452</v>
      </c>
      <c r="Q1356" s="370">
        <f>P1356*N1356/1000</f>
        <v>169.2057442949498</v>
      </c>
      <c r="R1356" s="231"/>
    </row>
    <row r="1357" spans="1:17" ht="11.25">
      <c r="A1357" s="1185"/>
      <c r="B1357" s="377">
        <v>2</v>
      </c>
      <c r="C1357" s="362" t="s">
        <v>1018</v>
      </c>
      <c r="D1357" s="363">
        <v>42</v>
      </c>
      <c r="E1357" s="363">
        <v>1991</v>
      </c>
      <c r="F1357" s="364">
        <v>49.2</v>
      </c>
      <c r="G1357" s="364">
        <v>4.38</v>
      </c>
      <c r="H1357" s="364">
        <v>6.72</v>
      </c>
      <c r="I1357" s="364">
        <v>38.1</v>
      </c>
      <c r="J1357" s="372">
        <v>2446.17</v>
      </c>
      <c r="K1357" s="364">
        <v>38.1</v>
      </c>
      <c r="L1357" s="372">
        <v>2446.17</v>
      </c>
      <c r="M1357" s="367">
        <f>K1357/L1357</f>
        <v>0.015575368841903874</v>
      </c>
      <c r="N1357" s="368">
        <v>201.868</v>
      </c>
      <c r="O1357" s="369">
        <f>M1357*N1357</f>
        <v>3.144168557377451</v>
      </c>
      <c r="P1357" s="369">
        <f>M1357*60*1000</f>
        <v>934.5221305142323</v>
      </c>
      <c r="Q1357" s="370">
        <f>P1357*N1357/1000</f>
        <v>188.65011344264704</v>
      </c>
    </row>
    <row r="1358" spans="1:17" ht="11.25">
      <c r="A1358" s="1185"/>
      <c r="B1358" s="377">
        <v>3</v>
      </c>
      <c r="C1358" s="362" t="s">
        <v>1019</v>
      </c>
      <c r="D1358" s="363">
        <v>42</v>
      </c>
      <c r="E1358" s="363">
        <v>1990</v>
      </c>
      <c r="F1358" s="364">
        <v>50.9</v>
      </c>
      <c r="G1358" s="364">
        <v>4.222</v>
      </c>
      <c r="H1358" s="364">
        <v>6.72</v>
      </c>
      <c r="I1358" s="364">
        <v>39.977</v>
      </c>
      <c r="J1358" s="372">
        <v>2445.51</v>
      </c>
      <c r="K1358" s="364">
        <v>39.977</v>
      </c>
      <c r="L1358" s="372">
        <v>2445.51</v>
      </c>
      <c r="M1358" s="374">
        <f>K1358/L1358</f>
        <v>0.016347101422607143</v>
      </c>
      <c r="N1358" s="368">
        <v>201.868</v>
      </c>
      <c r="O1358" s="369">
        <f>M1358*N1358</f>
        <v>3.2999566699788585</v>
      </c>
      <c r="P1358" s="369">
        <f>M1358*60*1000</f>
        <v>980.8260853564286</v>
      </c>
      <c r="Q1358" s="375">
        <f>P1358*N1358/1000</f>
        <v>197.99740019873155</v>
      </c>
    </row>
    <row r="1359" spans="1:17" ht="11.25">
      <c r="A1359" s="1185"/>
      <c r="B1359" s="377">
        <v>4</v>
      </c>
      <c r="C1359" s="784"/>
      <c r="D1359" s="503"/>
      <c r="E1359" s="427"/>
      <c r="F1359" s="1050"/>
      <c r="G1359" s="1050"/>
      <c r="H1359" s="1051"/>
      <c r="I1359" s="1050"/>
      <c r="J1359" s="630"/>
      <c r="K1359" s="1050"/>
      <c r="L1359" s="630"/>
      <c r="M1359" s="374"/>
      <c r="N1359" s="373"/>
      <c r="O1359" s="376"/>
      <c r="P1359" s="376"/>
      <c r="Q1359" s="375"/>
    </row>
    <row r="1360" spans="1:17" ht="11.25">
      <c r="A1360" s="1185"/>
      <c r="B1360" s="377">
        <v>5</v>
      </c>
      <c r="C1360" s="784"/>
      <c r="D1360" s="503"/>
      <c r="E1360" s="427"/>
      <c r="F1360" s="1050"/>
      <c r="G1360" s="1050"/>
      <c r="H1360" s="1051"/>
      <c r="I1360" s="1050"/>
      <c r="J1360" s="630"/>
      <c r="K1360" s="1050"/>
      <c r="L1360" s="630"/>
      <c r="M1360" s="374"/>
      <c r="N1360" s="373"/>
      <c r="O1360" s="376"/>
      <c r="P1360" s="376"/>
      <c r="Q1360" s="375"/>
    </row>
    <row r="1361" spans="1:17" ht="11.25">
      <c r="A1361" s="1185"/>
      <c r="B1361" s="407">
        <v>6</v>
      </c>
      <c r="C1361" s="784"/>
      <c r="D1361" s="503"/>
      <c r="E1361" s="427"/>
      <c r="F1361" s="1050"/>
      <c r="G1361" s="1050"/>
      <c r="H1361" s="1051"/>
      <c r="I1361" s="1050"/>
      <c r="J1361" s="630"/>
      <c r="K1361" s="1050"/>
      <c r="L1361" s="630"/>
      <c r="M1361" s="374"/>
      <c r="N1361" s="373"/>
      <c r="O1361" s="376"/>
      <c r="P1361" s="376"/>
      <c r="Q1361" s="375"/>
    </row>
    <row r="1362" spans="1:17" ht="11.25">
      <c r="A1362" s="1185"/>
      <c r="B1362" s="377">
        <v>7</v>
      </c>
      <c r="C1362" s="784"/>
      <c r="D1362" s="503"/>
      <c r="E1362" s="427"/>
      <c r="F1362" s="1050"/>
      <c r="G1362" s="1050"/>
      <c r="H1362" s="1051"/>
      <c r="I1362" s="1050"/>
      <c r="J1362" s="630"/>
      <c r="K1362" s="1050"/>
      <c r="L1362" s="630"/>
      <c r="M1362" s="374"/>
      <c r="N1362" s="373"/>
      <c r="O1362" s="376"/>
      <c r="P1362" s="376"/>
      <c r="Q1362" s="375"/>
    </row>
    <row r="1363" spans="1:17" ht="11.25">
      <c r="A1363" s="1185"/>
      <c r="B1363" s="377">
        <v>8</v>
      </c>
      <c r="C1363" s="784"/>
      <c r="D1363" s="503"/>
      <c r="E1363" s="427"/>
      <c r="F1363" s="1050"/>
      <c r="G1363" s="1050"/>
      <c r="H1363" s="1051"/>
      <c r="I1363" s="1050"/>
      <c r="J1363" s="631"/>
      <c r="K1363" s="1050"/>
      <c r="L1363" s="630"/>
      <c r="M1363" s="374"/>
      <c r="N1363" s="373"/>
      <c r="O1363" s="376"/>
      <c r="P1363" s="376"/>
      <c r="Q1363" s="375"/>
    </row>
    <row r="1364" spans="1:17" ht="11.25">
      <c r="A1364" s="1185"/>
      <c r="B1364" s="377">
        <v>9</v>
      </c>
      <c r="C1364" s="784"/>
      <c r="D1364" s="503"/>
      <c r="E1364" s="427"/>
      <c r="F1364" s="1050"/>
      <c r="G1364" s="1050"/>
      <c r="H1364" s="1051"/>
      <c r="I1364" s="1050"/>
      <c r="J1364" s="630"/>
      <c r="K1364" s="1050"/>
      <c r="L1364" s="630"/>
      <c r="M1364" s="374"/>
      <c r="N1364" s="373"/>
      <c r="O1364" s="376"/>
      <c r="P1364" s="376"/>
      <c r="Q1364" s="375"/>
    </row>
    <row r="1365" spans="1:17" ht="12" thickBot="1">
      <c r="A1365" s="1186"/>
      <c r="B1365" s="388">
        <v>10</v>
      </c>
      <c r="C1365" s="788"/>
      <c r="D1365" s="504"/>
      <c r="E1365" s="505"/>
      <c r="F1365" s="1052"/>
      <c r="G1365" s="1052"/>
      <c r="H1365" s="1053"/>
      <c r="I1365" s="1052"/>
      <c r="J1365" s="632"/>
      <c r="K1365" s="1052"/>
      <c r="L1365" s="632"/>
      <c r="M1365" s="401"/>
      <c r="N1365" s="409"/>
      <c r="O1365" s="402"/>
      <c r="P1365" s="402"/>
      <c r="Q1365" s="403"/>
    </row>
    <row r="1366" spans="1:17" ht="11.25">
      <c r="A1366" s="1187" t="s">
        <v>30</v>
      </c>
      <c r="B1366" s="477">
        <v>1</v>
      </c>
      <c r="C1366" s="521" t="s">
        <v>1020</v>
      </c>
      <c r="D1366" s="492">
        <v>18</v>
      </c>
      <c r="E1366" s="492">
        <v>1981</v>
      </c>
      <c r="F1366" s="703">
        <v>23.636</v>
      </c>
      <c r="G1366" s="703">
        <v>1.975</v>
      </c>
      <c r="H1366" s="703">
        <v>2.88</v>
      </c>
      <c r="I1366" s="703">
        <v>18.781</v>
      </c>
      <c r="J1366" s="709">
        <v>975.09</v>
      </c>
      <c r="K1366" s="703">
        <v>18.781</v>
      </c>
      <c r="L1366" s="709">
        <v>975.09</v>
      </c>
      <c r="M1366" s="684">
        <f aca="true" t="shared" si="225" ref="M1366:M1379">K1366/L1366</f>
        <v>0.01926078618383944</v>
      </c>
      <c r="N1366" s="717">
        <v>201.868</v>
      </c>
      <c r="O1366" s="685">
        <f aca="true" t="shared" si="226" ref="O1366:O1379">M1366*N1366</f>
        <v>3.8881363853593</v>
      </c>
      <c r="P1366" s="685">
        <f aca="true" t="shared" si="227" ref="P1366:P1379">M1366*60*1000</f>
        <v>1155.6471710303665</v>
      </c>
      <c r="Q1366" s="686">
        <f aca="true" t="shared" si="228" ref="Q1366:Q1379">P1366*N1366/1000</f>
        <v>233.288183121558</v>
      </c>
    </row>
    <row r="1367" spans="1:17" ht="11.25">
      <c r="A1367" s="1188"/>
      <c r="B1367" s="480">
        <v>2</v>
      </c>
      <c r="C1367" s="522" t="s">
        <v>1021</v>
      </c>
      <c r="D1367" s="493">
        <v>20</v>
      </c>
      <c r="E1367" s="493">
        <v>1977</v>
      </c>
      <c r="F1367" s="704">
        <v>25.73</v>
      </c>
      <c r="G1367" s="704">
        <v>1.295</v>
      </c>
      <c r="H1367" s="704">
        <v>3.2</v>
      </c>
      <c r="I1367" s="704">
        <v>21.235</v>
      </c>
      <c r="J1367" s="710">
        <v>1058.99</v>
      </c>
      <c r="K1367" s="704">
        <v>21.235</v>
      </c>
      <c r="L1367" s="710">
        <v>1058.99</v>
      </c>
      <c r="M1367" s="650">
        <f t="shared" si="225"/>
        <v>0.020052125138103286</v>
      </c>
      <c r="N1367" s="717">
        <v>201.868</v>
      </c>
      <c r="O1367" s="508">
        <f t="shared" si="226"/>
        <v>4.047882397378634</v>
      </c>
      <c r="P1367" s="685">
        <f t="shared" si="227"/>
        <v>1203.127508286197</v>
      </c>
      <c r="Q1367" s="509">
        <f t="shared" si="228"/>
        <v>242.87294384271803</v>
      </c>
    </row>
    <row r="1368" spans="1:17" ht="11.25">
      <c r="A1368" s="1188"/>
      <c r="B1368" s="480">
        <v>3</v>
      </c>
      <c r="C1368" s="923" t="s">
        <v>1022</v>
      </c>
      <c r="D1368" s="493">
        <v>20</v>
      </c>
      <c r="E1368" s="493">
        <v>1968</v>
      </c>
      <c r="F1368" s="704">
        <v>24.673</v>
      </c>
      <c r="G1368" s="704">
        <v>1.556</v>
      </c>
      <c r="H1368" s="704">
        <v>3.2</v>
      </c>
      <c r="I1368" s="704">
        <v>19.917</v>
      </c>
      <c r="J1368" s="710">
        <v>937.81</v>
      </c>
      <c r="K1368" s="704">
        <v>19.917</v>
      </c>
      <c r="L1368" s="710">
        <v>937.81</v>
      </c>
      <c r="M1368" s="650">
        <f t="shared" si="225"/>
        <v>0.02123777737494802</v>
      </c>
      <c r="N1368" s="717">
        <v>201.868</v>
      </c>
      <c r="O1368" s="508">
        <f t="shared" si="226"/>
        <v>4.287227643126006</v>
      </c>
      <c r="P1368" s="685">
        <f t="shared" si="227"/>
        <v>1274.266642496881</v>
      </c>
      <c r="Q1368" s="509">
        <f t="shared" si="228"/>
        <v>257.2336585875604</v>
      </c>
    </row>
    <row r="1369" spans="1:17" ht="11.25">
      <c r="A1369" s="1188"/>
      <c r="B1369" s="480">
        <v>4</v>
      </c>
      <c r="C1369" s="522" t="s">
        <v>1023</v>
      </c>
      <c r="D1369" s="493">
        <v>18</v>
      </c>
      <c r="E1369" s="493">
        <v>1982</v>
      </c>
      <c r="F1369" s="704">
        <v>34.886</v>
      </c>
      <c r="G1369" s="704">
        <v>1.806</v>
      </c>
      <c r="H1369" s="704">
        <v>2.88</v>
      </c>
      <c r="I1369" s="704">
        <v>21.607</v>
      </c>
      <c r="J1369" s="710">
        <v>960.42</v>
      </c>
      <c r="K1369" s="704">
        <v>21.607</v>
      </c>
      <c r="L1369" s="710">
        <v>960.42</v>
      </c>
      <c r="M1369" s="650">
        <f t="shared" si="225"/>
        <v>0.022497449032714854</v>
      </c>
      <c r="N1369" s="717">
        <v>201.868</v>
      </c>
      <c r="O1369" s="508">
        <f t="shared" si="226"/>
        <v>4.5415150413360825</v>
      </c>
      <c r="P1369" s="685">
        <f t="shared" si="227"/>
        <v>1349.8469419628914</v>
      </c>
      <c r="Q1369" s="509">
        <f t="shared" si="228"/>
        <v>272.49090248016495</v>
      </c>
    </row>
    <row r="1370" spans="1:17" ht="11.25">
      <c r="A1370" s="1188"/>
      <c r="B1370" s="480">
        <v>5</v>
      </c>
      <c r="C1370" s="522" t="s">
        <v>1024</v>
      </c>
      <c r="D1370" s="493">
        <v>20</v>
      </c>
      <c r="E1370" s="493">
        <v>1980</v>
      </c>
      <c r="F1370" s="704">
        <v>28.903</v>
      </c>
      <c r="G1370" s="704">
        <v>1.318</v>
      </c>
      <c r="H1370" s="704">
        <v>3.2</v>
      </c>
      <c r="I1370" s="704">
        <v>24.385</v>
      </c>
      <c r="J1370" s="710">
        <v>1045.96</v>
      </c>
      <c r="K1370" s="704">
        <v>24.385</v>
      </c>
      <c r="L1370" s="710">
        <v>1045.96</v>
      </c>
      <c r="M1370" s="650">
        <f t="shared" si="225"/>
        <v>0.02331351103292669</v>
      </c>
      <c r="N1370" s="717">
        <v>201.868</v>
      </c>
      <c r="O1370" s="508">
        <f t="shared" si="226"/>
        <v>4.706251845194845</v>
      </c>
      <c r="P1370" s="685">
        <f t="shared" si="227"/>
        <v>1398.8106619756015</v>
      </c>
      <c r="Q1370" s="509">
        <f t="shared" si="228"/>
        <v>282.37511071169075</v>
      </c>
    </row>
    <row r="1371" spans="1:17" ht="11.25">
      <c r="A1371" s="1188"/>
      <c r="B1371" s="480">
        <v>6</v>
      </c>
      <c r="C1371" s="522" t="s">
        <v>1025</v>
      </c>
      <c r="D1371" s="493">
        <v>8</v>
      </c>
      <c r="E1371" s="493">
        <v>1987</v>
      </c>
      <c r="F1371" s="704">
        <v>10.876</v>
      </c>
      <c r="G1371" s="704">
        <v>0.667</v>
      </c>
      <c r="H1371" s="704">
        <v>1.28</v>
      </c>
      <c r="I1371" s="704">
        <v>8.929</v>
      </c>
      <c r="J1371" s="710">
        <v>382.22</v>
      </c>
      <c r="K1371" s="704">
        <v>8.929</v>
      </c>
      <c r="L1371" s="710">
        <v>382.22</v>
      </c>
      <c r="M1371" s="650">
        <f t="shared" si="225"/>
        <v>0.02336089163309089</v>
      </c>
      <c r="N1371" s="717">
        <v>201.868</v>
      </c>
      <c r="O1371" s="508">
        <f t="shared" si="226"/>
        <v>4.715816472188791</v>
      </c>
      <c r="P1371" s="685">
        <f t="shared" si="227"/>
        <v>1401.6534979854534</v>
      </c>
      <c r="Q1371" s="509">
        <f t="shared" si="228"/>
        <v>282.9489883313275</v>
      </c>
    </row>
    <row r="1372" spans="1:17" ht="11.25">
      <c r="A1372" s="1188"/>
      <c r="B1372" s="480">
        <v>7</v>
      </c>
      <c r="C1372" s="522" t="s">
        <v>1026</v>
      </c>
      <c r="D1372" s="493">
        <v>20</v>
      </c>
      <c r="E1372" s="493">
        <v>1973</v>
      </c>
      <c r="F1372" s="704">
        <v>29.29</v>
      </c>
      <c r="G1372" s="704">
        <v>1.322</v>
      </c>
      <c r="H1372" s="704">
        <v>3.04</v>
      </c>
      <c r="I1372" s="704">
        <v>24.928</v>
      </c>
      <c r="J1372" s="710">
        <v>1058.57</v>
      </c>
      <c r="K1372" s="704">
        <v>24.928</v>
      </c>
      <c r="L1372" s="710">
        <v>1058.57</v>
      </c>
      <c r="M1372" s="650">
        <f t="shared" si="225"/>
        <v>0.023548749728407193</v>
      </c>
      <c r="N1372" s="717">
        <v>201.868</v>
      </c>
      <c r="O1372" s="508">
        <f t="shared" si="226"/>
        <v>4.753739010174103</v>
      </c>
      <c r="P1372" s="685">
        <f t="shared" si="227"/>
        <v>1412.9249837044315</v>
      </c>
      <c r="Q1372" s="509">
        <f t="shared" si="228"/>
        <v>285.2243406104462</v>
      </c>
    </row>
    <row r="1373" spans="1:17" ht="11.25">
      <c r="A1373" s="1188"/>
      <c r="B1373" s="480">
        <v>8</v>
      </c>
      <c r="C1373" s="522" t="s">
        <v>1027</v>
      </c>
      <c r="D1373" s="493">
        <v>8</v>
      </c>
      <c r="E1373" s="493">
        <v>1968</v>
      </c>
      <c r="F1373" s="704">
        <v>11.601</v>
      </c>
      <c r="G1373" s="704">
        <v>0.723</v>
      </c>
      <c r="H1373" s="704">
        <v>0.97</v>
      </c>
      <c r="I1373" s="704">
        <v>9.908</v>
      </c>
      <c r="J1373" s="710">
        <v>410.85</v>
      </c>
      <c r="K1373" s="704">
        <v>9.908</v>
      </c>
      <c r="L1373" s="710">
        <v>410.85</v>
      </c>
      <c r="M1373" s="650">
        <f t="shared" si="225"/>
        <v>0.024115857368869415</v>
      </c>
      <c r="N1373" s="717">
        <v>201.868</v>
      </c>
      <c r="O1373" s="508">
        <f t="shared" si="226"/>
        <v>4.868219895338931</v>
      </c>
      <c r="P1373" s="685">
        <f t="shared" si="227"/>
        <v>1446.951442132165</v>
      </c>
      <c r="Q1373" s="509">
        <f t="shared" si="228"/>
        <v>292.0931937203359</v>
      </c>
    </row>
    <row r="1374" spans="1:17" ht="11.25">
      <c r="A1374" s="1188"/>
      <c r="B1374" s="480">
        <v>9</v>
      </c>
      <c r="C1374" s="522" t="s">
        <v>1028</v>
      </c>
      <c r="D1374" s="493">
        <v>8</v>
      </c>
      <c r="E1374" s="493">
        <v>1960</v>
      </c>
      <c r="F1374" s="704">
        <v>10.601</v>
      </c>
      <c r="G1374" s="704">
        <v>0.272</v>
      </c>
      <c r="H1374" s="704">
        <v>1.28</v>
      </c>
      <c r="I1374" s="704">
        <v>9.049</v>
      </c>
      <c r="J1374" s="710">
        <v>357.67</v>
      </c>
      <c r="K1374" s="704">
        <v>9.049</v>
      </c>
      <c r="L1374" s="710">
        <v>357.67</v>
      </c>
      <c r="M1374" s="650">
        <f t="shared" si="225"/>
        <v>0.025299857410462156</v>
      </c>
      <c r="N1374" s="717">
        <v>201.87</v>
      </c>
      <c r="O1374" s="508">
        <f t="shared" si="226"/>
        <v>5.107282215449995</v>
      </c>
      <c r="P1374" s="685">
        <f t="shared" si="227"/>
        <v>1517.9914446277294</v>
      </c>
      <c r="Q1374" s="509">
        <f t="shared" si="228"/>
        <v>306.43693292699976</v>
      </c>
    </row>
    <row r="1375" spans="1:17" ht="12" thickBot="1">
      <c r="A1375" s="1189"/>
      <c r="B1375" s="489">
        <v>10</v>
      </c>
      <c r="C1375" s="523" t="s">
        <v>1029</v>
      </c>
      <c r="D1375" s="494">
        <v>12</v>
      </c>
      <c r="E1375" s="494">
        <v>1972</v>
      </c>
      <c r="F1375" s="705">
        <v>14.054</v>
      </c>
      <c r="G1375" s="705"/>
      <c r="H1375" s="705"/>
      <c r="I1375" s="705">
        <v>14.054</v>
      </c>
      <c r="J1375" s="711">
        <v>533.64</v>
      </c>
      <c r="K1375" s="705">
        <v>14.054</v>
      </c>
      <c r="L1375" s="711">
        <v>533.64</v>
      </c>
      <c r="M1375" s="687">
        <f t="shared" si="225"/>
        <v>0.02633610673862529</v>
      </c>
      <c r="N1375" s="688">
        <v>201.868</v>
      </c>
      <c r="O1375" s="689">
        <f t="shared" si="226"/>
        <v>5.31641719511281</v>
      </c>
      <c r="P1375" s="689">
        <f t="shared" si="227"/>
        <v>1580.1664043175174</v>
      </c>
      <c r="Q1375" s="690">
        <f t="shared" si="228"/>
        <v>318.9850317067686</v>
      </c>
    </row>
    <row r="1376" spans="1:17" ht="11.25">
      <c r="A1376" s="1190" t="s">
        <v>49</v>
      </c>
      <c r="B1376" s="468">
        <v>1</v>
      </c>
      <c r="C1376" s="517" t="s">
        <v>1030</v>
      </c>
      <c r="D1376" s="518">
        <v>8</v>
      </c>
      <c r="E1376" s="518">
        <v>1977</v>
      </c>
      <c r="F1376" s="707">
        <v>13.444</v>
      </c>
      <c r="G1376" s="706">
        <v>0.946</v>
      </c>
      <c r="H1376" s="706">
        <v>1.28</v>
      </c>
      <c r="I1376" s="706">
        <v>11.218</v>
      </c>
      <c r="J1376" s="712">
        <v>414.2</v>
      </c>
      <c r="K1376" s="706">
        <v>11.218</v>
      </c>
      <c r="L1376" s="712">
        <v>414.2</v>
      </c>
      <c r="M1376" s="691">
        <f t="shared" si="225"/>
        <v>0.027083534524384355</v>
      </c>
      <c r="N1376" s="719">
        <v>201.868</v>
      </c>
      <c r="O1376" s="693">
        <f t="shared" si="226"/>
        <v>5.467298947368421</v>
      </c>
      <c r="P1376" s="693">
        <f t="shared" si="227"/>
        <v>1625.0120714630614</v>
      </c>
      <c r="Q1376" s="694">
        <f t="shared" si="228"/>
        <v>328.0379368421053</v>
      </c>
    </row>
    <row r="1377" spans="1:17" ht="11.25">
      <c r="A1377" s="1191"/>
      <c r="B1377" s="470">
        <v>2</v>
      </c>
      <c r="C1377" s="517" t="s">
        <v>1031</v>
      </c>
      <c r="D1377" s="518">
        <v>8</v>
      </c>
      <c r="E1377" s="518">
        <v>1970</v>
      </c>
      <c r="F1377" s="707">
        <v>13.444</v>
      </c>
      <c r="G1377" s="707">
        <v>0.946</v>
      </c>
      <c r="H1377" s="707">
        <v>1.28</v>
      </c>
      <c r="I1377" s="707">
        <v>11.218</v>
      </c>
      <c r="J1377" s="713">
        <v>414.2</v>
      </c>
      <c r="K1377" s="707">
        <v>11.218</v>
      </c>
      <c r="L1377" s="713">
        <v>414.2</v>
      </c>
      <c r="M1377" s="695">
        <f t="shared" si="225"/>
        <v>0.027083534524384355</v>
      </c>
      <c r="N1377" s="719">
        <v>201.868</v>
      </c>
      <c r="O1377" s="696">
        <f t="shared" si="226"/>
        <v>5.467298947368421</v>
      </c>
      <c r="P1377" s="693">
        <f t="shared" si="227"/>
        <v>1625.0120714630614</v>
      </c>
      <c r="Q1377" s="697">
        <f t="shared" si="228"/>
        <v>328.0379368421053</v>
      </c>
    </row>
    <row r="1378" spans="1:17" ht="11.25">
      <c r="A1378" s="1191"/>
      <c r="B1378" s="470">
        <v>3</v>
      </c>
      <c r="C1378" s="517" t="s">
        <v>1032</v>
      </c>
      <c r="D1378" s="518">
        <v>18</v>
      </c>
      <c r="E1378" s="518">
        <v>1972</v>
      </c>
      <c r="F1378" s="707">
        <v>27.812</v>
      </c>
      <c r="G1378" s="707"/>
      <c r="H1378" s="707"/>
      <c r="I1378" s="707">
        <v>27.812</v>
      </c>
      <c r="J1378" s="713">
        <v>952.97</v>
      </c>
      <c r="K1378" s="707">
        <v>27.812</v>
      </c>
      <c r="L1378" s="713">
        <v>952.97</v>
      </c>
      <c r="M1378" s="695">
        <f t="shared" si="225"/>
        <v>0.029184549356223177</v>
      </c>
      <c r="N1378" s="719">
        <v>201.868</v>
      </c>
      <c r="O1378" s="696">
        <f t="shared" si="226"/>
        <v>5.89142660944206</v>
      </c>
      <c r="P1378" s="693">
        <f t="shared" si="227"/>
        <v>1751.0729613733906</v>
      </c>
      <c r="Q1378" s="697">
        <f t="shared" si="228"/>
        <v>353.4855965665236</v>
      </c>
    </row>
    <row r="1379" spans="1:17" ht="11.25">
      <c r="A1379" s="1191"/>
      <c r="B1379" s="470">
        <v>4</v>
      </c>
      <c r="C1379" s="517" t="s">
        <v>1033</v>
      </c>
      <c r="D1379" s="518">
        <v>8</v>
      </c>
      <c r="E1379" s="518">
        <v>1979</v>
      </c>
      <c r="F1379" s="707">
        <v>12.235</v>
      </c>
      <c r="G1379" s="707">
        <v>0.417</v>
      </c>
      <c r="H1379" s="707">
        <v>0.08</v>
      </c>
      <c r="I1379" s="707">
        <v>11.738</v>
      </c>
      <c r="J1379" s="713">
        <v>388.12</v>
      </c>
      <c r="K1379" s="707">
        <v>11.738</v>
      </c>
      <c r="L1379" s="713">
        <v>388.12</v>
      </c>
      <c r="M1379" s="695">
        <f t="shared" si="225"/>
        <v>0.03024322374523343</v>
      </c>
      <c r="N1379" s="719">
        <v>201.868</v>
      </c>
      <c r="O1379" s="696">
        <f t="shared" si="226"/>
        <v>6.105139091002782</v>
      </c>
      <c r="P1379" s="693">
        <f t="shared" si="227"/>
        <v>1814.5934247140058</v>
      </c>
      <c r="Q1379" s="697">
        <f t="shared" si="228"/>
        <v>366.30834546016695</v>
      </c>
    </row>
    <row r="1380" spans="1:17" ht="11.25">
      <c r="A1380" s="1191"/>
      <c r="B1380" s="470">
        <v>5</v>
      </c>
      <c r="C1380" s="789"/>
      <c r="D1380" s="497"/>
      <c r="E1380" s="498"/>
      <c r="F1380" s="625"/>
      <c r="G1380" s="625"/>
      <c r="H1380" s="626"/>
      <c r="I1380" s="625"/>
      <c r="J1380" s="633"/>
      <c r="K1380" s="625"/>
      <c r="L1380" s="634"/>
      <c r="M1380" s="117"/>
      <c r="N1380" s="118"/>
      <c r="O1380" s="119"/>
      <c r="P1380" s="119"/>
      <c r="Q1380" s="120"/>
    </row>
    <row r="1381" spans="1:17" ht="11.25">
      <c r="A1381" s="1191"/>
      <c r="B1381" s="470">
        <v>6</v>
      </c>
      <c r="C1381" s="789"/>
      <c r="D1381" s="497"/>
      <c r="E1381" s="498"/>
      <c r="F1381" s="625"/>
      <c r="G1381" s="625"/>
      <c r="H1381" s="626"/>
      <c r="I1381" s="625"/>
      <c r="J1381" s="633"/>
      <c r="K1381" s="625"/>
      <c r="L1381" s="634"/>
      <c r="M1381" s="117"/>
      <c r="N1381" s="118"/>
      <c r="O1381" s="119"/>
      <c r="P1381" s="119"/>
      <c r="Q1381" s="120"/>
    </row>
    <row r="1382" spans="1:17" ht="11.25">
      <c r="A1382" s="1191"/>
      <c r="B1382" s="470">
        <v>7</v>
      </c>
      <c r="C1382" s="789"/>
      <c r="D1382" s="497"/>
      <c r="E1382" s="498"/>
      <c r="F1382" s="625"/>
      <c r="G1382" s="625"/>
      <c r="H1382" s="626"/>
      <c r="I1382" s="625"/>
      <c r="J1382" s="633"/>
      <c r="K1382" s="625"/>
      <c r="L1382" s="634"/>
      <c r="M1382" s="117"/>
      <c r="N1382" s="118"/>
      <c r="O1382" s="119"/>
      <c r="P1382" s="119"/>
      <c r="Q1382" s="120"/>
    </row>
    <row r="1383" spans="1:17" ht="11.25">
      <c r="A1383" s="1191"/>
      <c r="B1383" s="470">
        <v>8</v>
      </c>
      <c r="C1383" s="789"/>
      <c r="D1383" s="497"/>
      <c r="E1383" s="498"/>
      <c r="F1383" s="625"/>
      <c r="G1383" s="625"/>
      <c r="H1383" s="626"/>
      <c r="I1383" s="625"/>
      <c r="J1383" s="634"/>
      <c r="K1383" s="625"/>
      <c r="L1383" s="634"/>
      <c r="M1383" s="117"/>
      <c r="N1383" s="118"/>
      <c r="O1383" s="119"/>
      <c r="P1383" s="119"/>
      <c r="Q1383" s="120"/>
    </row>
    <row r="1384" spans="1:17" ht="11.25">
      <c r="A1384" s="1191"/>
      <c r="B1384" s="470">
        <v>9</v>
      </c>
      <c r="C1384" s="789"/>
      <c r="D1384" s="497"/>
      <c r="E1384" s="498"/>
      <c r="F1384" s="625"/>
      <c r="G1384" s="625"/>
      <c r="H1384" s="626"/>
      <c r="I1384" s="625"/>
      <c r="J1384" s="633"/>
      <c r="K1384" s="625"/>
      <c r="L1384" s="634"/>
      <c r="M1384" s="117"/>
      <c r="N1384" s="118"/>
      <c r="O1384" s="119"/>
      <c r="P1384" s="119"/>
      <c r="Q1384" s="120"/>
    </row>
    <row r="1385" spans="1:17" ht="12" thickBot="1">
      <c r="A1385" s="1192"/>
      <c r="B1385" s="474">
        <v>10</v>
      </c>
      <c r="C1385" s="790"/>
      <c r="D1385" s="499"/>
      <c r="E1385" s="500"/>
      <c r="F1385" s="627"/>
      <c r="G1385" s="627"/>
      <c r="H1385" s="628"/>
      <c r="I1385" s="627"/>
      <c r="J1385" s="635"/>
      <c r="K1385" s="627"/>
      <c r="L1385" s="653"/>
      <c r="M1385" s="121"/>
      <c r="N1385" s="122"/>
      <c r="O1385" s="123"/>
      <c r="P1385" s="123"/>
      <c r="Q1385" s="124"/>
    </row>
    <row r="1389" spans="1:17" ht="15">
      <c r="A1389" s="1199" t="s">
        <v>1034</v>
      </c>
      <c r="B1389" s="1199"/>
      <c r="C1389" s="1199"/>
      <c r="D1389" s="1199"/>
      <c r="E1389" s="1199"/>
      <c r="F1389" s="1199"/>
      <c r="G1389" s="1199"/>
      <c r="H1389" s="1199"/>
      <c r="I1389" s="1199"/>
      <c r="J1389" s="1199"/>
      <c r="K1389" s="1199"/>
      <c r="L1389" s="1199"/>
      <c r="M1389" s="1199"/>
      <c r="N1389" s="1199"/>
      <c r="O1389" s="1199"/>
      <c r="P1389" s="1199"/>
      <c r="Q1389" s="1199"/>
    </row>
    <row r="1390" spans="1:17" ht="13.5" thickBot="1">
      <c r="A1390" s="1200" t="s">
        <v>1035</v>
      </c>
      <c r="B1390" s="1200"/>
      <c r="C1390" s="1200"/>
      <c r="D1390" s="1200"/>
      <c r="E1390" s="1200"/>
      <c r="F1390" s="1200"/>
      <c r="G1390" s="1200"/>
      <c r="H1390" s="1200"/>
      <c r="I1390" s="1200"/>
      <c r="J1390" s="1200"/>
      <c r="K1390" s="1200"/>
      <c r="L1390" s="1200"/>
      <c r="M1390" s="1200"/>
      <c r="N1390" s="1200"/>
      <c r="O1390" s="1200"/>
      <c r="P1390" s="1200"/>
      <c r="Q1390" s="1200"/>
    </row>
    <row r="1391" spans="1:17" ht="11.25">
      <c r="A1391" s="1201" t="s">
        <v>1</v>
      </c>
      <c r="B1391" s="1203" t="s">
        <v>0</v>
      </c>
      <c r="C1391" s="1193" t="s">
        <v>2</v>
      </c>
      <c r="D1391" s="1193" t="s">
        <v>3</v>
      </c>
      <c r="E1391" s="1193" t="s">
        <v>13</v>
      </c>
      <c r="F1391" s="1207" t="s">
        <v>14</v>
      </c>
      <c r="G1391" s="1208"/>
      <c r="H1391" s="1208"/>
      <c r="I1391" s="1209"/>
      <c r="J1391" s="1193" t="s">
        <v>4</v>
      </c>
      <c r="K1391" s="1193" t="s">
        <v>15</v>
      </c>
      <c r="L1391" s="1193" t="s">
        <v>5</v>
      </c>
      <c r="M1391" s="1193" t="s">
        <v>6</v>
      </c>
      <c r="N1391" s="1193" t="s">
        <v>16</v>
      </c>
      <c r="O1391" s="1195" t="s">
        <v>17</v>
      </c>
      <c r="P1391" s="1193" t="s">
        <v>25</v>
      </c>
      <c r="Q1391" s="1197" t="s">
        <v>26</v>
      </c>
    </row>
    <row r="1392" spans="1:17" ht="33.75">
      <c r="A1392" s="1202"/>
      <c r="B1392" s="1204"/>
      <c r="C1392" s="1205"/>
      <c r="D1392" s="1194"/>
      <c r="E1392" s="1194"/>
      <c r="F1392" s="26" t="s">
        <v>18</v>
      </c>
      <c r="G1392" s="26" t="s">
        <v>19</v>
      </c>
      <c r="H1392" s="26" t="s">
        <v>20</v>
      </c>
      <c r="I1392" s="26" t="s">
        <v>21</v>
      </c>
      <c r="J1392" s="1194"/>
      <c r="K1392" s="1194"/>
      <c r="L1392" s="1194"/>
      <c r="M1392" s="1194"/>
      <c r="N1392" s="1194"/>
      <c r="O1392" s="1196"/>
      <c r="P1392" s="1194"/>
      <c r="Q1392" s="1198"/>
    </row>
    <row r="1393" spans="1:17" ht="12" thickBot="1">
      <c r="A1393" s="1202"/>
      <c r="B1393" s="1204"/>
      <c r="C1393" s="1206"/>
      <c r="D1393" s="42" t="s">
        <v>7</v>
      </c>
      <c r="E1393" s="42" t="s">
        <v>8</v>
      </c>
      <c r="F1393" s="42" t="s">
        <v>9</v>
      </c>
      <c r="G1393" s="42" t="s">
        <v>9</v>
      </c>
      <c r="H1393" s="42" t="s">
        <v>9</v>
      </c>
      <c r="I1393" s="42" t="s">
        <v>9</v>
      </c>
      <c r="J1393" s="42" t="s">
        <v>22</v>
      </c>
      <c r="K1393" s="42" t="s">
        <v>9</v>
      </c>
      <c r="L1393" s="42" t="s">
        <v>22</v>
      </c>
      <c r="M1393" s="42" t="s">
        <v>23</v>
      </c>
      <c r="N1393" s="42" t="s">
        <v>10</v>
      </c>
      <c r="O1393" s="42" t="s">
        <v>24</v>
      </c>
      <c r="P1393" s="43" t="s">
        <v>27</v>
      </c>
      <c r="Q1393" s="44" t="s">
        <v>28</v>
      </c>
    </row>
    <row r="1394" spans="1:17" ht="11.25">
      <c r="A1394" s="1210" t="s">
        <v>48</v>
      </c>
      <c r="B1394" s="485">
        <v>1</v>
      </c>
      <c r="C1394" s="163" t="s">
        <v>1036</v>
      </c>
      <c r="D1394" s="126">
        <v>24</v>
      </c>
      <c r="E1394" s="126">
        <v>2011</v>
      </c>
      <c r="F1394" s="207">
        <v>20.388</v>
      </c>
      <c r="G1394" s="207">
        <v>2.707</v>
      </c>
      <c r="H1394" s="207">
        <v>1.92</v>
      </c>
      <c r="I1394" s="207">
        <v>15.761</v>
      </c>
      <c r="J1394" s="219">
        <v>1123.75</v>
      </c>
      <c r="K1394" s="207">
        <v>15.761</v>
      </c>
      <c r="L1394" s="219">
        <v>1123.75</v>
      </c>
      <c r="M1394" s="139">
        <f>K1394/L1394</f>
        <v>0.014025361512791991</v>
      </c>
      <c r="N1394" s="127">
        <v>298.987</v>
      </c>
      <c r="O1394" s="337">
        <f>M1394*N1394</f>
        <v>4.1934007626251395</v>
      </c>
      <c r="P1394" s="337">
        <f>M1394*60*1000</f>
        <v>841.5216907675194</v>
      </c>
      <c r="Q1394" s="1151">
        <f>P1394*N1394/1000</f>
        <v>251.60404575750835</v>
      </c>
    </row>
    <row r="1395" spans="1:17" ht="11.25">
      <c r="A1395" s="1211"/>
      <c r="B1395" s="487">
        <v>2</v>
      </c>
      <c r="C1395" s="1046"/>
      <c r="D1395" s="89"/>
      <c r="E1395" s="88"/>
      <c r="F1395" s="620"/>
      <c r="G1395" s="620"/>
      <c r="H1395" s="621"/>
      <c r="I1395" s="620"/>
      <c r="J1395" s="629"/>
      <c r="K1395" s="620"/>
      <c r="L1395" s="629"/>
      <c r="M1395" s="108"/>
      <c r="N1395" s="109"/>
      <c r="O1395" s="110"/>
      <c r="P1395" s="110"/>
      <c r="Q1395" s="111"/>
    </row>
    <row r="1396" spans="1:17" ht="11.25">
      <c r="A1396" s="1211"/>
      <c r="B1396" s="487">
        <v>3</v>
      </c>
      <c r="C1396" s="783"/>
      <c r="D1396" s="89"/>
      <c r="E1396" s="88"/>
      <c r="F1396" s="620"/>
      <c r="G1396" s="620"/>
      <c r="H1396" s="621"/>
      <c r="I1396" s="620"/>
      <c r="J1396" s="629"/>
      <c r="K1396" s="620"/>
      <c r="L1396" s="629"/>
      <c r="M1396" s="108"/>
      <c r="N1396" s="109"/>
      <c r="O1396" s="110"/>
      <c r="P1396" s="110"/>
      <c r="Q1396" s="111"/>
    </row>
    <row r="1397" spans="1:17" ht="11.25">
      <c r="A1397" s="1211"/>
      <c r="B1397" s="487">
        <v>4</v>
      </c>
      <c r="C1397" s="783"/>
      <c r="D1397" s="89"/>
      <c r="E1397" s="88"/>
      <c r="F1397" s="620"/>
      <c r="G1397" s="620"/>
      <c r="H1397" s="621"/>
      <c r="I1397" s="620"/>
      <c r="J1397" s="629"/>
      <c r="K1397" s="620"/>
      <c r="L1397" s="629"/>
      <c r="M1397" s="108"/>
      <c r="N1397" s="109"/>
      <c r="O1397" s="110"/>
      <c r="P1397" s="110"/>
      <c r="Q1397" s="111"/>
    </row>
    <row r="1398" spans="1:17" ht="11.25">
      <c r="A1398" s="1211"/>
      <c r="B1398" s="487">
        <v>5</v>
      </c>
      <c r="C1398" s="783"/>
      <c r="D1398" s="89"/>
      <c r="E1398" s="88"/>
      <c r="F1398" s="620"/>
      <c r="G1398" s="620"/>
      <c r="H1398" s="621"/>
      <c r="I1398" s="620"/>
      <c r="J1398" s="629"/>
      <c r="K1398" s="620"/>
      <c r="L1398" s="629"/>
      <c r="M1398" s="108"/>
      <c r="N1398" s="109"/>
      <c r="O1398" s="110"/>
      <c r="P1398" s="110"/>
      <c r="Q1398" s="111"/>
    </row>
    <row r="1399" spans="1:17" ht="11.25">
      <c r="A1399" s="1211"/>
      <c r="B1399" s="785">
        <v>6</v>
      </c>
      <c r="C1399" s="783"/>
      <c r="D1399" s="89"/>
      <c r="E1399" s="88"/>
      <c r="F1399" s="620"/>
      <c r="G1399" s="620"/>
      <c r="H1399" s="621"/>
      <c r="I1399" s="620"/>
      <c r="J1399" s="629"/>
      <c r="K1399" s="620"/>
      <c r="L1399" s="629"/>
      <c r="M1399" s="108"/>
      <c r="N1399" s="109"/>
      <c r="O1399" s="110"/>
      <c r="P1399" s="110"/>
      <c r="Q1399" s="111"/>
    </row>
    <row r="1400" spans="1:17" ht="11.25">
      <c r="A1400" s="1211"/>
      <c r="B1400" s="487">
        <v>7</v>
      </c>
      <c r="C1400" s="783"/>
      <c r="D1400" s="89"/>
      <c r="E1400" s="88"/>
      <c r="F1400" s="620"/>
      <c r="G1400" s="620"/>
      <c r="H1400" s="621"/>
      <c r="I1400" s="620"/>
      <c r="J1400" s="629"/>
      <c r="K1400" s="620"/>
      <c r="L1400" s="629"/>
      <c r="M1400" s="108"/>
      <c r="N1400" s="109"/>
      <c r="O1400" s="110"/>
      <c r="P1400" s="110"/>
      <c r="Q1400" s="111"/>
    </row>
    <row r="1401" spans="1:17" ht="11.25">
      <c r="A1401" s="1211"/>
      <c r="B1401" s="785">
        <v>8</v>
      </c>
      <c r="C1401" s="783"/>
      <c r="D1401" s="89"/>
      <c r="E1401" s="88"/>
      <c r="F1401" s="620"/>
      <c r="G1401" s="620"/>
      <c r="H1401" s="621"/>
      <c r="I1401" s="620"/>
      <c r="J1401" s="629"/>
      <c r="K1401" s="620"/>
      <c r="L1401" s="629"/>
      <c r="M1401" s="108"/>
      <c r="N1401" s="109"/>
      <c r="O1401" s="110"/>
      <c r="P1401" s="110"/>
      <c r="Q1401" s="111"/>
    </row>
    <row r="1402" spans="1:17" ht="11.25">
      <c r="A1402" s="1211"/>
      <c r="B1402" s="786">
        <v>9</v>
      </c>
      <c r="C1402" s="783"/>
      <c r="D1402" s="89"/>
      <c r="E1402" s="88"/>
      <c r="F1402" s="622"/>
      <c r="G1402" s="622"/>
      <c r="H1402" s="621"/>
      <c r="I1402" s="622"/>
      <c r="J1402" s="629"/>
      <c r="K1402" s="622"/>
      <c r="L1402" s="629"/>
      <c r="M1402" s="644"/>
      <c r="N1402" s="645"/>
      <c r="O1402" s="501"/>
      <c r="P1402" s="501"/>
      <c r="Q1402" s="502"/>
    </row>
    <row r="1403" spans="1:17" ht="12" thickBot="1">
      <c r="A1403" s="1212"/>
      <c r="B1403" s="787">
        <v>10</v>
      </c>
      <c r="C1403" s="1152"/>
      <c r="D1403" s="206"/>
      <c r="E1403" s="146"/>
      <c r="F1403" s="1156"/>
      <c r="G1403" s="1156"/>
      <c r="H1403" s="1157"/>
      <c r="I1403" s="1156"/>
      <c r="J1403" s="1155"/>
      <c r="K1403" s="1156"/>
      <c r="L1403" s="1155"/>
      <c r="M1403" s="140"/>
      <c r="N1403" s="129"/>
      <c r="O1403" s="222"/>
      <c r="P1403" s="222"/>
      <c r="Q1403" s="131"/>
    </row>
    <row r="1404" spans="1:17" ht="11.25">
      <c r="A1404" s="1184" t="s">
        <v>29</v>
      </c>
      <c r="B1404" s="404">
        <v>1</v>
      </c>
      <c r="C1404" s="839" t="s">
        <v>1037</v>
      </c>
      <c r="D1404" s="423">
        <v>20</v>
      </c>
      <c r="E1404" s="423">
        <v>1979</v>
      </c>
      <c r="F1404" s="396">
        <v>16.75</v>
      </c>
      <c r="G1404" s="396">
        <v>1.909</v>
      </c>
      <c r="H1404" s="396">
        <v>3.168</v>
      </c>
      <c r="I1404" s="396">
        <v>11.673</v>
      </c>
      <c r="J1404" s="424">
        <v>964.06</v>
      </c>
      <c r="K1404" s="396">
        <v>11.673</v>
      </c>
      <c r="L1404" s="424">
        <v>964.06</v>
      </c>
      <c r="M1404" s="367">
        <f aca="true" t="shared" si="229" ref="M1404:M1412">K1404/L1404</f>
        <v>0.01210816754143933</v>
      </c>
      <c r="N1404" s="368">
        <v>298.987</v>
      </c>
      <c r="O1404" s="369">
        <f aca="true" t="shared" si="230" ref="O1404:O1412">M1404*N1404</f>
        <v>3.6201846887123215</v>
      </c>
      <c r="P1404" s="369">
        <f aca="true" t="shared" si="231" ref="P1404:P1412">M1404*60*1000</f>
        <v>726.4900524863598</v>
      </c>
      <c r="Q1404" s="370">
        <f aca="true" t="shared" si="232" ref="Q1404:Q1412">P1404*N1404/1000</f>
        <v>217.2110813227393</v>
      </c>
    </row>
    <row r="1405" spans="1:17" ht="11.25">
      <c r="A1405" s="1185"/>
      <c r="B1405" s="377">
        <v>2</v>
      </c>
      <c r="C1405" s="362" t="s">
        <v>1038</v>
      </c>
      <c r="D1405" s="363">
        <v>8</v>
      </c>
      <c r="E1405" s="363">
        <v>1978</v>
      </c>
      <c r="F1405" s="364">
        <v>5.273</v>
      </c>
      <c r="G1405" s="364">
        <v>0.224</v>
      </c>
      <c r="H1405" s="364">
        <v>0.64</v>
      </c>
      <c r="I1405" s="364">
        <v>4.409</v>
      </c>
      <c r="J1405" s="372">
        <v>571.25</v>
      </c>
      <c r="K1405" s="364">
        <v>3.969</v>
      </c>
      <c r="L1405" s="372">
        <v>286.04</v>
      </c>
      <c r="M1405" s="367">
        <f t="shared" si="229"/>
        <v>0.013875681722835966</v>
      </c>
      <c r="N1405" s="373">
        <v>298.987</v>
      </c>
      <c r="O1405" s="369">
        <f t="shared" si="230"/>
        <v>4.148648451265557</v>
      </c>
      <c r="P1405" s="369">
        <f t="shared" si="231"/>
        <v>832.5409033701579</v>
      </c>
      <c r="Q1405" s="370">
        <f t="shared" si="232"/>
        <v>248.91890707593345</v>
      </c>
    </row>
    <row r="1406" spans="1:17" ht="11.25">
      <c r="A1406" s="1185"/>
      <c r="B1406" s="377">
        <v>3</v>
      </c>
      <c r="C1406" s="362" t="s">
        <v>1039</v>
      </c>
      <c r="D1406" s="363">
        <v>6</v>
      </c>
      <c r="E1406" s="363">
        <v>1986</v>
      </c>
      <c r="F1406" s="364">
        <v>32.873</v>
      </c>
      <c r="G1406" s="364">
        <v>2.689</v>
      </c>
      <c r="H1406" s="364">
        <v>4.8</v>
      </c>
      <c r="I1406" s="364">
        <v>25.384</v>
      </c>
      <c r="J1406" s="372">
        <v>1810.7</v>
      </c>
      <c r="K1406" s="364">
        <v>23.461</v>
      </c>
      <c r="L1406" s="372">
        <v>1666.74</v>
      </c>
      <c r="M1406" s="374">
        <f t="shared" si="229"/>
        <v>0.014075980656851098</v>
      </c>
      <c r="N1406" s="373">
        <v>298.987</v>
      </c>
      <c r="O1406" s="369">
        <f t="shared" si="230"/>
        <v>4.208535228649939</v>
      </c>
      <c r="P1406" s="369">
        <f t="shared" si="231"/>
        <v>844.558839411066</v>
      </c>
      <c r="Q1406" s="375">
        <f t="shared" si="232"/>
        <v>252.5121137189964</v>
      </c>
    </row>
    <row r="1407" spans="1:17" ht="11.25">
      <c r="A1407" s="1185"/>
      <c r="B1407" s="377">
        <v>4</v>
      </c>
      <c r="C1407" s="362" t="s">
        <v>1040</v>
      </c>
      <c r="D1407" s="363">
        <v>20</v>
      </c>
      <c r="E1407" s="363">
        <v>1974</v>
      </c>
      <c r="F1407" s="364">
        <v>24.544</v>
      </c>
      <c r="G1407" s="364">
        <v>1.333</v>
      </c>
      <c r="H1407" s="364">
        <v>3.2</v>
      </c>
      <c r="I1407" s="364">
        <v>20.011</v>
      </c>
      <c r="J1407" s="372">
        <v>1410.72</v>
      </c>
      <c r="K1407" s="364">
        <v>20.011</v>
      </c>
      <c r="L1407" s="372">
        <v>1410.72</v>
      </c>
      <c r="M1407" s="374">
        <f t="shared" si="229"/>
        <v>0.014184955200181466</v>
      </c>
      <c r="N1407" s="368">
        <v>298.987</v>
      </c>
      <c r="O1407" s="376">
        <f t="shared" si="230"/>
        <v>4.241117200436657</v>
      </c>
      <c r="P1407" s="369">
        <f t="shared" si="231"/>
        <v>851.097312010888</v>
      </c>
      <c r="Q1407" s="375">
        <f t="shared" si="232"/>
        <v>254.4670320261994</v>
      </c>
    </row>
    <row r="1408" spans="1:17" ht="11.25">
      <c r="A1408" s="1185"/>
      <c r="B1408" s="377">
        <v>5</v>
      </c>
      <c r="C1408" s="362" t="s">
        <v>1041</v>
      </c>
      <c r="D1408" s="363">
        <v>45</v>
      </c>
      <c r="E1408" s="363">
        <v>1976</v>
      </c>
      <c r="F1408" s="364">
        <v>45.671</v>
      </c>
      <c r="G1408" s="364">
        <v>4.828</v>
      </c>
      <c r="H1408" s="364">
        <v>7.2</v>
      </c>
      <c r="I1408" s="364">
        <v>33.643</v>
      </c>
      <c r="J1408" s="372">
        <v>232.8</v>
      </c>
      <c r="K1408" s="364">
        <v>33.643</v>
      </c>
      <c r="L1408" s="372">
        <v>2321.8</v>
      </c>
      <c r="M1408" s="374">
        <f t="shared" si="229"/>
        <v>0.014490050822637608</v>
      </c>
      <c r="N1408" s="373">
        <v>298.987</v>
      </c>
      <c r="O1408" s="376">
        <f t="shared" si="230"/>
        <v>4.332336825307951</v>
      </c>
      <c r="P1408" s="369">
        <f t="shared" si="231"/>
        <v>869.4030493582566</v>
      </c>
      <c r="Q1408" s="375">
        <f t="shared" si="232"/>
        <v>259.9402095184771</v>
      </c>
    </row>
    <row r="1409" spans="1:17" ht="11.25">
      <c r="A1409" s="1185"/>
      <c r="B1409" s="407">
        <v>6</v>
      </c>
      <c r="C1409" s="362" t="s">
        <v>1042</v>
      </c>
      <c r="D1409" s="363">
        <v>29</v>
      </c>
      <c r="E1409" s="363">
        <v>1986</v>
      </c>
      <c r="F1409" s="364">
        <v>30.151</v>
      </c>
      <c r="G1409" s="364">
        <v>3.934</v>
      </c>
      <c r="H1409" s="364">
        <v>4.32</v>
      </c>
      <c r="I1409" s="364">
        <v>21.897</v>
      </c>
      <c r="J1409" s="372">
        <v>1577.48</v>
      </c>
      <c r="K1409" s="364">
        <v>21.616</v>
      </c>
      <c r="L1409" s="372">
        <v>1464.93</v>
      </c>
      <c r="M1409" s="374">
        <f t="shared" si="229"/>
        <v>0.014755653853767757</v>
      </c>
      <c r="N1409" s="373">
        <v>298.987</v>
      </c>
      <c r="O1409" s="376">
        <f t="shared" si="230"/>
        <v>4.411748678776461</v>
      </c>
      <c r="P1409" s="369">
        <f t="shared" si="231"/>
        <v>885.3392312260654</v>
      </c>
      <c r="Q1409" s="375">
        <f t="shared" si="232"/>
        <v>264.70492072658766</v>
      </c>
    </row>
    <row r="1410" spans="1:17" ht="11.25">
      <c r="A1410" s="1185"/>
      <c r="B1410" s="377">
        <v>7</v>
      </c>
      <c r="C1410" s="362" t="s">
        <v>1043</v>
      </c>
      <c r="D1410" s="363">
        <v>12</v>
      </c>
      <c r="E1410" s="363">
        <v>1964</v>
      </c>
      <c r="F1410" s="364">
        <v>11.447</v>
      </c>
      <c r="G1410" s="364">
        <v>1.49</v>
      </c>
      <c r="H1410" s="364">
        <v>1.92</v>
      </c>
      <c r="I1410" s="364">
        <v>8.037</v>
      </c>
      <c r="J1410" s="372">
        <v>539.13</v>
      </c>
      <c r="K1410" s="364">
        <v>7.382</v>
      </c>
      <c r="L1410" s="372">
        <v>495.17</v>
      </c>
      <c r="M1410" s="374">
        <f t="shared" si="229"/>
        <v>0.014908011390027667</v>
      </c>
      <c r="N1410" s="368">
        <v>298.987</v>
      </c>
      <c r="O1410" s="376">
        <f t="shared" si="230"/>
        <v>4.457301601470203</v>
      </c>
      <c r="P1410" s="369">
        <f t="shared" si="231"/>
        <v>894.48068340166</v>
      </c>
      <c r="Q1410" s="375">
        <f t="shared" si="232"/>
        <v>267.43809608821215</v>
      </c>
    </row>
    <row r="1411" spans="1:17" ht="11.25">
      <c r="A1411" s="1185"/>
      <c r="B1411" s="377">
        <v>8</v>
      </c>
      <c r="C1411" s="362" t="s">
        <v>1044</v>
      </c>
      <c r="D1411" s="363">
        <v>40</v>
      </c>
      <c r="E1411" s="363">
        <v>1991</v>
      </c>
      <c r="F1411" s="364">
        <v>43.457</v>
      </c>
      <c r="G1411" s="364">
        <v>3.179</v>
      </c>
      <c r="H1411" s="364">
        <v>6.4</v>
      </c>
      <c r="I1411" s="364">
        <v>33.878</v>
      </c>
      <c r="J1411" s="372">
        <v>2268.53</v>
      </c>
      <c r="K1411" s="364">
        <v>33.878</v>
      </c>
      <c r="L1411" s="372">
        <v>2268.53</v>
      </c>
      <c r="M1411" s="374">
        <f t="shared" si="229"/>
        <v>0.014933899926384045</v>
      </c>
      <c r="N1411" s="373">
        <v>298.987</v>
      </c>
      <c r="O1411" s="376">
        <f t="shared" si="230"/>
        <v>4.4650419372897865</v>
      </c>
      <c r="P1411" s="369">
        <f t="shared" si="231"/>
        <v>896.0339955830426</v>
      </c>
      <c r="Q1411" s="375">
        <f t="shared" si="232"/>
        <v>267.9025162373872</v>
      </c>
    </row>
    <row r="1412" spans="1:17" ht="11.25">
      <c r="A1412" s="1185"/>
      <c r="B1412" s="377">
        <v>9</v>
      </c>
      <c r="C1412" s="362" t="s">
        <v>1045</v>
      </c>
      <c r="D1412" s="363">
        <v>55</v>
      </c>
      <c r="E1412" s="363">
        <v>1985</v>
      </c>
      <c r="F1412" s="364">
        <v>55.31</v>
      </c>
      <c r="G1412" s="364">
        <v>6.385</v>
      </c>
      <c r="H1412" s="364">
        <v>8.8</v>
      </c>
      <c r="I1412" s="364">
        <v>40.125</v>
      </c>
      <c r="J1412" s="372">
        <v>2679.72</v>
      </c>
      <c r="K1412" s="364">
        <v>40.125</v>
      </c>
      <c r="L1412" s="372">
        <v>2679.72</v>
      </c>
      <c r="M1412" s="374">
        <f t="shared" si="229"/>
        <v>0.014973579329183646</v>
      </c>
      <c r="N1412" s="373">
        <v>298.987</v>
      </c>
      <c r="O1412" s="376">
        <f t="shared" si="230"/>
        <v>4.476905562894631</v>
      </c>
      <c r="P1412" s="369">
        <f t="shared" si="231"/>
        <v>898.4147597510188</v>
      </c>
      <c r="Q1412" s="375">
        <f t="shared" si="232"/>
        <v>268.61433377367786</v>
      </c>
    </row>
    <row r="1413" spans="1:17" ht="12" thickBot="1">
      <c r="A1413" s="1186"/>
      <c r="B1413" s="388">
        <v>10</v>
      </c>
      <c r="C1413" s="788"/>
      <c r="D1413" s="504"/>
      <c r="E1413" s="505"/>
      <c r="F1413" s="623"/>
      <c r="G1413" s="623"/>
      <c r="H1413" s="624"/>
      <c r="I1413" s="623"/>
      <c r="J1413" s="632"/>
      <c r="K1413" s="1158"/>
      <c r="L1413" s="1159"/>
      <c r="M1413" s="401"/>
      <c r="N1413" s="409"/>
      <c r="O1413" s="402"/>
      <c r="P1413" s="402"/>
      <c r="Q1413" s="403"/>
    </row>
    <row r="1414" spans="1:17" ht="11.25">
      <c r="A1414" s="1187" t="s">
        <v>30</v>
      </c>
      <c r="B1414" s="477">
        <v>1</v>
      </c>
      <c r="C1414" s="521" t="s">
        <v>1046</v>
      </c>
      <c r="D1414" s="492">
        <v>36</v>
      </c>
      <c r="E1414" s="492">
        <v>1970</v>
      </c>
      <c r="F1414" s="703">
        <v>40.277</v>
      </c>
      <c r="G1414" s="703">
        <v>3.61</v>
      </c>
      <c r="H1414" s="703">
        <v>5.76</v>
      </c>
      <c r="I1414" s="703">
        <v>30.907</v>
      </c>
      <c r="J1414" s="709">
        <v>1538.01</v>
      </c>
      <c r="K1414" s="729">
        <v>28.85</v>
      </c>
      <c r="L1414" s="715">
        <v>1435.64</v>
      </c>
      <c r="M1414" s="684">
        <f aca="true" t="shared" si="233" ref="M1414:M1422">K1414/L1414</f>
        <v>0.020095567133821848</v>
      </c>
      <c r="N1414" s="717">
        <v>298.987</v>
      </c>
      <c r="O1414" s="685">
        <f aca="true" t="shared" si="234" ref="O1414:O1422">M1414*N1414</f>
        <v>6.008313330639993</v>
      </c>
      <c r="P1414" s="685">
        <f aca="true" t="shared" si="235" ref="P1414:P1422">M1414*60*1000</f>
        <v>1205.734028029311</v>
      </c>
      <c r="Q1414" s="686">
        <f aca="true" t="shared" si="236" ref="Q1414:Q1422">P1414*N1414/1000</f>
        <v>360.49879983839963</v>
      </c>
    </row>
    <row r="1415" spans="1:17" ht="11.25">
      <c r="A1415" s="1188"/>
      <c r="B1415" s="480">
        <v>2</v>
      </c>
      <c r="C1415" s="522" t="s">
        <v>1047</v>
      </c>
      <c r="D1415" s="493">
        <v>12</v>
      </c>
      <c r="E1415" s="493">
        <v>1960</v>
      </c>
      <c r="F1415" s="704">
        <v>14.276</v>
      </c>
      <c r="G1415" s="704">
        <v>0.877</v>
      </c>
      <c r="H1415" s="704">
        <v>1.92</v>
      </c>
      <c r="I1415" s="704">
        <v>11.479</v>
      </c>
      <c r="J1415" s="710">
        <v>560.48</v>
      </c>
      <c r="K1415" s="704">
        <v>9.507</v>
      </c>
      <c r="L1415" s="710">
        <v>464.19</v>
      </c>
      <c r="M1415" s="650">
        <f t="shared" si="233"/>
        <v>0.020480837588056616</v>
      </c>
      <c r="N1415" s="651">
        <v>298.987</v>
      </c>
      <c r="O1415" s="508">
        <f t="shared" si="234"/>
        <v>6.123504187940283</v>
      </c>
      <c r="P1415" s="685">
        <f t="shared" si="235"/>
        <v>1228.8502552833968</v>
      </c>
      <c r="Q1415" s="509">
        <f t="shared" si="236"/>
        <v>367.410251276417</v>
      </c>
    </row>
    <row r="1416" spans="1:17" ht="11.25">
      <c r="A1416" s="1188"/>
      <c r="B1416" s="480">
        <v>3</v>
      </c>
      <c r="C1416" s="522" t="s">
        <v>1048</v>
      </c>
      <c r="D1416" s="493">
        <v>4</v>
      </c>
      <c r="E1416" s="493">
        <v>1950</v>
      </c>
      <c r="F1416" s="704">
        <v>5.287</v>
      </c>
      <c r="G1416" s="704">
        <v>0.616</v>
      </c>
      <c r="H1416" s="704">
        <v>0.64</v>
      </c>
      <c r="I1416" s="704">
        <v>4.031</v>
      </c>
      <c r="J1416" s="710">
        <v>193.31</v>
      </c>
      <c r="K1416" s="704">
        <v>4.031</v>
      </c>
      <c r="L1416" s="710">
        <v>193.31</v>
      </c>
      <c r="M1416" s="650">
        <f t="shared" si="233"/>
        <v>0.020852516683047953</v>
      </c>
      <c r="N1416" s="651">
        <v>298.987</v>
      </c>
      <c r="O1416" s="508">
        <f t="shared" si="234"/>
        <v>6.234631405514459</v>
      </c>
      <c r="P1416" s="685">
        <f t="shared" si="235"/>
        <v>1251.1510009828773</v>
      </c>
      <c r="Q1416" s="509">
        <f t="shared" si="236"/>
        <v>374.07788433086756</v>
      </c>
    </row>
    <row r="1417" spans="1:17" ht="11.25">
      <c r="A1417" s="1188"/>
      <c r="B1417" s="480">
        <v>4</v>
      </c>
      <c r="C1417" s="522" t="s">
        <v>1049</v>
      </c>
      <c r="D1417" s="493">
        <v>12</v>
      </c>
      <c r="E1417" s="493">
        <v>1965</v>
      </c>
      <c r="F1417" s="704">
        <v>11.885</v>
      </c>
      <c r="G1417" s="704">
        <v>0.613</v>
      </c>
      <c r="H1417" s="704">
        <v>0.192</v>
      </c>
      <c r="I1417" s="704">
        <v>11.08</v>
      </c>
      <c r="J1417" s="710">
        <v>529.58</v>
      </c>
      <c r="K1417" s="704">
        <v>10.042</v>
      </c>
      <c r="L1417" s="710">
        <v>479.98</v>
      </c>
      <c r="M1417" s="650">
        <f t="shared" si="233"/>
        <v>0.020921705071044627</v>
      </c>
      <c r="N1417" s="717">
        <v>298.987</v>
      </c>
      <c r="O1417" s="508">
        <f t="shared" si="234"/>
        <v>6.25531783407642</v>
      </c>
      <c r="P1417" s="685">
        <f t="shared" si="235"/>
        <v>1255.3023042626776</v>
      </c>
      <c r="Q1417" s="509">
        <f t="shared" si="236"/>
        <v>375.3190700445852</v>
      </c>
    </row>
    <row r="1418" spans="1:17" ht="11.25">
      <c r="A1418" s="1188"/>
      <c r="B1418" s="480">
        <v>5</v>
      </c>
      <c r="C1418" s="522" t="s">
        <v>1050</v>
      </c>
      <c r="D1418" s="493">
        <v>8</v>
      </c>
      <c r="E1418" s="493">
        <v>1936</v>
      </c>
      <c r="F1418" s="704">
        <v>5.132</v>
      </c>
      <c r="G1418" s="704">
        <v>0.808</v>
      </c>
      <c r="H1418" s="704">
        <v>0.272</v>
      </c>
      <c r="I1418" s="704">
        <v>4.052</v>
      </c>
      <c r="J1418" s="710">
        <v>192.55</v>
      </c>
      <c r="K1418" s="704">
        <v>4.052</v>
      </c>
      <c r="L1418" s="710">
        <v>192.55</v>
      </c>
      <c r="M1418" s="650">
        <f t="shared" si="233"/>
        <v>0.021043884705271354</v>
      </c>
      <c r="N1418" s="651">
        <v>298.987</v>
      </c>
      <c r="O1418" s="508">
        <f t="shared" si="234"/>
        <v>6.2918479563749665</v>
      </c>
      <c r="P1418" s="685">
        <f t="shared" si="235"/>
        <v>1262.6330823162812</v>
      </c>
      <c r="Q1418" s="509">
        <f t="shared" si="236"/>
        <v>377.510877382498</v>
      </c>
    </row>
    <row r="1419" spans="1:17" ht="11.25">
      <c r="A1419" s="1188"/>
      <c r="B1419" s="480">
        <v>6</v>
      </c>
      <c r="C1419" s="522" t="s">
        <v>1051</v>
      </c>
      <c r="D1419" s="493">
        <v>20</v>
      </c>
      <c r="E1419" s="493">
        <v>1984</v>
      </c>
      <c r="F1419" s="704">
        <v>19.743</v>
      </c>
      <c r="G1419" s="704">
        <v>1.152</v>
      </c>
      <c r="H1419" s="704">
        <v>3.2</v>
      </c>
      <c r="I1419" s="704">
        <v>15.391</v>
      </c>
      <c r="J1419" s="710">
        <v>728.56</v>
      </c>
      <c r="K1419" s="704">
        <v>13.655</v>
      </c>
      <c r="L1419" s="710">
        <v>646.4</v>
      </c>
      <c r="M1419" s="650">
        <f t="shared" si="233"/>
        <v>0.021124690594059407</v>
      </c>
      <c r="N1419" s="651">
        <v>298.987</v>
      </c>
      <c r="O1419" s="508">
        <f t="shared" si="234"/>
        <v>6.31600786664604</v>
      </c>
      <c r="P1419" s="685">
        <f t="shared" si="235"/>
        <v>1267.4814356435645</v>
      </c>
      <c r="Q1419" s="509">
        <f t="shared" si="236"/>
        <v>378.96047199876244</v>
      </c>
    </row>
    <row r="1420" spans="1:17" ht="11.25">
      <c r="A1420" s="1188"/>
      <c r="B1420" s="480">
        <v>7</v>
      </c>
      <c r="C1420" s="522" t="s">
        <v>1052</v>
      </c>
      <c r="D1420" s="493">
        <v>5</v>
      </c>
      <c r="E1420" s="493">
        <v>1949</v>
      </c>
      <c r="F1420" s="704">
        <v>6.738</v>
      </c>
      <c r="G1420" s="704">
        <v>0.29</v>
      </c>
      <c r="H1420" s="704">
        <v>0.8</v>
      </c>
      <c r="I1420" s="704">
        <v>5.648</v>
      </c>
      <c r="J1420" s="710">
        <v>260.34</v>
      </c>
      <c r="K1420" s="704">
        <v>5.648</v>
      </c>
      <c r="L1420" s="710">
        <v>260.34</v>
      </c>
      <c r="M1420" s="650">
        <f t="shared" si="233"/>
        <v>0.021694706921717755</v>
      </c>
      <c r="N1420" s="717">
        <v>298.987</v>
      </c>
      <c r="O1420" s="508">
        <f t="shared" si="234"/>
        <v>6.486435338403627</v>
      </c>
      <c r="P1420" s="685">
        <f t="shared" si="235"/>
        <v>1301.6824153030652</v>
      </c>
      <c r="Q1420" s="509">
        <f t="shared" si="236"/>
        <v>389.18612030421764</v>
      </c>
    </row>
    <row r="1421" spans="1:17" ht="11.25">
      <c r="A1421" s="1188"/>
      <c r="B1421" s="480">
        <v>8</v>
      </c>
      <c r="C1421" s="522" t="s">
        <v>1053</v>
      </c>
      <c r="D1421" s="493">
        <v>5</v>
      </c>
      <c r="E1421" s="493">
        <v>1984</v>
      </c>
      <c r="F1421" s="704">
        <v>4.108</v>
      </c>
      <c r="G1421" s="704">
        <v>0.056</v>
      </c>
      <c r="H1421" s="704">
        <v>0.08</v>
      </c>
      <c r="I1421" s="704">
        <v>3.972</v>
      </c>
      <c r="J1421" s="710">
        <v>180.46</v>
      </c>
      <c r="K1421" s="704">
        <v>3.972</v>
      </c>
      <c r="L1421" s="710">
        <v>180.46</v>
      </c>
      <c r="M1421" s="650">
        <f t="shared" si="233"/>
        <v>0.022010417821123795</v>
      </c>
      <c r="N1421" s="651">
        <v>298.987</v>
      </c>
      <c r="O1421" s="508">
        <f t="shared" si="234"/>
        <v>6.580828793084341</v>
      </c>
      <c r="P1421" s="685">
        <f t="shared" si="235"/>
        <v>1320.6250692674278</v>
      </c>
      <c r="Q1421" s="509">
        <f t="shared" si="236"/>
        <v>394.84972758506046</v>
      </c>
    </row>
    <row r="1422" spans="1:17" ht="11.25">
      <c r="A1422" s="1188"/>
      <c r="B1422" s="480">
        <v>9</v>
      </c>
      <c r="C1422" s="522" t="s">
        <v>1054</v>
      </c>
      <c r="D1422" s="493">
        <v>9</v>
      </c>
      <c r="E1422" s="493">
        <v>1967</v>
      </c>
      <c r="F1422" s="704">
        <v>10.018</v>
      </c>
      <c r="G1422" s="704">
        <v>0.664</v>
      </c>
      <c r="H1422" s="704">
        <v>0.144</v>
      </c>
      <c r="I1422" s="704">
        <v>9.21</v>
      </c>
      <c r="J1422" s="710">
        <v>416.33</v>
      </c>
      <c r="K1422" s="704">
        <v>9.21</v>
      </c>
      <c r="L1422" s="710">
        <v>416.33</v>
      </c>
      <c r="M1422" s="650">
        <f t="shared" si="233"/>
        <v>0.02212187447457546</v>
      </c>
      <c r="N1422" s="651">
        <v>298.987</v>
      </c>
      <c r="O1422" s="508">
        <f t="shared" si="234"/>
        <v>6.6141528835298935</v>
      </c>
      <c r="P1422" s="685">
        <f t="shared" si="235"/>
        <v>1327.3124684745273</v>
      </c>
      <c r="Q1422" s="509">
        <f t="shared" si="236"/>
        <v>396.84917301179354</v>
      </c>
    </row>
    <row r="1423" spans="1:17" ht="12" thickBot="1">
      <c r="A1423" s="1189"/>
      <c r="B1423" s="489">
        <v>10</v>
      </c>
      <c r="C1423" s="523"/>
      <c r="D1423" s="494"/>
      <c r="E1423" s="494"/>
      <c r="F1423" s="924"/>
      <c r="G1423" s="924"/>
      <c r="H1423" s="924"/>
      <c r="I1423" s="924"/>
      <c r="J1423" s="711"/>
      <c r="K1423" s="924"/>
      <c r="L1423" s="711"/>
      <c r="M1423" s="687"/>
      <c r="N1423" s="1137"/>
      <c r="O1423" s="689"/>
      <c r="P1423" s="689"/>
      <c r="Q1423" s="690"/>
    </row>
    <row r="1424" spans="1:17" ht="11.25">
      <c r="A1424" s="1190" t="s">
        <v>49</v>
      </c>
      <c r="B1424" s="468">
        <v>1</v>
      </c>
      <c r="C1424" s="132" t="s">
        <v>1055</v>
      </c>
      <c r="D1424" s="133">
        <v>8</v>
      </c>
      <c r="E1424" s="133">
        <v>1988</v>
      </c>
      <c r="F1424" s="204">
        <v>4.536</v>
      </c>
      <c r="G1424" s="204">
        <v>0.23</v>
      </c>
      <c r="H1424" s="204">
        <v>0.48</v>
      </c>
      <c r="I1424" s="204">
        <v>3.826</v>
      </c>
      <c r="J1424" s="223">
        <v>167.31</v>
      </c>
      <c r="K1424" s="204">
        <v>3.826</v>
      </c>
      <c r="L1424" s="716">
        <v>167.31</v>
      </c>
      <c r="M1424" s="691">
        <f aca="true" t="shared" si="237" ref="M1424:M1432">K1424/L1424</f>
        <v>0.02286773056003825</v>
      </c>
      <c r="N1424" s="701">
        <v>298.987</v>
      </c>
      <c r="O1424" s="693">
        <f aca="true" t="shared" si="238" ref="O1424:O1432">M1424*N1424</f>
        <v>6.837154156954157</v>
      </c>
      <c r="P1424" s="137">
        <f aca="true" t="shared" si="239" ref="P1424:P1432">M1424*60*1000</f>
        <v>1372.063833602295</v>
      </c>
      <c r="Q1424" s="138">
        <f aca="true" t="shared" si="240" ref="Q1424:Q1432">P1424*N1424/1000</f>
        <v>410.2292494172494</v>
      </c>
    </row>
    <row r="1425" spans="1:17" ht="11.25">
      <c r="A1425" s="1191"/>
      <c r="B1425" s="470">
        <v>2</v>
      </c>
      <c r="C1425" s="135" t="s">
        <v>1056</v>
      </c>
      <c r="D1425" s="104">
        <v>8</v>
      </c>
      <c r="E1425" s="104">
        <v>1950</v>
      </c>
      <c r="F1425" s="179">
        <v>5.525</v>
      </c>
      <c r="G1425" s="179">
        <v>0.112</v>
      </c>
      <c r="H1425" s="179">
        <v>0.064</v>
      </c>
      <c r="I1425" s="179">
        <v>5.349</v>
      </c>
      <c r="J1425" s="224">
        <v>233.78</v>
      </c>
      <c r="K1425" s="179">
        <v>2.392</v>
      </c>
      <c r="L1425" s="713">
        <v>104.55</v>
      </c>
      <c r="M1425" s="695">
        <f t="shared" si="237"/>
        <v>0.022879005260640843</v>
      </c>
      <c r="N1425" s="692">
        <v>298.987</v>
      </c>
      <c r="O1425" s="696">
        <f t="shared" si="238"/>
        <v>6.840525145863224</v>
      </c>
      <c r="P1425" s="137">
        <f t="shared" si="239"/>
        <v>1372.7403156384505</v>
      </c>
      <c r="Q1425" s="120">
        <f t="shared" si="240"/>
        <v>410.4315087517934</v>
      </c>
    </row>
    <row r="1426" spans="1:17" ht="11.25">
      <c r="A1426" s="1191"/>
      <c r="B1426" s="470">
        <v>3</v>
      </c>
      <c r="C1426" s="135" t="s">
        <v>1057</v>
      </c>
      <c r="D1426" s="104">
        <v>8</v>
      </c>
      <c r="E1426" s="104">
        <v>1962</v>
      </c>
      <c r="F1426" s="179">
        <v>10.516</v>
      </c>
      <c r="G1426" s="179">
        <v>0.84</v>
      </c>
      <c r="H1426" s="179">
        <v>1.28</v>
      </c>
      <c r="I1426" s="179">
        <v>8.396</v>
      </c>
      <c r="J1426" s="224">
        <v>372.35</v>
      </c>
      <c r="K1426" s="179">
        <v>6.375</v>
      </c>
      <c r="L1426" s="713">
        <v>273.55</v>
      </c>
      <c r="M1426" s="695">
        <f t="shared" si="237"/>
        <v>0.023304697495887407</v>
      </c>
      <c r="N1426" s="692">
        <v>298.987</v>
      </c>
      <c r="O1426" s="696">
        <f t="shared" si="238"/>
        <v>6.967801590202889</v>
      </c>
      <c r="P1426" s="137">
        <f t="shared" si="239"/>
        <v>1398.2818497532444</v>
      </c>
      <c r="Q1426" s="120">
        <f t="shared" si="240"/>
        <v>418.0680954121733</v>
      </c>
    </row>
    <row r="1427" spans="1:17" ht="11.25">
      <c r="A1427" s="1191"/>
      <c r="B1427" s="470">
        <v>4</v>
      </c>
      <c r="C1427" s="135" t="s">
        <v>1058</v>
      </c>
      <c r="D1427" s="104">
        <v>6</v>
      </c>
      <c r="E1427" s="104">
        <v>1934</v>
      </c>
      <c r="F1427" s="179">
        <v>6.445</v>
      </c>
      <c r="G1427" s="179">
        <v>1.008</v>
      </c>
      <c r="H1427" s="179">
        <v>0.096</v>
      </c>
      <c r="I1427" s="179">
        <v>5.341</v>
      </c>
      <c r="J1427" s="224">
        <v>229.18</v>
      </c>
      <c r="K1427" s="179">
        <v>5.341</v>
      </c>
      <c r="L1427" s="713">
        <v>229.18</v>
      </c>
      <c r="M1427" s="695">
        <f t="shared" si="237"/>
        <v>0.023304825901038485</v>
      </c>
      <c r="N1427" s="719">
        <v>298.987</v>
      </c>
      <c r="O1427" s="696">
        <f t="shared" si="238"/>
        <v>6.967839981673794</v>
      </c>
      <c r="P1427" s="137">
        <f t="shared" si="239"/>
        <v>1398.289554062309</v>
      </c>
      <c r="Q1427" s="120">
        <f t="shared" si="240"/>
        <v>418.0703989004276</v>
      </c>
    </row>
    <row r="1428" spans="1:17" ht="11.25">
      <c r="A1428" s="1191"/>
      <c r="B1428" s="470">
        <v>5</v>
      </c>
      <c r="C1428" s="135" t="s">
        <v>1059</v>
      </c>
      <c r="D1428" s="104">
        <v>6</v>
      </c>
      <c r="E1428" s="104">
        <v>1985</v>
      </c>
      <c r="F1428" s="179">
        <v>6.671</v>
      </c>
      <c r="G1428" s="179">
        <v>0.336</v>
      </c>
      <c r="H1428" s="179">
        <v>0.96</v>
      </c>
      <c r="I1428" s="179">
        <v>5.375</v>
      </c>
      <c r="J1428" s="224">
        <v>230.55</v>
      </c>
      <c r="K1428" s="179">
        <v>5.375</v>
      </c>
      <c r="L1428" s="713">
        <v>230.55</v>
      </c>
      <c r="M1428" s="695">
        <f t="shared" si="237"/>
        <v>0.023313814790717848</v>
      </c>
      <c r="N1428" s="692">
        <v>298.987</v>
      </c>
      <c r="O1428" s="696">
        <f t="shared" si="238"/>
        <v>6.970527542832357</v>
      </c>
      <c r="P1428" s="137">
        <f t="shared" si="239"/>
        <v>1398.8288874430707</v>
      </c>
      <c r="Q1428" s="120">
        <f t="shared" si="240"/>
        <v>418.23165256994145</v>
      </c>
    </row>
    <row r="1429" spans="1:17" ht="11.25">
      <c r="A1429" s="1191"/>
      <c r="B1429" s="470">
        <v>6</v>
      </c>
      <c r="C1429" s="135" t="s">
        <v>1060</v>
      </c>
      <c r="D1429" s="104">
        <v>12</v>
      </c>
      <c r="E1429" s="104">
        <v>1965</v>
      </c>
      <c r="F1429" s="179">
        <v>13.99</v>
      </c>
      <c r="G1429" s="179">
        <v>1.232</v>
      </c>
      <c r="H1429" s="179">
        <v>0.192</v>
      </c>
      <c r="I1429" s="179">
        <v>12.566</v>
      </c>
      <c r="J1429" s="224">
        <v>537.55</v>
      </c>
      <c r="K1429" s="179">
        <v>11.576</v>
      </c>
      <c r="L1429" s="713">
        <v>495.2</v>
      </c>
      <c r="M1429" s="695">
        <f t="shared" si="237"/>
        <v>0.02337641357027464</v>
      </c>
      <c r="N1429" s="692">
        <v>298.987</v>
      </c>
      <c r="O1429" s="696">
        <f t="shared" si="238"/>
        <v>6.989243764135704</v>
      </c>
      <c r="P1429" s="137">
        <f t="shared" si="239"/>
        <v>1402.5848142164782</v>
      </c>
      <c r="Q1429" s="120">
        <f t="shared" si="240"/>
        <v>419.3546258481422</v>
      </c>
    </row>
    <row r="1430" spans="1:17" ht="11.25">
      <c r="A1430" s="1191"/>
      <c r="B1430" s="470">
        <v>7</v>
      </c>
      <c r="C1430" s="135" t="s">
        <v>1061</v>
      </c>
      <c r="D1430" s="104">
        <v>6</v>
      </c>
      <c r="E1430" s="104">
        <v>1957</v>
      </c>
      <c r="F1430" s="179">
        <v>10.04</v>
      </c>
      <c r="G1430" s="179">
        <v>0.616</v>
      </c>
      <c r="H1430" s="179">
        <v>0.08</v>
      </c>
      <c r="I1430" s="179">
        <v>9.344</v>
      </c>
      <c r="J1430" s="224">
        <v>319.78</v>
      </c>
      <c r="K1430" s="179">
        <v>9.344</v>
      </c>
      <c r="L1430" s="713">
        <v>319.78</v>
      </c>
      <c r="M1430" s="695">
        <f t="shared" si="237"/>
        <v>0.0292200888110576</v>
      </c>
      <c r="N1430" s="719">
        <v>298.987</v>
      </c>
      <c r="O1430" s="696">
        <f t="shared" si="238"/>
        <v>8.73642669335168</v>
      </c>
      <c r="P1430" s="137">
        <f t="shared" si="239"/>
        <v>1753.2053286634562</v>
      </c>
      <c r="Q1430" s="120">
        <f t="shared" si="240"/>
        <v>524.1856016011009</v>
      </c>
    </row>
    <row r="1431" spans="1:17" ht="11.25">
      <c r="A1431" s="1191"/>
      <c r="B1431" s="470">
        <v>8</v>
      </c>
      <c r="C1431" s="135" t="s">
        <v>1062</v>
      </c>
      <c r="D1431" s="104">
        <v>2</v>
      </c>
      <c r="E1431" s="104">
        <v>1950</v>
      </c>
      <c r="F1431" s="179">
        <v>3.466</v>
      </c>
      <c r="G1431" s="179"/>
      <c r="H1431" s="179"/>
      <c r="I1431" s="179">
        <v>3.466</v>
      </c>
      <c r="J1431" s="224">
        <v>126.73</v>
      </c>
      <c r="K1431" s="179">
        <v>2.224</v>
      </c>
      <c r="L1431" s="713">
        <v>65.63</v>
      </c>
      <c r="M1431" s="695">
        <f t="shared" si="237"/>
        <v>0.03388694194728021</v>
      </c>
      <c r="N1431" s="692">
        <v>298.987</v>
      </c>
      <c r="O1431" s="696">
        <f t="shared" si="238"/>
        <v>10.131755111991469</v>
      </c>
      <c r="P1431" s="137">
        <f t="shared" si="239"/>
        <v>2033.2165168368124</v>
      </c>
      <c r="Q1431" s="120">
        <f t="shared" si="240"/>
        <v>607.9053067194881</v>
      </c>
    </row>
    <row r="1432" spans="1:17" ht="11.25">
      <c r="A1432" s="1191"/>
      <c r="B1432" s="470">
        <v>9</v>
      </c>
      <c r="C1432" s="135" t="s">
        <v>1063</v>
      </c>
      <c r="D1432" s="104">
        <v>6</v>
      </c>
      <c r="E1432" s="104">
        <v>1958</v>
      </c>
      <c r="F1432" s="179">
        <v>5.361</v>
      </c>
      <c r="G1432" s="179">
        <v>0.272</v>
      </c>
      <c r="H1432" s="179">
        <v>0.48</v>
      </c>
      <c r="I1432" s="179">
        <v>4.609</v>
      </c>
      <c r="J1432" s="224">
        <v>318.54</v>
      </c>
      <c r="K1432" s="179">
        <v>3.231</v>
      </c>
      <c r="L1432" s="713">
        <v>92.5</v>
      </c>
      <c r="M1432" s="695">
        <f t="shared" si="237"/>
        <v>0.03492972972972973</v>
      </c>
      <c r="N1432" s="692">
        <v>298.987</v>
      </c>
      <c r="O1432" s="696">
        <f t="shared" si="238"/>
        <v>10.443535102702702</v>
      </c>
      <c r="P1432" s="137">
        <f t="shared" si="239"/>
        <v>2095.7837837837837</v>
      </c>
      <c r="Q1432" s="120">
        <f t="shared" si="240"/>
        <v>626.6121061621621</v>
      </c>
    </row>
    <row r="1433" spans="1:17" ht="12" thickBot="1">
      <c r="A1433" s="1192"/>
      <c r="B1433" s="474">
        <v>10</v>
      </c>
      <c r="C1433" s="790"/>
      <c r="D1433" s="499"/>
      <c r="E1433" s="500"/>
      <c r="F1433" s="627"/>
      <c r="G1433" s="627"/>
      <c r="H1433" s="628"/>
      <c r="I1433" s="627"/>
      <c r="J1433" s="635"/>
      <c r="K1433" s="627"/>
      <c r="L1433" s="653"/>
      <c r="M1433" s="121"/>
      <c r="N1433" s="122"/>
      <c r="O1433" s="123"/>
      <c r="P1433" s="123"/>
      <c r="Q1433" s="124"/>
    </row>
    <row r="1437" spans="1:17" ht="15">
      <c r="A1437" s="1199" t="s">
        <v>1064</v>
      </c>
      <c r="B1437" s="1199"/>
      <c r="C1437" s="1199"/>
      <c r="D1437" s="1199"/>
      <c r="E1437" s="1199"/>
      <c r="F1437" s="1199"/>
      <c r="G1437" s="1199"/>
      <c r="H1437" s="1199"/>
      <c r="I1437" s="1199"/>
      <c r="J1437" s="1199"/>
      <c r="K1437" s="1199"/>
      <c r="L1437" s="1199"/>
      <c r="M1437" s="1199"/>
      <c r="N1437" s="1199"/>
      <c r="O1437" s="1199"/>
      <c r="P1437" s="1199"/>
      <c r="Q1437" s="1199"/>
    </row>
    <row r="1438" spans="1:17" ht="13.5" thickBot="1">
      <c r="A1438" s="1200" t="s">
        <v>1065</v>
      </c>
      <c r="B1438" s="1200"/>
      <c r="C1438" s="1200"/>
      <c r="D1438" s="1200"/>
      <c r="E1438" s="1200"/>
      <c r="F1438" s="1200"/>
      <c r="G1438" s="1200"/>
      <c r="H1438" s="1200"/>
      <c r="I1438" s="1200"/>
      <c r="J1438" s="1200"/>
      <c r="K1438" s="1200"/>
      <c r="L1438" s="1200"/>
      <c r="M1438" s="1200"/>
      <c r="N1438" s="1200"/>
      <c r="O1438" s="1200"/>
      <c r="P1438" s="1200"/>
      <c r="Q1438" s="1200"/>
    </row>
    <row r="1439" spans="1:17" ht="11.25">
      <c r="A1439" s="1201" t="s">
        <v>1</v>
      </c>
      <c r="B1439" s="1203" t="s">
        <v>0</v>
      </c>
      <c r="C1439" s="1193" t="s">
        <v>2</v>
      </c>
      <c r="D1439" s="1193" t="s">
        <v>3</v>
      </c>
      <c r="E1439" s="1193" t="s">
        <v>13</v>
      </c>
      <c r="F1439" s="1207" t="s">
        <v>14</v>
      </c>
      <c r="G1439" s="1208"/>
      <c r="H1439" s="1208"/>
      <c r="I1439" s="1209"/>
      <c r="J1439" s="1193" t="s">
        <v>4</v>
      </c>
      <c r="K1439" s="1193" t="s">
        <v>15</v>
      </c>
      <c r="L1439" s="1193" t="s">
        <v>5</v>
      </c>
      <c r="M1439" s="1193" t="s">
        <v>6</v>
      </c>
      <c r="N1439" s="1193" t="s">
        <v>16</v>
      </c>
      <c r="O1439" s="1195" t="s">
        <v>17</v>
      </c>
      <c r="P1439" s="1193" t="s">
        <v>25</v>
      </c>
      <c r="Q1439" s="1197" t="s">
        <v>26</v>
      </c>
    </row>
    <row r="1440" spans="1:17" ht="33.75">
      <c r="A1440" s="1202"/>
      <c r="B1440" s="1204"/>
      <c r="C1440" s="1205"/>
      <c r="D1440" s="1194"/>
      <c r="E1440" s="1194"/>
      <c r="F1440" s="26" t="s">
        <v>18</v>
      </c>
      <c r="G1440" s="26" t="s">
        <v>19</v>
      </c>
      <c r="H1440" s="26" t="s">
        <v>20</v>
      </c>
      <c r="I1440" s="26" t="s">
        <v>21</v>
      </c>
      <c r="J1440" s="1194"/>
      <c r="K1440" s="1194"/>
      <c r="L1440" s="1194"/>
      <c r="M1440" s="1194"/>
      <c r="N1440" s="1194"/>
      <c r="O1440" s="1196"/>
      <c r="P1440" s="1194"/>
      <c r="Q1440" s="1198"/>
    </row>
    <row r="1441" spans="1:17" ht="12" thickBot="1">
      <c r="A1441" s="1202"/>
      <c r="B1441" s="1204"/>
      <c r="C1441" s="1206"/>
      <c r="D1441" s="42" t="s">
        <v>7</v>
      </c>
      <c r="E1441" s="42" t="s">
        <v>8</v>
      </c>
      <c r="F1441" s="42" t="s">
        <v>9</v>
      </c>
      <c r="G1441" s="42" t="s">
        <v>9</v>
      </c>
      <c r="H1441" s="42" t="s">
        <v>9</v>
      </c>
      <c r="I1441" s="42" t="s">
        <v>9</v>
      </c>
      <c r="J1441" s="42" t="s">
        <v>22</v>
      </c>
      <c r="K1441" s="42" t="s">
        <v>9</v>
      </c>
      <c r="L1441" s="42" t="s">
        <v>22</v>
      </c>
      <c r="M1441" s="42" t="s">
        <v>23</v>
      </c>
      <c r="N1441" s="42" t="s">
        <v>10</v>
      </c>
      <c r="O1441" s="42" t="s">
        <v>24</v>
      </c>
      <c r="P1441" s="43" t="s">
        <v>27</v>
      </c>
      <c r="Q1441" s="44" t="s">
        <v>28</v>
      </c>
    </row>
    <row r="1442" spans="1:17" ht="11.25">
      <c r="A1442" s="1184" t="s">
        <v>29</v>
      </c>
      <c r="B1442" s="404">
        <v>1</v>
      </c>
      <c r="C1442" s="429" t="s">
        <v>1066</v>
      </c>
      <c r="D1442" s="404">
        <v>6</v>
      </c>
      <c r="E1442" s="404">
        <v>1985</v>
      </c>
      <c r="F1442" s="430">
        <v>6.6</v>
      </c>
      <c r="G1442" s="430">
        <v>0.51</v>
      </c>
      <c r="H1442" s="430">
        <v>1.12</v>
      </c>
      <c r="I1442" s="430">
        <v>4.97</v>
      </c>
      <c r="J1442" s="431">
        <v>396</v>
      </c>
      <c r="K1442" s="430">
        <v>4.97</v>
      </c>
      <c r="L1442" s="431">
        <v>396</v>
      </c>
      <c r="M1442" s="419">
        <f>I1442/L1442</f>
        <v>0.01255050505050505</v>
      </c>
      <c r="N1442" s="420">
        <v>228.46</v>
      </c>
      <c r="O1442" s="420">
        <f>M1442*N1442</f>
        <v>2.8672883838383836</v>
      </c>
      <c r="P1442" s="420">
        <f>M1442*60*1000</f>
        <v>753.0303030303029</v>
      </c>
      <c r="Q1442" s="421">
        <f>O1442*60</f>
        <v>172.037303030303</v>
      </c>
    </row>
    <row r="1443" spans="1:17" ht="11.25">
      <c r="A1443" s="1185"/>
      <c r="B1443" s="377">
        <v>2</v>
      </c>
      <c r="C1443" s="414" t="s">
        <v>1068</v>
      </c>
      <c r="D1443" s="377">
        <v>27</v>
      </c>
      <c r="E1443" s="377">
        <v>1974</v>
      </c>
      <c r="F1443" s="379">
        <v>27</v>
      </c>
      <c r="G1443" s="379">
        <v>2.14</v>
      </c>
      <c r="H1443" s="379">
        <v>4.32</v>
      </c>
      <c r="I1443" s="379">
        <v>20.54</v>
      </c>
      <c r="J1443" s="380">
        <v>1417</v>
      </c>
      <c r="K1443" s="379">
        <v>20.54</v>
      </c>
      <c r="L1443" s="380">
        <v>1417</v>
      </c>
      <c r="M1443" s="381">
        <f>I1443/L1443</f>
        <v>0.014495412844036697</v>
      </c>
      <c r="N1443" s="382">
        <v>228.46</v>
      </c>
      <c r="O1443" s="382">
        <f>M1443*N1443</f>
        <v>3.311622018348624</v>
      </c>
      <c r="P1443" s="382">
        <f>M1443*60*1000</f>
        <v>869.7247706422019</v>
      </c>
      <c r="Q1443" s="383">
        <f>O1443*60</f>
        <v>198.69732110091743</v>
      </c>
    </row>
    <row r="1444" spans="1:17" ht="11.25">
      <c r="A1444" s="1185"/>
      <c r="B1444" s="377">
        <v>3</v>
      </c>
      <c r="C1444" s="414" t="s">
        <v>1067</v>
      </c>
      <c r="D1444" s="377">
        <v>40</v>
      </c>
      <c r="E1444" s="377">
        <v>1975</v>
      </c>
      <c r="F1444" s="379">
        <v>38.4</v>
      </c>
      <c r="G1444" s="379">
        <v>2.45</v>
      </c>
      <c r="H1444" s="379">
        <v>6.4</v>
      </c>
      <c r="I1444" s="379">
        <v>29.6</v>
      </c>
      <c r="J1444" s="380">
        <v>1908</v>
      </c>
      <c r="K1444" s="379">
        <v>29.6</v>
      </c>
      <c r="L1444" s="380">
        <v>1908</v>
      </c>
      <c r="M1444" s="381">
        <f>I1444/L1444</f>
        <v>0.015513626834381553</v>
      </c>
      <c r="N1444" s="382">
        <v>228.46</v>
      </c>
      <c r="O1444" s="382">
        <f>M1444*N1444</f>
        <v>3.5442431865828095</v>
      </c>
      <c r="P1444" s="382">
        <f>M1444*60*1000</f>
        <v>930.8176100628931</v>
      </c>
      <c r="Q1444" s="383">
        <f>O1444*60</f>
        <v>212.65459119496856</v>
      </c>
    </row>
    <row r="1445" spans="1:17" ht="11.25">
      <c r="A1445" s="1185"/>
      <c r="B1445" s="377">
        <v>4</v>
      </c>
      <c r="C1445" s="362"/>
      <c r="D1445" s="363"/>
      <c r="E1445" s="363"/>
      <c r="F1445" s="364"/>
      <c r="G1445" s="364"/>
      <c r="H1445" s="364"/>
      <c r="I1445" s="364"/>
      <c r="J1445" s="372"/>
      <c r="K1445" s="364"/>
      <c r="L1445" s="372"/>
      <c r="M1445" s="374"/>
      <c r="N1445" s="368"/>
      <c r="O1445" s="376"/>
      <c r="P1445" s="369"/>
      <c r="Q1445" s="375"/>
    </row>
    <row r="1446" spans="1:17" ht="11.25">
      <c r="A1446" s="1185"/>
      <c r="B1446" s="377">
        <v>5</v>
      </c>
      <c r="C1446" s="362"/>
      <c r="D1446" s="363"/>
      <c r="E1446" s="363"/>
      <c r="F1446" s="364"/>
      <c r="G1446" s="364"/>
      <c r="H1446" s="364"/>
      <c r="I1446" s="364"/>
      <c r="J1446" s="372"/>
      <c r="K1446" s="364"/>
      <c r="L1446" s="372"/>
      <c r="M1446" s="374"/>
      <c r="N1446" s="373"/>
      <c r="O1446" s="376"/>
      <c r="P1446" s="369"/>
      <c r="Q1446" s="375"/>
    </row>
    <row r="1447" spans="1:17" ht="11.25">
      <c r="A1447" s="1185"/>
      <c r="B1447" s="407">
        <v>6</v>
      </c>
      <c r="C1447" s="362"/>
      <c r="D1447" s="363"/>
      <c r="E1447" s="363"/>
      <c r="F1447" s="364"/>
      <c r="G1447" s="364"/>
      <c r="H1447" s="364"/>
      <c r="I1447" s="364"/>
      <c r="J1447" s="372"/>
      <c r="K1447" s="364"/>
      <c r="L1447" s="372"/>
      <c r="M1447" s="374"/>
      <c r="N1447" s="373"/>
      <c r="O1447" s="376"/>
      <c r="P1447" s="369"/>
      <c r="Q1447" s="375"/>
    </row>
    <row r="1448" spans="1:17" ht="11.25">
      <c r="A1448" s="1185"/>
      <c r="B1448" s="377">
        <v>7</v>
      </c>
      <c r="C1448" s="362"/>
      <c r="D1448" s="363"/>
      <c r="E1448" s="363"/>
      <c r="F1448" s="364"/>
      <c r="G1448" s="364"/>
      <c r="H1448" s="364"/>
      <c r="I1448" s="364"/>
      <c r="J1448" s="372"/>
      <c r="K1448" s="364"/>
      <c r="L1448" s="372"/>
      <c r="M1448" s="374"/>
      <c r="N1448" s="368"/>
      <c r="O1448" s="376"/>
      <c r="P1448" s="369"/>
      <c r="Q1448" s="375"/>
    </row>
    <row r="1449" spans="1:17" ht="11.25">
      <c r="A1449" s="1185"/>
      <c r="B1449" s="377">
        <v>8</v>
      </c>
      <c r="C1449" s="362"/>
      <c r="D1449" s="363"/>
      <c r="E1449" s="363"/>
      <c r="F1449" s="364"/>
      <c r="G1449" s="364"/>
      <c r="H1449" s="364"/>
      <c r="I1449" s="364"/>
      <c r="J1449" s="372"/>
      <c r="K1449" s="364"/>
      <c r="L1449" s="372"/>
      <c r="M1449" s="374"/>
      <c r="N1449" s="373"/>
      <c r="O1449" s="376"/>
      <c r="P1449" s="369"/>
      <c r="Q1449" s="375"/>
    </row>
    <row r="1450" spans="1:17" ht="11.25">
      <c r="A1450" s="1185"/>
      <c r="B1450" s="377">
        <v>9</v>
      </c>
      <c r="C1450" s="362"/>
      <c r="D1450" s="363"/>
      <c r="E1450" s="363"/>
      <c r="F1450" s="364"/>
      <c r="G1450" s="364"/>
      <c r="H1450" s="364"/>
      <c r="I1450" s="364"/>
      <c r="J1450" s="372"/>
      <c r="K1450" s="364"/>
      <c r="L1450" s="372"/>
      <c r="M1450" s="374"/>
      <c r="N1450" s="373"/>
      <c r="O1450" s="376"/>
      <c r="P1450" s="369"/>
      <c r="Q1450" s="375"/>
    </row>
    <row r="1451" spans="1:17" ht="12" thickBot="1">
      <c r="A1451" s="1186"/>
      <c r="B1451" s="388">
        <v>10</v>
      </c>
      <c r="C1451" s="788"/>
      <c r="D1451" s="504"/>
      <c r="E1451" s="505"/>
      <c r="F1451" s="623"/>
      <c r="G1451" s="623"/>
      <c r="H1451" s="624"/>
      <c r="I1451" s="623"/>
      <c r="J1451" s="632"/>
      <c r="K1451" s="1181"/>
      <c r="L1451" s="1159"/>
      <c r="M1451" s="401"/>
      <c r="N1451" s="409"/>
      <c r="O1451" s="402"/>
      <c r="P1451" s="402"/>
      <c r="Q1451" s="403"/>
    </row>
    <row r="1452" spans="1:17" ht="11.25">
      <c r="A1452" s="1187" t="s">
        <v>30</v>
      </c>
      <c r="B1452" s="477">
        <v>1</v>
      </c>
      <c r="C1452" s="572" t="s">
        <v>1069</v>
      </c>
      <c r="D1452" s="22">
        <v>29</v>
      </c>
      <c r="E1452" s="22">
        <v>1974</v>
      </c>
      <c r="F1452" s="764">
        <v>30.8</v>
      </c>
      <c r="G1452" s="764">
        <v>2.59</v>
      </c>
      <c r="H1452" s="764">
        <v>4.48</v>
      </c>
      <c r="I1452" s="764">
        <v>23.52</v>
      </c>
      <c r="J1452" s="767">
        <v>1359</v>
      </c>
      <c r="K1452" s="764">
        <v>23.52</v>
      </c>
      <c r="L1452" s="767">
        <v>1359</v>
      </c>
      <c r="M1452" s="260">
        <f>I1452/L1452</f>
        <v>0.017306843267108168</v>
      </c>
      <c r="N1452" s="196">
        <v>228.46</v>
      </c>
      <c r="O1452" s="196">
        <f>M1452*N1452</f>
        <v>3.953921412803532</v>
      </c>
      <c r="P1452" s="196">
        <f>M1452*60*1000</f>
        <v>1038.4105960264899</v>
      </c>
      <c r="Q1452" s="145">
        <f>O1452*60</f>
        <v>237.23528476821193</v>
      </c>
    </row>
    <row r="1453" spans="1:17" ht="11.25">
      <c r="A1453" s="1188"/>
      <c r="B1453" s="480">
        <v>2</v>
      </c>
      <c r="C1453" s="23" t="s">
        <v>1070</v>
      </c>
      <c r="D1453" s="24">
        <v>28</v>
      </c>
      <c r="E1453" s="24">
        <v>1974</v>
      </c>
      <c r="F1453" s="161">
        <v>32.2</v>
      </c>
      <c r="G1453" s="161">
        <v>1.79</v>
      </c>
      <c r="H1453" s="161">
        <v>4.48</v>
      </c>
      <c r="I1453" s="161">
        <v>25.93</v>
      </c>
      <c r="J1453" s="248">
        <v>1391</v>
      </c>
      <c r="K1453" s="161">
        <v>25.93</v>
      </c>
      <c r="L1453" s="248">
        <v>1391</v>
      </c>
      <c r="M1453" s="242">
        <f>I1453/L1453</f>
        <v>0.018641265276779295</v>
      </c>
      <c r="N1453" s="142">
        <v>228.46</v>
      </c>
      <c r="O1453" s="142">
        <f>M1453*N1453</f>
        <v>4.258783465132998</v>
      </c>
      <c r="P1453" s="142">
        <f>M1453*60*1000</f>
        <v>1118.4759166067577</v>
      </c>
      <c r="Q1453" s="143">
        <f>O1453*60</f>
        <v>255.52700790797988</v>
      </c>
    </row>
    <row r="1454" spans="1:17" ht="11.25">
      <c r="A1454" s="1188"/>
      <c r="B1454" s="480">
        <v>3</v>
      </c>
      <c r="C1454" s="522"/>
      <c r="D1454" s="493"/>
      <c r="E1454" s="493"/>
      <c r="F1454" s="704"/>
      <c r="G1454" s="704"/>
      <c r="H1454" s="704"/>
      <c r="I1454" s="704"/>
      <c r="J1454" s="710"/>
      <c r="K1454" s="704"/>
      <c r="L1454" s="710"/>
      <c r="M1454" s="650"/>
      <c r="N1454" s="651"/>
      <c r="O1454" s="508"/>
      <c r="P1454" s="685"/>
      <c r="Q1454" s="509"/>
    </row>
    <row r="1455" spans="1:17" ht="11.25">
      <c r="A1455" s="1188"/>
      <c r="B1455" s="480">
        <v>4</v>
      </c>
      <c r="C1455" s="522"/>
      <c r="D1455" s="493"/>
      <c r="E1455" s="493"/>
      <c r="F1455" s="704"/>
      <c r="G1455" s="704"/>
      <c r="H1455" s="704"/>
      <c r="I1455" s="704"/>
      <c r="J1455" s="710"/>
      <c r="K1455" s="704"/>
      <c r="L1455" s="710"/>
      <c r="M1455" s="650"/>
      <c r="N1455" s="717"/>
      <c r="O1455" s="508"/>
      <c r="P1455" s="685"/>
      <c r="Q1455" s="509"/>
    </row>
    <row r="1456" spans="1:17" ht="11.25">
      <c r="A1456" s="1188"/>
      <c r="B1456" s="480">
        <v>5</v>
      </c>
      <c r="C1456" s="522"/>
      <c r="D1456" s="493"/>
      <c r="E1456" s="493"/>
      <c r="F1456" s="704"/>
      <c r="G1456" s="704"/>
      <c r="H1456" s="704"/>
      <c r="I1456" s="704"/>
      <c r="J1456" s="710"/>
      <c r="K1456" s="704"/>
      <c r="L1456" s="710"/>
      <c r="M1456" s="650"/>
      <c r="N1456" s="651"/>
      <c r="O1456" s="508"/>
      <c r="P1456" s="685"/>
      <c r="Q1456" s="509"/>
    </row>
    <row r="1457" spans="1:17" ht="11.25">
      <c r="A1457" s="1188"/>
      <c r="B1457" s="480">
        <v>6</v>
      </c>
      <c r="C1457" s="522"/>
      <c r="D1457" s="493"/>
      <c r="E1457" s="493"/>
      <c r="F1457" s="704"/>
      <c r="G1457" s="704"/>
      <c r="H1457" s="704"/>
      <c r="I1457" s="704"/>
      <c r="J1457" s="710"/>
      <c r="K1457" s="704"/>
      <c r="L1457" s="710"/>
      <c r="M1457" s="650"/>
      <c r="N1457" s="651"/>
      <c r="O1457" s="508"/>
      <c r="P1457" s="685"/>
      <c r="Q1457" s="509"/>
    </row>
    <row r="1458" spans="1:17" ht="11.25">
      <c r="A1458" s="1188"/>
      <c r="B1458" s="480">
        <v>7</v>
      </c>
      <c r="C1458" s="522"/>
      <c r="D1458" s="493"/>
      <c r="E1458" s="493"/>
      <c r="F1458" s="704"/>
      <c r="G1458" s="704"/>
      <c r="H1458" s="704"/>
      <c r="I1458" s="704"/>
      <c r="J1458" s="710"/>
      <c r="K1458" s="704"/>
      <c r="L1458" s="710"/>
      <c r="M1458" s="650"/>
      <c r="N1458" s="717"/>
      <c r="O1458" s="508"/>
      <c r="P1458" s="685"/>
      <c r="Q1458" s="509"/>
    </row>
    <row r="1459" spans="1:17" ht="11.25">
      <c r="A1459" s="1188"/>
      <c r="B1459" s="480">
        <v>8</v>
      </c>
      <c r="C1459" s="522"/>
      <c r="D1459" s="493"/>
      <c r="E1459" s="493"/>
      <c r="F1459" s="704"/>
      <c r="G1459" s="704"/>
      <c r="H1459" s="704"/>
      <c r="I1459" s="704"/>
      <c r="J1459" s="710"/>
      <c r="K1459" s="704"/>
      <c r="L1459" s="710"/>
      <c r="M1459" s="650"/>
      <c r="N1459" s="651"/>
      <c r="O1459" s="508"/>
      <c r="P1459" s="685"/>
      <c r="Q1459" s="509"/>
    </row>
    <row r="1460" spans="1:17" ht="11.25">
      <c r="A1460" s="1188"/>
      <c r="B1460" s="480">
        <v>9</v>
      </c>
      <c r="C1460" s="522"/>
      <c r="D1460" s="493"/>
      <c r="E1460" s="493"/>
      <c r="F1460" s="704"/>
      <c r="G1460" s="704"/>
      <c r="H1460" s="704"/>
      <c r="I1460" s="704"/>
      <c r="J1460" s="710"/>
      <c r="K1460" s="704"/>
      <c r="L1460" s="710"/>
      <c r="M1460" s="650"/>
      <c r="N1460" s="651"/>
      <c r="O1460" s="508"/>
      <c r="P1460" s="685"/>
      <c r="Q1460" s="509"/>
    </row>
    <row r="1461" spans="1:17" ht="12" thickBot="1">
      <c r="A1461" s="1189"/>
      <c r="B1461" s="489">
        <v>10</v>
      </c>
      <c r="C1461" s="523"/>
      <c r="D1461" s="494"/>
      <c r="E1461" s="494"/>
      <c r="F1461" s="924"/>
      <c r="G1461" s="924"/>
      <c r="H1461" s="924"/>
      <c r="I1461" s="924"/>
      <c r="J1461" s="711"/>
      <c r="K1461" s="705"/>
      <c r="L1461" s="711"/>
      <c r="M1461" s="687"/>
      <c r="N1461" s="688"/>
      <c r="O1461" s="689"/>
      <c r="P1461" s="689"/>
      <c r="Q1461" s="690"/>
    </row>
    <row r="1462" spans="1:17" ht="11.25">
      <c r="A1462" s="1190" t="s">
        <v>49</v>
      </c>
      <c r="B1462" s="468">
        <v>1</v>
      </c>
      <c r="C1462" s="1176" t="s">
        <v>1071</v>
      </c>
      <c r="D1462" s="1177">
        <v>6</v>
      </c>
      <c r="E1462" s="1177">
        <v>1982</v>
      </c>
      <c r="F1462" s="300">
        <v>9.2</v>
      </c>
      <c r="G1462" s="300">
        <v>0.41</v>
      </c>
      <c r="H1462" s="300">
        <v>0.96</v>
      </c>
      <c r="I1462" s="300">
        <v>7.83</v>
      </c>
      <c r="J1462" s="1180">
        <v>275</v>
      </c>
      <c r="K1462" s="300">
        <v>7.83</v>
      </c>
      <c r="L1462" s="1180">
        <v>275</v>
      </c>
      <c r="M1462" s="1178">
        <f>I1462/L1462</f>
        <v>0.028472727272727275</v>
      </c>
      <c r="N1462" s="1183">
        <v>228.46</v>
      </c>
      <c r="O1462" s="1179">
        <f>M1462*N1462</f>
        <v>6.5048792727272735</v>
      </c>
      <c r="P1462" s="1179">
        <f>M1462*60*1000</f>
        <v>1708.3636363636365</v>
      </c>
      <c r="Q1462" s="1182">
        <f>O1462*60</f>
        <v>390.2927563636364</v>
      </c>
    </row>
    <row r="1463" spans="1:17" ht="11.25">
      <c r="A1463" s="1191"/>
      <c r="B1463" s="470">
        <v>2</v>
      </c>
      <c r="C1463" s="36" t="s">
        <v>1072</v>
      </c>
      <c r="D1463" s="29">
        <v>6</v>
      </c>
      <c r="E1463" s="29">
        <v>1981</v>
      </c>
      <c r="F1463" s="162">
        <v>11.6</v>
      </c>
      <c r="G1463" s="162">
        <v>0.71</v>
      </c>
      <c r="H1463" s="162">
        <v>0.96</v>
      </c>
      <c r="I1463" s="162">
        <v>9.93</v>
      </c>
      <c r="J1463" s="286">
        <v>347</v>
      </c>
      <c r="K1463" s="162">
        <v>9.93</v>
      </c>
      <c r="L1463" s="286">
        <v>347</v>
      </c>
      <c r="M1463" s="232">
        <f>I1463/L1463</f>
        <v>0.02861671469740634</v>
      </c>
      <c r="N1463" s="144">
        <v>228.46</v>
      </c>
      <c r="O1463" s="144">
        <f>M1463*N1463</f>
        <v>6.537774639769452</v>
      </c>
      <c r="P1463" s="144">
        <f>M1463*60*1000</f>
        <v>1717.0028818443802</v>
      </c>
      <c r="Q1463" s="215">
        <f>O1463*60</f>
        <v>392.26647838616714</v>
      </c>
    </row>
    <row r="1464" spans="1:17" ht="11.25">
      <c r="A1464" s="1191"/>
      <c r="B1464" s="470">
        <v>3</v>
      </c>
      <c r="C1464" s="36" t="s">
        <v>1074</v>
      </c>
      <c r="D1464" s="29">
        <v>9</v>
      </c>
      <c r="E1464" s="29">
        <v>1981</v>
      </c>
      <c r="F1464" s="162">
        <v>14</v>
      </c>
      <c r="G1464" s="162">
        <v>0.74</v>
      </c>
      <c r="H1464" s="162">
        <v>1.44</v>
      </c>
      <c r="I1464" s="162">
        <v>11.82</v>
      </c>
      <c r="J1464" s="286">
        <v>412</v>
      </c>
      <c r="K1464" s="162">
        <v>11.82</v>
      </c>
      <c r="L1464" s="286">
        <v>412</v>
      </c>
      <c r="M1464" s="232">
        <f>I1464/L1464</f>
        <v>0.028689320388349517</v>
      </c>
      <c r="N1464" s="144">
        <v>228.46</v>
      </c>
      <c r="O1464" s="144">
        <f>M1464*N1464</f>
        <v>6.5543621359223305</v>
      </c>
      <c r="P1464" s="144">
        <f>M1464*60*1000</f>
        <v>1721.3592233009708</v>
      </c>
      <c r="Q1464" s="215">
        <f>O1464*60</f>
        <v>393.2617281553398</v>
      </c>
    </row>
    <row r="1465" spans="1:17" ht="11.25">
      <c r="A1465" s="1191"/>
      <c r="B1465" s="470">
        <v>4</v>
      </c>
      <c r="C1465" s="36" t="s">
        <v>1073</v>
      </c>
      <c r="D1465" s="29">
        <v>12</v>
      </c>
      <c r="E1465" s="29">
        <v>1981</v>
      </c>
      <c r="F1465" s="162">
        <v>19.1</v>
      </c>
      <c r="G1465" s="162">
        <v>0.61</v>
      </c>
      <c r="H1465" s="162">
        <v>1.92</v>
      </c>
      <c r="I1465" s="162">
        <v>16.57</v>
      </c>
      <c r="J1465" s="286">
        <v>558</v>
      </c>
      <c r="K1465" s="162">
        <v>16.57</v>
      </c>
      <c r="L1465" s="286">
        <v>558</v>
      </c>
      <c r="M1465" s="232">
        <f>I1465/L1465</f>
        <v>0.029695340501792115</v>
      </c>
      <c r="N1465" s="144">
        <v>228.46</v>
      </c>
      <c r="O1465" s="144">
        <f>M1465*N1465</f>
        <v>6.784197491039427</v>
      </c>
      <c r="P1465" s="144">
        <f>M1465*60*1000</f>
        <v>1781.720430107527</v>
      </c>
      <c r="Q1465" s="215">
        <f>O1465*60</f>
        <v>407.0518494623656</v>
      </c>
    </row>
    <row r="1466" spans="1:17" ht="11.25">
      <c r="A1466" s="1191"/>
      <c r="B1466" s="470">
        <v>5</v>
      </c>
      <c r="C1466" s="36" t="s">
        <v>1075</v>
      </c>
      <c r="D1466" s="29">
        <v>6</v>
      </c>
      <c r="E1466" s="29">
        <v>1984</v>
      </c>
      <c r="F1466" s="162">
        <v>10.1</v>
      </c>
      <c r="G1466" s="162">
        <v>0.204</v>
      </c>
      <c r="H1466" s="162">
        <v>0.96</v>
      </c>
      <c r="I1466" s="162">
        <v>8.928</v>
      </c>
      <c r="J1466" s="286">
        <v>281</v>
      </c>
      <c r="K1466" s="162">
        <v>8.928</v>
      </c>
      <c r="L1466" s="286">
        <v>281</v>
      </c>
      <c r="M1466" s="232">
        <f>I1466/L1466</f>
        <v>0.03177224199288257</v>
      </c>
      <c r="N1466" s="144">
        <v>228.46</v>
      </c>
      <c r="O1466" s="144">
        <f>M1466*N1466</f>
        <v>7.258686405693951</v>
      </c>
      <c r="P1466" s="144">
        <f>M1466*60*1000</f>
        <v>1906.334519572954</v>
      </c>
      <c r="Q1466" s="215">
        <f>O1466*60</f>
        <v>435.5211843416371</v>
      </c>
    </row>
    <row r="1467" spans="1:17" ht="11.25">
      <c r="A1467" s="1191"/>
      <c r="B1467" s="470">
        <v>6</v>
      </c>
      <c r="C1467" s="1059"/>
      <c r="D1467" s="282"/>
      <c r="E1467" s="282"/>
      <c r="F1467" s="297"/>
      <c r="G1467" s="297"/>
      <c r="H1467" s="297"/>
      <c r="I1467" s="297"/>
      <c r="J1467" s="299"/>
      <c r="K1467" s="297"/>
      <c r="L1467" s="716"/>
      <c r="M1467" s="691"/>
      <c r="N1467" s="719"/>
      <c r="O1467" s="693"/>
      <c r="P1467" s="137"/>
      <c r="Q1467" s="138"/>
    </row>
    <row r="1468" spans="1:17" ht="11.25">
      <c r="A1468" s="1191"/>
      <c r="B1468" s="470">
        <v>7</v>
      </c>
      <c r="C1468" s="135"/>
      <c r="D1468" s="104"/>
      <c r="E1468" s="104"/>
      <c r="F1468" s="179"/>
      <c r="G1468" s="179"/>
      <c r="H1468" s="179"/>
      <c r="I1468" s="179"/>
      <c r="J1468" s="224"/>
      <c r="K1468" s="179"/>
      <c r="L1468" s="713"/>
      <c r="M1468" s="695"/>
      <c r="N1468" s="719"/>
      <c r="O1468" s="696"/>
      <c r="P1468" s="137"/>
      <c r="Q1468" s="120"/>
    </row>
    <row r="1469" spans="1:17" ht="11.25">
      <c r="A1469" s="1191"/>
      <c r="B1469" s="470">
        <v>8</v>
      </c>
      <c r="C1469" s="135"/>
      <c r="D1469" s="104"/>
      <c r="E1469" s="104"/>
      <c r="F1469" s="179"/>
      <c r="G1469" s="179"/>
      <c r="H1469" s="179"/>
      <c r="I1469" s="179"/>
      <c r="J1469" s="224"/>
      <c r="K1469" s="179"/>
      <c r="L1469" s="713"/>
      <c r="M1469" s="695"/>
      <c r="N1469" s="692"/>
      <c r="O1469" s="696"/>
      <c r="P1469" s="137"/>
      <c r="Q1469" s="120"/>
    </row>
    <row r="1470" spans="1:17" ht="11.25">
      <c r="A1470" s="1191"/>
      <c r="B1470" s="470">
        <v>9</v>
      </c>
      <c r="C1470" s="135"/>
      <c r="D1470" s="104"/>
      <c r="E1470" s="104"/>
      <c r="F1470" s="179"/>
      <c r="G1470" s="179"/>
      <c r="H1470" s="179"/>
      <c r="I1470" s="179"/>
      <c r="J1470" s="224"/>
      <c r="K1470" s="179"/>
      <c r="L1470" s="713"/>
      <c r="M1470" s="695"/>
      <c r="N1470" s="692"/>
      <c r="O1470" s="696"/>
      <c r="P1470" s="137"/>
      <c r="Q1470" s="120"/>
    </row>
    <row r="1471" spans="1:17" ht="12" thickBot="1">
      <c r="A1471" s="1192"/>
      <c r="B1471" s="474">
        <v>10</v>
      </c>
      <c r="C1471" s="790"/>
      <c r="D1471" s="499"/>
      <c r="E1471" s="500"/>
      <c r="F1471" s="627"/>
      <c r="G1471" s="627"/>
      <c r="H1471" s="628"/>
      <c r="I1471" s="627"/>
      <c r="J1471" s="635"/>
      <c r="K1471" s="627"/>
      <c r="L1471" s="653"/>
      <c r="M1471" s="121"/>
      <c r="N1471" s="122"/>
      <c r="O1471" s="123"/>
      <c r="P1471" s="123"/>
      <c r="Q1471" s="124"/>
    </row>
  </sheetData>
  <sheetProtection/>
  <mergeCells count="653">
    <mergeCell ref="A147:A156"/>
    <mergeCell ref="A157:A166"/>
    <mergeCell ref="A167:A176"/>
    <mergeCell ref="A177:A186"/>
    <mergeCell ref="L144:L145"/>
    <mergeCell ref="M144:M145"/>
    <mergeCell ref="N144:N145"/>
    <mergeCell ref="O144:O145"/>
    <mergeCell ref="P144:P145"/>
    <mergeCell ref="Q144:Q145"/>
    <mergeCell ref="A142:Q142"/>
    <mergeCell ref="A143:Q143"/>
    <mergeCell ref="A144:A146"/>
    <mergeCell ref="B144:B146"/>
    <mergeCell ref="C144:C146"/>
    <mergeCell ref="D144:D145"/>
    <mergeCell ref="E144:E145"/>
    <mergeCell ref="F144:I144"/>
    <mergeCell ref="J144:J145"/>
    <mergeCell ref="K144:K145"/>
    <mergeCell ref="A1259:A1268"/>
    <mergeCell ref="A1269:A1278"/>
    <mergeCell ref="A1279:A1288"/>
    <mergeCell ref="A1289:A1298"/>
    <mergeCell ref="A290:A297"/>
    <mergeCell ref="A947:A956"/>
    <mergeCell ref="A974:A981"/>
    <mergeCell ref="A1078:A1087"/>
    <mergeCell ref="A517:A526"/>
    <mergeCell ref="A466:Q466"/>
    <mergeCell ref="Q562:Q563"/>
    <mergeCell ref="A565:A574"/>
    <mergeCell ref="A575:A584"/>
    <mergeCell ref="A585:A594"/>
    <mergeCell ref="A595:A604"/>
    <mergeCell ref="J562:J563"/>
    <mergeCell ref="K562:K563"/>
    <mergeCell ref="L562:L563"/>
    <mergeCell ref="M562:M563"/>
    <mergeCell ref="N562:N563"/>
    <mergeCell ref="A271:A280"/>
    <mergeCell ref="A298:A307"/>
    <mergeCell ref="P562:P563"/>
    <mergeCell ref="A562:A564"/>
    <mergeCell ref="B562:B564"/>
    <mergeCell ref="C562:C564"/>
    <mergeCell ref="D562:D563"/>
    <mergeCell ref="E562:E563"/>
    <mergeCell ref="F562:I562"/>
    <mergeCell ref="A527:A536"/>
    <mergeCell ref="A537:A546"/>
    <mergeCell ref="A547:A556"/>
    <mergeCell ref="A560:Q560"/>
    <mergeCell ref="A561:Q561"/>
    <mergeCell ref="L514:L515"/>
    <mergeCell ref="M514:M515"/>
    <mergeCell ref="N514:N515"/>
    <mergeCell ref="O514:O515"/>
    <mergeCell ref="P514:P515"/>
    <mergeCell ref="O562:O563"/>
    <mergeCell ref="Q514:Q515"/>
    <mergeCell ref="A512:Q512"/>
    <mergeCell ref="A513:Q513"/>
    <mergeCell ref="A514:A516"/>
    <mergeCell ref="B514:B516"/>
    <mergeCell ref="C514:C516"/>
    <mergeCell ref="D514:D515"/>
    <mergeCell ref="E514:E515"/>
    <mergeCell ref="F514:I514"/>
    <mergeCell ref="J514:J515"/>
    <mergeCell ref="K514:K515"/>
    <mergeCell ref="P467:P468"/>
    <mergeCell ref="Q467:Q468"/>
    <mergeCell ref="A470:A479"/>
    <mergeCell ref="A480:A489"/>
    <mergeCell ref="A490:A499"/>
    <mergeCell ref="A500:A509"/>
    <mergeCell ref="J467:J468"/>
    <mergeCell ref="K467:K468"/>
    <mergeCell ref="L467:L468"/>
    <mergeCell ref="M467:M468"/>
    <mergeCell ref="N467:N468"/>
    <mergeCell ref="O467:O468"/>
    <mergeCell ref="A467:A469"/>
    <mergeCell ref="B467:B469"/>
    <mergeCell ref="C467:C469"/>
    <mergeCell ref="D467:D468"/>
    <mergeCell ref="E467:E468"/>
    <mergeCell ref="F467:I467"/>
    <mergeCell ref="A434:A443"/>
    <mergeCell ref="A444:A453"/>
    <mergeCell ref="A454:A463"/>
    <mergeCell ref="A465:Q465"/>
    <mergeCell ref="K421:K422"/>
    <mergeCell ref="L421:L422"/>
    <mergeCell ref="M421:M422"/>
    <mergeCell ref="N421:N422"/>
    <mergeCell ref="B421:B423"/>
    <mergeCell ref="C421:C423"/>
    <mergeCell ref="A424:A433"/>
    <mergeCell ref="L384:L385"/>
    <mergeCell ref="A384:A386"/>
    <mergeCell ref="B384:B386"/>
    <mergeCell ref="C384:C386"/>
    <mergeCell ref="O421:O422"/>
    <mergeCell ref="A420:Q420"/>
    <mergeCell ref="A421:A423"/>
    <mergeCell ref="F421:I421"/>
    <mergeCell ref="J421:J422"/>
    <mergeCell ref="D421:D422"/>
    <mergeCell ref="E421:E422"/>
    <mergeCell ref="Q421:Q422"/>
    <mergeCell ref="P421:P422"/>
    <mergeCell ref="A338:A347"/>
    <mergeCell ref="A348:A357"/>
    <mergeCell ref="A358:A367"/>
    <mergeCell ref="A368:A377"/>
    <mergeCell ref="A404:A412"/>
    <mergeCell ref="A419:Q419"/>
    <mergeCell ref="A387:A395"/>
    <mergeCell ref="A396:A403"/>
    <mergeCell ref="A382:Q382"/>
    <mergeCell ref="A383:Q383"/>
    <mergeCell ref="N384:N385"/>
    <mergeCell ref="O384:O385"/>
    <mergeCell ref="F384:I384"/>
    <mergeCell ref="E384:E385"/>
    <mergeCell ref="E335:E336"/>
    <mergeCell ref="K335:K336"/>
    <mergeCell ref="D384:D385"/>
    <mergeCell ref="P384:P385"/>
    <mergeCell ref="Q384:Q385"/>
    <mergeCell ref="J384:J385"/>
    <mergeCell ref="K384:K385"/>
    <mergeCell ref="F335:I335"/>
    <mergeCell ref="M287:M288"/>
    <mergeCell ref="A334:Q334"/>
    <mergeCell ref="A335:A337"/>
    <mergeCell ref="B335:B337"/>
    <mergeCell ref="C335:C337"/>
    <mergeCell ref="D335:D336"/>
    <mergeCell ref="P335:P336"/>
    <mergeCell ref="Q335:Q336"/>
    <mergeCell ref="L335:L336"/>
    <mergeCell ref="J335:J336"/>
    <mergeCell ref="B238:B240"/>
    <mergeCell ref="C238:C240"/>
    <mergeCell ref="F238:I238"/>
    <mergeCell ref="P287:P288"/>
    <mergeCell ref="D238:D239"/>
    <mergeCell ref="A251:A260"/>
    <mergeCell ref="O287:O288"/>
    <mergeCell ref="A287:A289"/>
    <mergeCell ref="B287:B289"/>
    <mergeCell ref="F287:I287"/>
    <mergeCell ref="L287:L288"/>
    <mergeCell ref="D287:D288"/>
    <mergeCell ref="K287:K288"/>
    <mergeCell ref="E287:E288"/>
    <mergeCell ref="A333:Q333"/>
    <mergeCell ref="A261:A270"/>
    <mergeCell ref="Q287:Q288"/>
    <mergeCell ref="C287:C289"/>
    <mergeCell ref="A308:A317"/>
    <mergeCell ref="A318:A327"/>
    <mergeCell ref="F97:I97"/>
    <mergeCell ref="J97:J98"/>
    <mergeCell ref="K97:K98"/>
    <mergeCell ref="A236:Q236"/>
    <mergeCell ref="D97:D98"/>
    <mergeCell ref="O238:O239"/>
    <mergeCell ref="A224:A233"/>
    <mergeCell ref="O191:O192"/>
    <mergeCell ref="J238:J239"/>
    <mergeCell ref="A238:A240"/>
    <mergeCell ref="O971:O972"/>
    <mergeCell ref="O926:O927"/>
    <mergeCell ref="M238:M239"/>
    <mergeCell ref="N238:N239"/>
    <mergeCell ref="N335:N336"/>
    <mergeCell ref="O335:O336"/>
    <mergeCell ref="N926:N927"/>
    <mergeCell ref="M660:M661"/>
    <mergeCell ref="M384:M385"/>
    <mergeCell ref="M335:M336"/>
    <mergeCell ref="J798:J799"/>
    <mergeCell ref="E238:E239"/>
    <mergeCell ref="M971:M972"/>
    <mergeCell ref="N971:N972"/>
    <mergeCell ref="K238:K239"/>
    <mergeCell ref="L238:L239"/>
    <mergeCell ref="J287:J288"/>
    <mergeCell ref="A285:Q285"/>
    <mergeCell ref="A286:Q286"/>
    <mergeCell ref="N287:N288"/>
    <mergeCell ref="A970:Q970"/>
    <mergeCell ref="A130:A139"/>
    <mergeCell ref="L97:L98"/>
    <mergeCell ref="M97:M98"/>
    <mergeCell ref="E97:E98"/>
    <mergeCell ref="D971:D972"/>
    <mergeCell ref="E971:E972"/>
    <mergeCell ref="F971:I971"/>
    <mergeCell ref="J971:J972"/>
    <mergeCell ref="L971:L972"/>
    <mergeCell ref="A748:Q748"/>
    <mergeCell ref="A95:Q95"/>
    <mergeCell ref="A96:Q96"/>
    <mergeCell ref="A97:A98"/>
    <mergeCell ref="B97:B98"/>
    <mergeCell ref="C97:C98"/>
    <mergeCell ref="A100:A109"/>
    <mergeCell ref="A110:A119"/>
    <mergeCell ref="A120:A129"/>
    <mergeCell ref="A241:A250"/>
    <mergeCell ref="J926:J927"/>
    <mergeCell ref="B926:B928"/>
    <mergeCell ref="C926:C928"/>
    <mergeCell ref="D926:D927"/>
    <mergeCell ref="E926:E927"/>
    <mergeCell ref="A801:A807"/>
    <mergeCell ref="A808:A814"/>
    <mergeCell ref="F837:I837"/>
    <mergeCell ref="J837:J838"/>
    <mergeCell ref="D878:D879"/>
    <mergeCell ref="Q971:Q972"/>
    <mergeCell ref="O798:O799"/>
    <mergeCell ref="E749:E750"/>
    <mergeCell ref="F749:I749"/>
    <mergeCell ref="P926:P927"/>
    <mergeCell ref="A924:Q924"/>
    <mergeCell ref="A925:Q925"/>
    <mergeCell ref="A926:A928"/>
    <mergeCell ref="P971:P972"/>
    <mergeCell ref="L798:L799"/>
    <mergeCell ref="J660:J661"/>
    <mergeCell ref="Q660:Q661"/>
    <mergeCell ref="A663:A672"/>
    <mergeCell ref="L660:L661"/>
    <mergeCell ref="A673:A682"/>
    <mergeCell ref="A683:A692"/>
    <mergeCell ref="C660:C662"/>
    <mergeCell ref="D660:D661"/>
    <mergeCell ref="E660:E661"/>
    <mergeCell ref="B660:B662"/>
    <mergeCell ref="L610:L611"/>
    <mergeCell ref="M610:M611"/>
    <mergeCell ref="J610:J611"/>
    <mergeCell ref="N610:N611"/>
    <mergeCell ref="O610:O611"/>
    <mergeCell ref="Q798:Q799"/>
    <mergeCell ref="P798:P799"/>
    <mergeCell ref="A747:Q747"/>
    <mergeCell ref="P660:P661"/>
    <mergeCell ref="F660:I660"/>
    <mergeCell ref="D1182:D1183"/>
    <mergeCell ref="E1182:E1183"/>
    <mergeCell ref="Q610:Q611"/>
    <mergeCell ref="A613:A622"/>
    <mergeCell ref="K1011:K1012"/>
    <mergeCell ref="D1056:D1057"/>
    <mergeCell ref="A623:A632"/>
    <mergeCell ref="A633:A642"/>
    <mergeCell ref="A971:A973"/>
    <mergeCell ref="B971:B973"/>
    <mergeCell ref="L1182:L1183"/>
    <mergeCell ref="M1182:M1183"/>
    <mergeCell ref="N1182:N1183"/>
    <mergeCell ref="O1182:O1183"/>
    <mergeCell ref="P1182:P1183"/>
    <mergeCell ref="Q1182:Q1183"/>
    <mergeCell ref="M926:M927"/>
    <mergeCell ref="F926:I926"/>
    <mergeCell ref="M1011:M1012"/>
    <mergeCell ref="J1011:J1012"/>
    <mergeCell ref="A189:Q189"/>
    <mergeCell ref="A609:Q609"/>
    <mergeCell ref="A658:Q658"/>
    <mergeCell ref="A643:A652"/>
    <mergeCell ref="K971:K972"/>
    <mergeCell ref="C971:C973"/>
    <mergeCell ref="F1182:I1182"/>
    <mergeCell ref="J1182:J1183"/>
    <mergeCell ref="K1182:K1183"/>
    <mergeCell ref="A982:A989"/>
    <mergeCell ref="A990:A997"/>
    <mergeCell ref="K926:K927"/>
    <mergeCell ref="A1180:Q1180"/>
    <mergeCell ref="A1181:Q1181"/>
    <mergeCell ref="A1182:A1184"/>
    <mergeCell ref="L926:L927"/>
    <mergeCell ref="A815:A821"/>
    <mergeCell ref="A822:A828"/>
    <mergeCell ref="B798:B800"/>
    <mergeCell ref="C798:C800"/>
    <mergeCell ref="D798:D799"/>
    <mergeCell ref="E798:E799"/>
    <mergeCell ref="A608:Q608"/>
    <mergeCell ref="K610:K611"/>
    <mergeCell ref="P610:P611"/>
    <mergeCell ref="F610:I610"/>
    <mergeCell ref="A693:A702"/>
    <mergeCell ref="K660:K661"/>
    <mergeCell ref="A659:Q659"/>
    <mergeCell ref="A660:A662"/>
    <mergeCell ref="O660:O661"/>
    <mergeCell ref="N660:N661"/>
    <mergeCell ref="J191:J192"/>
    <mergeCell ref="K191:K192"/>
    <mergeCell ref="M191:M192"/>
    <mergeCell ref="N191:N192"/>
    <mergeCell ref="A610:A612"/>
    <mergeCell ref="B610:B612"/>
    <mergeCell ref="C610:C612"/>
    <mergeCell ref="D610:D611"/>
    <mergeCell ref="E610:E611"/>
    <mergeCell ref="A237:Q237"/>
    <mergeCell ref="F51:I51"/>
    <mergeCell ref="N97:N98"/>
    <mergeCell ref="P238:P239"/>
    <mergeCell ref="Q238:Q239"/>
    <mergeCell ref="A190:Q190"/>
    <mergeCell ref="A191:A193"/>
    <mergeCell ref="B191:B193"/>
    <mergeCell ref="A194:A203"/>
    <mergeCell ref="A204:A213"/>
    <mergeCell ref="A214:A223"/>
    <mergeCell ref="Q191:Q192"/>
    <mergeCell ref="L191:L192"/>
    <mergeCell ref="A54:A63"/>
    <mergeCell ref="A64:A73"/>
    <mergeCell ref="A74:A83"/>
    <mergeCell ref="C191:C193"/>
    <mergeCell ref="D191:D192"/>
    <mergeCell ref="E191:E192"/>
    <mergeCell ref="P191:P192"/>
    <mergeCell ref="F191:I191"/>
    <mergeCell ref="O97:O98"/>
    <mergeCell ref="P97:P98"/>
    <mergeCell ref="Q97:Q98"/>
    <mergeCell ref="O51:O52"/>
    <mergeCell ref="A50:Q50"/>
    <mergeCell ref="A51:A52"/>
    <mergeCell ref="B51:B52"/>
    <mergeCell ref="C51:C52"/>
    <mergeCell ref="D51:D52"/>
    <mergeCell ref="A84:A93"/>
    <mergeCell ref="A49:Q49"/>
    <mergeCell ref="A38:A48"/>
    <mergeCell ref="A28:A37"/>
    <mergeCell ref="M51:M52"/>
    <mergeCell ref="L51:L52"/>
    <mergeCell ref="Q5:Q6"/>
    <mergeCell ref="B5:B7"/>
    <mergeCell ref="Q51:Q52"/>
    <mergeCell ref="P51:P52"/>
    <mergeCell ref="E51:E52"/>
    <mergeCell ref="A1:Q1"/>
    <mergeCell ref="L5:L6"/>
    <mergeCell ref="M5:M6"/>
    <mergeCell ref="N5:N6"/>
    <mergeCell ref="P5:P6"/>
    <mergeCell ref="A3:Q3"/>
    <mergeCell ref="A4:Q4"/>
    <mergeCell ref="O5:O6"/>
    <mergeCell ref="D5:D6"/>
    <mergeCell ref="F5:I5"/>
    <mergeCell ref="C5:C7"/>
    <mergeCell ref="A5:A7"/>
    <mergeCell ref="A8:A17"/>
    <mergeCell ref="A18:A27"/>
    <mergeCell ref="N51:N52"/>
    <mergeCell ref="J5:J6"/>
    <mergeCell ref="K5:K6"/>
    <mergeCell ref="E5:E6"/>
    <mergeCell ref="J51:J52"/>
    <mergeCell ref="K51:K52"/>
    <mergeCell ref="K1056:K1057"/>
    <mergeCell ref="B1056:B1058"/>
    <mergeCell ref="N1056:N1057"/>
    <mergeCell ref="P1056:P1057"/>
    <mergeCell ref="L1056:L1057"/>
    <mergeCell ref="M1056:M1057"/>
    <mergeCell ref="J1056:J1057"/>
    <mergeCell ref="C1056:C1058"/>
    <mergeCell ref="E1056:E1057"/>
    <mergeCell ref="F1056:I1056"/>
    <mergeCell ref="F1143:I1143"/>
    <mergeCell ref="D1143:D1144"/>
    <mergeCell ref="E1143:E1144"/>
    <mergeCell ref="D749:D750"/>
    <mergeCell ref="A1059:A1067"/>
    <mergeCell ref="A1068:A1077"/>
    <mergeCell ref="A1056:A1058"/>
    <mergeCell ref="D1011:D1012"/>
    <mergeCell ref="F798:I798"/>
    <mergeCell ref="A969:Q969"/>
    <mergeCell ref="J1143:J1144"/>
    <mergeCell ref="K1143:K1144"/>
    <mergeCell ref="P1143:P1144"/>
    <mergeCell ref="N1143:N1144"/>
    <mergeCell ref="O1143:O1144"/>
    <mergeCell ref="A749:A751"/>
    <mergeCell ref="B749:B751"/>
    <mergeCell ref="C749:C751"/>
    <mergeCell ref="A752:A761"/>
    <mergeCell ref="F1102:I1102"/>
    <mergeCell ref="A762:A770"/>
    <mergeCell ref="A771:A779"/>
    <mergeCell ref="N749:N750"/>
    <mergeCell ref="M798:M799"/>
    <mergeCell ref="N798:N799"/>
    <mergeCell ref="O749:O750"/>
    <mergeCell ref="A796:Q796"/>
    <mergeCell ref="A797:Q797"/>
    <mergeCell ref="A798:A800"/>
    <mergeCell ref="K798:K799"/>
    <mergeCell ref="O1056:O1057"/>
    <mergeCell ref="P749:P750"/>
    <mergeCell ref="P837:P838"/>
    <mergeCell ref="M749:M750"/>
    <mergeCell ref="M837:M838"/>
    <mergeCell ref="Q749:Q750"/>
    <mergeCell ref="Q1056:Q1057"/>
    <mergeCell ref="P1011:P1012"/>
    <mergeCell ref="N1011:N1012"/>
    <mergeCell ref="Q926:Q927"/>
    <mergeCell ref="A1055:Q1055"/>
    <mergeCell ref="A937:A946"/>
    <mergeCell ref="A878:A880"/>
    <mergeCell ref="A881:A890"/>
    <mergeCell ref="E1011:E1012"/>
    <mergeCell ref="A1019:A1028"/>
    <mergeCell ref="A1029:A1038"/>
    <mergeCell ref="F1011:I1011"/>
    <mergeCell ref="A1039:A1048"/>
    <mergeCell ref="A1009:Q1009"/>
    <mergeCell ref="A1010:Q1010"/>
    <mergeCell ref="C1011:C1013"/>
    <mergeCell ref="Q1011:Q1012"/>
    <mergeCell ref="O1011:O1012"/>
    <mergeCell ref="A1011:A1013"/>
    <mergeCell ref="B1011:B1013"/>
    <mergeCell ref="L1011:L1012"/>
    <mergeCell ref="A780:A788"/>
    <mergeCell ref="J749:J750"/>
    <mergeCell ref="K749:K750"/>
    <mergeCell ref="L749:L750"/>
    <mergeCell ref="F878:I878"/>
    <mergeCell ref="A835:Q835"/>
    <mergeCell ref="A836:Q836"/>
    <mergeCell ref="E837:E838"/>
    <mergeCell ref="N878:N879"/>
    <mergeCell ref="B878:B880"/>
    <mergeCell ref="K837:K838"/>
    <mergeCell ref="E878:E879"/>
    <mergeCell ref="N837:N838"/>
    <mergeCell ref="O837:O838"/>
    <mergeCell ref="A911:A920"/>
    <mergeCell ref="A901:A910"/>
    <mergeCell ref="C878:C880"/>
    <mergeCell ref="A891:A900"/>
    <mergeCell ref="A877:Q877"/>
    <mergeCell ref="Q878:Q879"/>
    <mergeCell ref="P878:P879"/>
    <mergeCell ref="M878:M879"/>
    <mergeCell ref="Q837:Q838"/>
    <mergeCell ref="A1100:Q1100"/>
    <mergeCell ref="A856:A865"/>
    <mergeCell ref="A876:Q876"/>
    <mergeCell ref="A998:A1005"/>
    <mergeCell ref="A1014:A1018"/>
    <mergeCell ref="O878:O879"/>
    <mergeCell ref="A1088:A1097"/>
    <mergeCell ref="J1256:J1257"/>
    <mergeCell ref="K1256:K1257"/>
    <mergeCell ref="L1256:L1257"/>
    <mergeCell ref="M1256:M1257"/>
    <mergeCell ref="N1256:N1257"/>
    <mergeCell ref="B1256:B1258"/>
    <mergeCell ref="C1256:C1258"/>
    <mergeCell ref="Q1143:Q1144"/>
    <mergeCell ref="A1102:A1104"/>
    <mergeCell ref="P1256:P1257"/>
    <mergeCell ref="Q1256:Q1257"/>
    <mergeCell ref="A1254:Q1254"/>
    <mergeCell ref="A1255:Q1255"/>
    <mergeCell ref="F1256:I1256"/>
    <mergeCell ref="L1143:L1144"/>
    <mergeCell ref="D1256:D1257"/>
    <mergeCell ref="E1256:E1257"/>
    <mergeCell ref="O1256:O1257"/>
    <mergeCell ref="A1256:A1258"/>
    <mergeCell ref="A837:A839"/>
    <mergeCell ref="B837:B839"/>
    <mergeCell ref="C837:C839"/>
    <mergeCell ref="D837:D838"/>
    <mergeCell ref="N1102:N1103"/>
    <mergeCell ref="O1102:O1103"/>
    <mergeCell ref="K1205:K1206"/>
    <mergeCell ref="L1205:L1206"/>
    <mergeCell ref="E1102:E1103"/>
    <mergeCell ref="C1102:C1104"/>
    <mergeCell ref="J1102:J1103"/>
    <mergeCell ref="A1304:Q1304"/>
    <mergeCell ref="A1305:A1307"/>
    <mergeCell ref="B1305:B1307"/>
    <mergeCell ref="C1305:C1307"/>
    <mergeCell ref="D1305:D1306"/>
    <mergeCell ref="E1305:E1306"/>
    <mergeCell ref="L1305:L1306"/>
    <mergeCell ref="A1238:A1247"/>
    <mergeCell ref="A1203:Q1203"/>
    <mergeCell ref="A1204:Q1204"/>
    <mergeCell ref="A1205:A1207"/>
    <mergeCell ref="B1205:B1207"/>
    <mergeCell ref="N1205:N1206"/>
    <mergeCell ref="O1205:O1206"/>
    <mergeCell ref="A1208:A1217"/>
    <mergeCell ref="P1205:P1206"/>
    <mergeCell ref="Q1205:Q1206"/>
    <mergeCell ref="F1205:I1205"/>
    <mergeCell ref="J1205:J1206"/>
    <mergeCell ref="M1205:M1206"/>
    <mergeCell ref="K1102:K1103"/>
    <mergeCell ref="L1102:L1103"/>
    <mergeCell ref="M1102:M1103"/>
    <mergeCell ref="M1143:M1144"/>
    <mergeCell ref="A1141:Q1141"/>
    <mergeCell ref="A1142:Q1142"/>
    <mergeCell ref="D1102:D1103"/>
    <mergeCell ref="A1115:A1124"/>
    <mergeCell ref="A1125:A1134"/>
    <mergeCell ref="C1205:C1207"/>
    <mergeCell ref="D1205:D1206"/>
    <mergeCell ref="A1228:A1237"/>
    <mergeCell ref="E1205:E1206"/>
    <mergeCell ref="A1143:A1145"/>
    <mergeCell ref="B1143:B1145"/>
    <mergeCell ref="B1182:B1184"/>
    <mergeCell ref="C1182:C1184"/>
    <mergeCell ref="A1185:A1191"/>
    <mergeCell ref="A1218:A1227"/>
    <mergeCell ref="A1166:A1175"/>
    <mergeCell ref="A1146:A1155"/>
    <mergeCell ref="A1156:A1165"/>
    <mergeCell ref="A1101:Q1101"/>
    <mergeCell ref="C1143:C1145"/>
    <mergeCell ref="B1102:B1104"/>
    <mergeCell ref="A1192:A1201"/>
    <mergeCell ref="P1102:P1103"/>
    <mergeCell ref="Q1305:Q1306"/>
    <mergeCell ref="F1305:I1305"/>
    <mergeCell ref="J1305:J1306"/>
    <mergeCell ref="K1305:K1306"/>
    <mergeCell ref="M1305:M1306"/>
    <mergeCell ref="A1308:A1317"/>
    <mergeCell ref="O1305:O1306"/>
    <mergeCell ref="A1341:Q1341"/>
    <mergeCell ref="A1342:Q1342"/>
    <mergeCell ref="A1343:A1345"/>
    <mergeCell ref="B1343:B1345"/>
    <mergeCell ref="C1343:C1345"/>
    <mergeCell ref="D1343:D1344"/>
    <mergeCell ref="E1343:E1344"/>
    <mergeCell ref="F1343:I1343"/>
    <mergeCell ref="L1343:L1344"/>
    <mergeCell ref="M1343:M1344"/>
    <mergeCell ref="N1343:N1344"/>
    <mergeCell ref="A929:A936"/>
    <mergeCell ref="A957:A967"/>
    <mergeCell ref="N1305:N1306"/>
    <mergeCell ref="A1054:Q1054"/>
    <mergeCell ref="O1343:O1344"/>
    <mergeCell ref="P1343:P1344"/>
    <mergeCell ref="Q1343:Q1344"/>
    <mergeCell ref="F707:I707"/>
    <mergeCell ref="J707:J708"/>
    <mergeCell ref="K707:K708"/>
    <mergeCell ref="O707:O708"/>
    <mergeCell ref="P1305:P1306"/>
    <mergeCell ref="A1303:Q1303"/>
    <mergeCell ref="Q1102:Q1103"/>
    <mergeCell ref="A1105:A1114"/>
    <mergeCell ref="Q707:Q708"/>
    <mergeCell ref="A866:A873"/>
    <mergeCell ref="A705:Q705"/>
    <mergeCell ref="A706:Q706"/>
    <mergeCell ref="A707:A709"/>
    <mergeCell ref="B707:B709"/>
    <mergeCell ref="C707:C709"/>
    <mergeCell ref="D707:D708"/>
    <mergeCell ref="E707:E708"/>
    <mergeCell ref="M707:M708"/>
    <mergeCell ref="N707:N708"/>
    <mergeCell ref="P707:P708"/>
    <mergeCell ref="A720:A729"/>
    <mergeCell ref="A730:A739"/>
    <mergeCell ref="L707:L708"/>
    <mergeCell ref="K878:K879"/>
    <mergeCell ref="A840:A845"/>
    <mergeCell ref="A846:A855"/>
    <mergeCell ref="L837:L838"/>
    <mergeCell ref="L878:L879"/>
    <mergeCell ref="J878:J879"/>
    <mergeCell ref="A710:A719"/>
    <mergeCell ref="A1318:A1327"/>
    <mergeCell ref="A1356:A1365"/>
    <mergeCell ref="A1366:A1375"/>
    <mergeCell ref="A1376:A1385"/>
    <mergeCell ref="A1389:Q1389"/>
    <mergeCell ref="A1390:Q1390"/>
    <mergeCell ref="J1343:J1344"/>
    <mergeCell ref="K1343:K1344"/>
    <mergeCell ref="A1328:A1337"/>
    <mergeCell ref="A1346:A1355"/>
    <mergeCell ref="N1391:N1392"/>
    <mergeCell ref="O1391:O1392"/>
    <mergeCell ref="A1391:A1393"/>
    <mergeCell ref="B1391:B1393"/>
    <mergeCell ref="C1391:C1393"/>
    <mergeCell ref="D1391:D1392"/>
    <mergeCell ref="E1391:E1392"/>
    <mergeCell ref="F1391:I1391"/>
    <mergeCell ref="P1391:P1392"/>
    <mergeCell ref="Q1391:Q1392"/>
    <mergeCell ref="A1394:A1403"/>
    <mergeCell ref="A1404:A1413"/>
    <mergeCell ref="A1414:A1423"/>
    <mergeCell ref="A1424:A1433"/>
    <mergeCell ref="J1391:J1392"/>
    <mergeCell ref="K1391:K1392"/>
    <mergeCell ref="L1391:L1392"/>
    <mergeCell ref="M1391:M1392"/>
    <mergeCell ref="O1439:O1440"/>
    <mergeCell ref="P1439:P1440"/>
    <mergeCell ref="Q1439:Q1440"/>
    <mergeCell ref="A1437:Q1437"/>
    <mergeCell ref="A1438:Q1438"/>
    <mergeCell ref="A1439:A1441"/>
    <mergeCell ref="B1439:B1441"/>
    <mergeCell ref="C1439:C1441"/>
    <mergeCell ref="D1439:D1440"/>
    <mergeCell ref="E1439:E1440"/>
    <mergeCell ref="A1442:A1451"/>
    <mergeCell ref="A1452:A1461"/>
    <mergeCell ref="A1462:A1471"/>
    <mergeCell ref="L1439:L1440"/>
    <mergeCell ref="M1439:M1440"/>
    <mergeCell ref="N1439:N1440"/>
    <mergeCell ref="F1439:I1439"/>
    <mergeCell ref="J1439:J1440"/>
    <mergeCell ref="K1439:K1440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2011-05-24T07:22:09Z</cp:lastPrinted>
  <dcterms:created xsi:type="dcterms:W3CDTF">2007-12-03T08:09:16Z</dcterms:created>
  <dcterms:modified xsi:type="dcterms:W3CDTF">2012-04-17T12:31:03Z</dcterms:modified>
  <cp:category/>
  <cp:version/>
  <cp:contentType/>
  <cp:contentStatus/>
</cp:coreProperties>
</file>