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8810" windowHeight="6030" activeTab="0"/>
  </bookViews>
  <sheets>
    <sheet name="2012_spalis" sheetId="1" r:id="rId1"/>
  </sheets>
  <definedNames/>
  <calcPr fullCalcOnLoad="1"/>
</workbook>
</file>

<file path=xl/sharedStrings.xml><?xml version="1.0" encoding="utf-8"?>
<sst xmlns="http://schemas.openxmlformats.org/spreadsheetml/2006/main" count="2207" uniqueCount="959">
  <si>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</si>
  <si>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</si>
  <si>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</si>
  <si>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</si>
  <si>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</si>
  <si>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</si>
  <si>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</si>
  <si>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</si>
  <si>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</si>
  <si>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</si>
  <si>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</si>
  <si>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</si>
  <si>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</si>
  <si>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</si>
  <si>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</si>
  <si>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</si>
  <si>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</si>
  <si>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</si>
  <si>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</si>
  <si>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</si>
  <si>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</si>
  <si>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</si>
  <si>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</si>
  <si>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</si>
  <si>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</si>
  <si>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</si>
  <si>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</si>
  <si>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</si>
  <si>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</si>
  <si>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</si>
  <si>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</si>
  <si>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</si>
  <si>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</si>
  <si>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</rPr>
      <t xml:space="preserve">II.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</si>
  <si>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IV. </t>
    </r>
    <r>
      <rPr>
        <sz val="8"/>
        <rFont val="Arial"/>
        <family val="2"/>
      </rPr>
      <t>Daugiaubučiai suvartojantys labai daug šilumos (senos statybos, labai prastos šiluminės izoliacijos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</si>
  <si>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</si>
  <si>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</si>
  <si>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</si>
  <si>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</si>
  <si>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</si>
  <si>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...</t>
  </si>
  <si>
    <t>Utena (UAB "Utenos šilumos tinklai")</t>
  </si>
  <si>
    <t>Staty-bos metai</t>
  </si>
  <si>
    <t>Radviliškis (UAB "Radviliškio šiluma")</t>
  </si>
  <si>
    <t>....</t>
  </si>
  <si>
    <t xml:space="preserve">Iš viso 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</si>
  <si>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</si>
  <si>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</si>
  <si>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Kaišiadorys (UAB"Kaišiadorių šiluma")</t>
  </si>
  <si>
    <r>
      <rPr>
        <b/>
        <sz val="8"/>
        <rFont val="Arial"/>
        <family val="2"/>
      </rPr>
      <t xml:space="preserve">III. </t>
    </r>
    <r>
      <rPr>
        <sz val="8"/>
        <rFont val="Arial"/>
        <family val="2"/>
      </rPr>
      <t>Daugiabučiai suvartojantys daug šilumos (senos statybos nerenovuoti namai)</t>
    </r>
  </si>
  <si>
    <t>Šilalė (UAB"Šilalės šilumos tinklai")</t>
  </si>
  <si>
    <t>I. Daugiabučiai suvartojantys mažiausiai šilumos (naujos statybos, kokybiški namai)</t>
  </si>
  <si>
    <t>IV. Daugiaubučiai suvartojantys labai daug šilumos (senos statybos, labai prastos šiluminės izoliacijos namai)</t>
  </si>
  <si>
    <t>Akmenė (UAB „Akemnės energija“)</t>
  </si>
  <si>
    <t>Prienai (UAB „Prienų energija“)</t>
  </si>
  <si>
    <t>Elektrėnai (UAB „Elektrėnų komunalinis ūkis")</t>
  </si>
  <si>
    <t>Plungė (UAB"Plungės šilumos tinklai")</t>
  </si>
  <si>
    <t>Tauragė (UAB "Tauragės šilumos tinklai")</t>
  </si>
  <si>
    <t>Varėna (UAB "Varėnos šiluma")</t>
  </si>
  <si>
    <t>Klaipėda (AB "Klaipėdos energija")</t>
  </si>
  <si>
    <t>Ignalina (UAB „Ignalinos šilumos tinklai")</t>
  </si>
  <si>
    <t>Alytus (UAB „Litesko“ filialas "Alytaus energija")</t>
  </si>
  <si>
    <t>Biržai (UAB „Litesko“ filialas "Biržų šiluma")</t>
  </si>
  <si>
    <t>Marijampolė  (UAB „Litesko“ filialas "Marijampolės šiluma")</t>
  </si>
  <si>
    <t>Kelmė  (UAB „Litesko“ filialas "Kelmės šiluma")</t>
  </si>
  <si>
    <t>Telšiai  (UAB „Litesko“ filialas "Telšių šiluma")</t>
  </si>
  <si>
    <t>Vilkaviškis (UAB „Litesko“ filialas "Vilkaviškio šiluma")</t>
  </si>
  <si>
    <t>Palanga (UAB „Litesko“ filialas "Palangos šiluma")</t>
  </si>
  <si>
    <t>Druskininkai (UAB „Litesko“ filialas "Druskininkų šiluma")</t>
  </si>
  <si>
    <t>Anykščiai (UAB"Anykščių šiluma")</t>
  </si>
  <si>
    <t>Pavilnionių g. 31</t>
  </si>
  <si>
    <t>Sviliškių g. 4,6</t>
  </si>
  <si>
    <t>Bajorų kelias 3</t>
  </si>
  <si>
    <t>iki 1992</t>
  </si>
  <si>
    <t>Perkūnkiemio g. 45</t>
  </si>
  <si>
    <t>Fizikų g. 6</t>
  </si>
  <si>
    <t>J.Franko g. 4</t>
  </si>
  <si>
    <t>Laisvės pr. 85</t>
  </si>
  <si>
    <t>Pajautos g. 13</t>
  </si>
  <si>
    <t>P.Smuglevičiaus g. 6</t>
  </si>
  <si>
    <t>Karaliaučiaus g. 16a</t>
  </si>
  <si>
    <t>Bitininkų g. 4C</t>
  </si>
  <si>
    <t>Karaliaučiaus g. 16C</t>
  </si>
  <si>
    <t>Bitėnų g. 10</t>
  </si>
  <si>
    <t>Sviliškių g. 3,5,7</t>
  </si>
  <si>
    <t>Ūmėdžių g. 80, 82</t>
  </si>
  <si>
    <t>Naugarduko g. 50A</t>
  </si>
  <si>
    <t>Rygos g. 34, 36, 38</t>
  </si>
  <si>
    <t>Ukmergės g. 228</t>
  </si>
  <si>
    <t>Musninkų g. 20</t>
  </si>
  <si>
    <t>Šeškinės g. 63</t>
  </si>
  <si>
    <t>Žemynos g. 9</t>
  </si>
  <si>
    <t>Taikos g. 126, 124</t>
  </si>
  <si>
    <t>Linksmoji g. 77</t>
  </si>
  <si>
    <t>S.Stanevičiaus g. 8</t>
  </si>
  <si>
    <t>Filaretų g. 18, 20</t>
  </si>
  <si>
    <t>A.Domaševičiaus g. 3</t>
  </si>
  <si>
    <t>Sėlių g. 43</t>
  </si>
  <si>
    <t>V.Grybo g. 24</t>
  </si>
  <si>
    <t>Rinktinės g. 36</t>
  </si>
  <si>
    <t>Popieriaus g. 82</t>
  </si>
  <si>
    <t>Tramvajų g. 4</t>
  </si>
  <si>
    <t>Parko g. 18</t>
  </si>
  <si>
    <t>P.Vileišio g. 16</t>
  </si>
  <si>
    <t>Arklių g. 16</t>
  </si>
  <si>
    <t>Agrastų g. 8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</si>
  <si>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</si>
  <si>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</si>
  <si>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</si>
  <si>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</si>
  <si>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</si>
  <si>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</si>
  <si>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</si>
  <si>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</si>
  <si>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Pašilės 59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</si>
  <si>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</si>
  <si>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</si>
  <si>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</si>
  <si>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</si>
  <si>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</si>
  <si>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</si>
  <si>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</si>
  <si>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</si>
  <si>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</si>
  <si>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</si>
  <si>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</si>
  <si>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</si>
  <si>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</si>
  <si>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</si>
  <si>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</si>
  <si>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</si>
  <si>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Trakai (UAB „Prienų energija“ Trakų padalinys)</t>
  </si>
  <si>
    <t>Varpų g. 27</t>
  </si>
  <si>
    <t>Panevėžys (AB "Panevėžio energija")</t>
  </si>
  <si>
    <t>Jonažolių g. 13 (bt. 1-58)</t>
  </si>
  <si>
    <t>Žirmūnų g. 3</t>
  </si>
  <si>
    <t>MWh/m²/mėn.</t>
  </si>
  <si>
    <t>Lt/m²/mėn.</t>
  </si>
  <si>
    <t>M.Marcinkevičiaus g. 29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</si>
  <si>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</si>
  <si>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</si>
  <si>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</si>
  <si>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</si>
  <si>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</si>
  <si>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</si>
  <si>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</si>
  <si>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</si>
  <si>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</si>
  <si>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Lukšos-Daumanto 2</t>
  </si>
  <si>
    <t>Šiaurės 1 (KVT)</t>
  </si>
  <si>
    <t>MWh/m²/mėn</t>
  </si>
  <si>
    <t>Lt/m²/mėn</t>
  </si>
  <si>
    <t>Aukštaičių g. 66</t>
  </si>
  <si>
    <t>Basanavičiaus g.  1</t>
  </si>
  <si>
    <t>Kranto g. 25</t>
  </si>
  <si>
    <t>Klaipėdos g. 99 K2</t>
  </si>
  <si>
    <t>Vilties g. 47</t>
  </si>
  <si>
    <t>Vilniaus g. 16</t>
  </si>
  <si>
    <t>Sodų 6</t>
  </si>
  <si>
    <t>Nepriklausomybės a. 9</t>
  </si>
  <si>
    <t>Aldonos g. 3</t>
  </si>
  <si>
    <t>Įmonių g. 21</t>
  </si>
  <si>
    <t>Žeimių g. 6B</t>
  </si>
  <si>
    <t>Žeimių g. 6A</t>
  </si>
  <si>
    <t>Putinų g. 10</t>
  </si>
  <si>
    <t>Kauno g. 22A</t>
  </si>
  <si>
    <t>Ežero g. 14</t>
  </si>
  <si>
    <t>P. Cvirkos g. 75</t>
  </si>
  <si>
    <t>P. Višinskio g. 37</t>
  </si>
  <si>
    <t>Ežero g. 15</t>
  </si>
  <si>
    <t>Dariaus ir Girėno 6B Alytus</t>
  </si>
  <si>
    <t>BIRUTĖS 14 Alytus</t>
  </si>
  <si>
    <t>Statybininkų 46 Alytus</t>
  </si>
  <si>
    <t>LAUKO 17 Alytus</t>
  </si>
  <si>
    <t>PUTINŲ 24A Alytus</t>
  </si>
  <si>
    <t>VILTIES 2 Alytus</t>
  </si>
  <si>
    <t>ŽALGIRIO 31 Alytus</t>
  </si>
  <si>
    <t>Dariaus ir Girėno 4 Alytus</t>
  </si>
  <si>
    <t>Dariaus ir Girėno 6 Alytus</t>
  </si>
  <si>
    <t>Rinkuškių 49</t>
  </si>
  <si>
    <t>Vilniaus 4</t>
  </si>
  <si>
    <t>Rinkuškių 47a</t>
  </si>
  <si>
    <t>Vytauto 24</t>
  </si>
  <si>
    <t>Vilniaus 39a</t>
  </si>
  <si>
    <t>Respublikos 58</t>
  </si>
  <si>
    <t>Vilniaus 77b</t>
  </si>
  <si>
    <t>Rinkuškių 51</t>
  </si>
  <si>
    <t>Vytauto 14a</t>
  </si>
  <si>
    <t>Rotušės 3</t>
  </si>
  <si>
    <t>Vilniaus 93a</t>
  </si>
  <si>
    <t>Vilniaus 92</t>
  </si>
  <si>
    <t>Rotušės 24</t>
  </si>
  <si>
    <t>Kilučių 11</t>
  </si>
  <si>
    <t>Basanavičiaus 18</t>
  </si>
  <si>
    <t>Vytauto 33</t>
  </si>
  <si>
    <t>Rotušės 19</t>
  </si>
  <si>
    <t>Rotušės 7</t>
  </si>
  <si>
    <t>Rotušės 5</t>
  </si>
  <si>
    <t>Vytauto 8</t>
  </si>
  <si>
    <t>Kęstučio 2</t>
  </si>
  <si>
    <t>Rotušės 1</t>
  </si>
  <si>
    <t>Vytauto 6</t>
  </si>
  <si>
    <t>A.Civinsko 7</t>
  </si>
  <si>
    <t>Draugystės 20</t>
  </si>
  <si>
    <t>R.Juknevičiaus 14</t>
  </si>
  <si>
    <t>Gėlių 14</t>
  </si>
  <si>
    <t>Vytauto 13</t>
  </si>
  <si>
    <t>Vilkaviškio 72</t>
  </si>
  <si>
    <t>Bažnyčios 15</t>
  </si>
  <si>
    <t>Aušros 42A</t>
  </si>
  <si>
    <t>P.Butlerienės 11</t>
  </si>
  <si>
    <t>Vytauto 12</t>
  </si>
  <si>
    <t>Vasario  16-osios 6</t>
  </si>
  <si>
    <t>P.Butlerienės sk. 5</t>
  </si>
  <si>
    <t>Kauno 18</t>
  </si>
  <si>
    <t>Kooperacijos   28</t>
  </si>
  <si>
    <t>Vilties   14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</si>
  <si>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</si>
  <si>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</si>
  <si>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</si>
  <si>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</si>
  <si>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</si>
  <si>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</si>
  <si>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</si>
  <si>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</si>
  <si>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</si>
  <si>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</si>
  <si>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Kęstučio 11 Vilkaviškis</t>
  </si>
  <si>
    <t>Aušros 10 Vilkaviškis</t>
  </si>
  <si>
    <t>Nepriklausomybės 66 Vilkaviškis</t>
  </si>
  <si>
    <t>K.Naumiesčio 13 Kybartai</t>
  </si>
  <si>
    <t>Darvino 28 Kybartai</t>
  </si>
  <si>
    <t>Vilniaus 4 Vilkaviškis</t>
  </si>
  <si>
    <t>K.Naumiesčio 11 Kybartai</t>
  </si>
  <si>
    <t>Vištyčio 7 Virbalis</t>
  </si>
  <si>
    <t>Vilniaus 30A Virbalis</t>
  </si>
  <si>
    <t>Vištyčio 2 Virbalis</t>
  </si>
  <si>
    <t>Kęstučio 10 Vilkaviškis</t>
  </si>
  <si>
    <t>Dariaus ir Girėno 2A Kybartai</t>
  </si>
  <si>
    <t>Darvino 11 Kybartai</t>
  </si>
  <si>
    <t>K.Naumiesčio 9A Kybartai</t>
  </si>
  <si>
    <t>Druskininkų 7a</t>
  </si>
  <si>
    <t>Taikos 10</t>
  </si>
  <si>
    <t>Sodų 1</t>
  </si>
  <si>
    <t>Kretingos 33</t>
  </si>
  <si>
    <t>Saulėtekio 8/6</t>
  </si>
  <si>
    <t>Sodų 39</t>
  </si>
  <si>
    <t>Sodų 21</t>
  </si>
  <si>
    <t>Druskininkų 16</t>
  </si>
  <si>
    <t>Ganyklų 29</t>
  </si>
  <si>
    <t>Biliūno 3</t>
  </si>
  <si>
    <t>Vytauto 148</t>
  </si>
  <si>
    <t>Oškinio 8</t>
  </si>
  <si>
    <t>Ganyklų 59</t>
  </si>
  <si>
    <t>Valančiaus 8</t>
  </si>
  <si>
    <t>Kretingos 7</t>
  </si>
  <si>
    <t>Vytauto 81</t>
  </si>
  <si>
    <t>S.neries 5</t>
  </si>
  <si>
    <t>Medžiotojų 10</t>
  </si>
  <si>
    <t>Kretingos 6</t>
  </si>
  <si>
    <t>Vytauto 120</t>
  </si>
  <si>
    <t>Valančiaus 6</t>
  </si>
  <si>
    <t>KOSCIUŠKOS 12</t>
  </si>
  <si>
    <t>-</t>
  </si>
  <si>
    <t>LIEPŲ 2A</t>
  </si>
  <si>
    <t>VEISIEJŲ 16</t>
  </si>
  <si>
    <t>VEISIEJŲ 24</t>
  </si>
  <si>
    <t>TAIKOS 3</t>
  </si>
  <si>
    <t>NERAVŲ 29</t>
  </si>
  <si>
    <t>NERAVŲ 27</t>
  </si>
  <si>
    <t>ANTAKALNIO 13</t>
  </si>
  <si>
    <t>Vasario 16-osios g. 8</t>
  </si>
  <si>
    <t>Kudirkos g. 22, Utena</t>
  </si>
  <si>
    <t>iki1992</t>
  </si>
  <si>
    <t>Aušros g. 89 Ik.(renov.)Utena</t>
  </si>
  <si>
    <t>Aukštakalnio g. 108 Utena</t>
  </si>
  <si>
    <t>Sėlių g. 59, Utena</t>
  </si>
  <si>
    <t>Vaižganto g. 58, Utena</t>
  </si>
  <si>
    <t>Krašuonos g. 1, Utena</t>
  </si>
  <si>
    <t>Krašuonos g. 13, Utena</t>
  </si>
  <si>
    <t>Aukštakalnio g. 10,12, Utena</t>
  </si>
  <si>
    <t>Kauno g. 27, Utena</t>
  </si>
  <si>
    <t>Basanavičiaus g. 108, Utena</t>
  </si>
  <si>
    <t>Aušros g. 82, Utena</t>
  </si>
  <si>
    <t>Vaižganto 96( renov.)</t>
  </si>
  <si>
    <t>Vaišvilos 31( renov.)</t>
  </si>
  <si>
    <t>Vaišvilos 23( renov.)</t>
  </si>
  <si>
    <t>Končiaus 7A(skaitikliai butuose)</t>
  </si>
  <si>
    <t>Končiaus 7(skaitikliai butuose)</t>
  </si>
  <si>
    <t>Mačernio 12(dal.renovuot.)</t>
  </si>
  <si>
    <t>Mačernio 53</t>
  </si>
  <si>
    <t>Jucio 14 (dalinai renovuotas)</t>
  </si>
  <si>
    <t>Jucio 12</t>
  </si>
  <si>
    <t>Mačernio 10</t>
  </si>
  <si>
    <t>Mačernio 47</t>
  </si>
  <si>
    <t>Jucio 22</t>
  </si>
  <si>
    <t>Mačernio 51</t>
  </si>
  <si>
    <t>Jucio 10</t>
  </si>
  <si>
    <t>Vaižganto 85</t>
  </si>
  <si>
    <t>Mačernio 6</t>
  </si>
  <si>
    <t>Mačernio 8</t>
  </si>
  <si>
    <t>Lentpjūvės 6</t>
  </si>
  <si>
    <t>Vytauto 27</t>
  </si>
  <si>
    <t>S. Neries 4</t>
  </si>
  <si>
    <t>Dariaus Ir Girėno 35</t>
  </si>
  <si>
    <t>Dariaus Ir Girėno 33</t>
  </si>
  <si>
    <t>Bernotėno 3</t>
  </si>
  <si>
    <t>Gedimino g. 32</t>
  </si>
  <si>
    <t>Vaižganto g. 118</t>
  </si>
  <si>
    <t>Dariaus ir Girėno g. 34</t>
  </si>
  <si>
    <t>Miško g. 8</t>
  </si>
  <si>
    <t>Žemaitės g. 32</t>
  </si>
  <si>
    <t xml:space="preserve">Dainavos g. 7 </t>
  </si>
  <si>
    <t>Prezidento g. 67</t>
  </si>
  <si>
    <t>Gedimino g. 23</t>
  </si>
  <si>
    <t>Birutės g. 36</t>
  </si>
  <si>
    <t>Ateities takas 18</t>
  </si>
  <si>
    <t>Vasario 16-osios g. 5</t>
  </si>
  <si>
    <t>Vasario 16-osios g. 3</t>
  </si>
  <si>
    <t>Vasario 16-osios g. 10</t>
  </si>
  <si>
    <t>Vytauto g. 62</t>
  </si>
  <si>
    <t>Respublikos g. 4</t>
  </si>
  <si>
    <t>Dariaus ir Girėno g. 20</t>
  </si>
  <si>
    <t>Aerodromo g. 11</t>
  </si>
  <si>
    <t>Žemaitės g. 3</t>
  </si>
  <si>
    <t>V. Kudirkos g. 5</t>
  </si>
  <si>
    <t>Dariaus ir Girėno g. 24</t>
  </si>
  <si>
    <t>Dariaus ir Grėno g. 4</t>
  </si>
  <si>
    <t>Naujųjų Valkininkų 1</t>
  </si>
  <si>
    <t>Renov.</t>
  </si>
  <si>
    <t>Melioratorių g. 3</t>
  </si>
  <si>
    <t>Dzūkų g. 44</t>
  </si>
  <si>
    <t>Vytauto g. 19A</t>
  </si>
  <si>
    <t>Vytauto g. 58</t>
  </si>
  <si>
    <t>M.K.Čiurlionio g. 37</t>
  </si>
  <si>
    <t>Vytauto g. 7</t>
  </si>
  <si>
    <t>V.Krėvės g. 4</t>
  </si>
  <si>
    <t>Sporto g. 14</t>
  </si>
  <si>
    <t>Vasario 16-osios g. 13</t>
  </si>
  <si>
    <t>Vasario 16-osios g. 4</t>
  </si>
  <si>
    <t>Sodų 4</t>
  </si>
  <si>
    <t>Draugystės 18</t>
  </si>
  <si>
    <t>Taikos 4</t>
  </si>
  <si>
    <t>Pergalės 47</t>
  </si>
  <si>
    <t>Saulės 11</t>
  </si>
  <si>
    <r>
      <t>II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</si>
  <si>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I. </t>
    </r>
    <r>
      <rPr>
        <sz val="8"/>
        <rFont val="Arial"/>
        <family val="2"/>
      </rPr>
      <t>Daugiabučiai suvartojantys mažiausiai šilumos (naujos statybos, kokybiški namai)</t>
    </r>
  </si>
  <si>
    <t>Šilumos suvartojimo ir mokėjimų už šilumą analizė Lietuvos miestų daugiabučiuose gyvenamuosiuose namuose (2012 m. spalio mėn)</t>
  </si>
  <si>
    <t>J.Kubiliaus g. 4</t>
  </si>
  <si>
    <t>Ūmėdžių g. 96</t>
  </si>
  <si>
    <r>
      <t xml:space="preserve">vidutinė lauko oro temperatūra: 1,9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144,9</t>
    </r>
  </si>
  <si>
    <t>vidutinė lauko oro temperatūra: 4,2 °C; dienolaipsniai:166</t>
  </si>
  <si>
    <t>Jaunimo 4 (renov.)</t>
  </si>
  <si>
    <t>Kalantos R. 23</t>
  </si>
  <si>
    <t>Stulginskio A. 64</t>
  </si>
  <si>
    <t>Masiulio T. 1</t>
  </si>
  <si>
    <t>Jakšto 8</t>
  </si>
  <si>
    <t>vidutinė lauko oro temperatūra: 8,7 °C; dienolaipsniai: 111,6</t>
  </si>
  <si>
    <t>Taikos pr. 144</t>
  </si>
  <si>
    <t>Statybininkų g. 7B</t>
  </si>
  <si>
    <t>Pietinė g. 7</t>
  </si>
  <si>
    <t>Debreceno g. 58B</t>
  </si>
  <si>
    <t>Debreceno g. 31</t>
  </si>
  <si>
    <t>Dragūnų g. 14</t>
  </si>
  <si>
    <t>Vyturio g. 15</t>
  </si>
  <si>
    <t>Liubeko g. 3 ®</t>
  </si>
  <si>
    <t>I.Simonaitytės 29</t>
  </si>
  <si>
    <t>Baltijos pr. 67</t>
  </si>
  <si>
    <t>Reikjaviko g. 9 ®</t>
  </si>
  <si>
    <t>Kooperacijos g. 3A</t>
  </si>
  <si>
    <t>Sulupės g. 7</t>
  </si>
  <si>
    <t>Kauno g. 31</t>
  </si>
  <si>
    <t>Strėvos g. 8</t>
  </si>
  <si>
    <t>Dzūkų g. 6</t>
  </si>
  <si>
    <t>Šilutės pl. 44</t>
  </si>
  <si>
    <t>Kretingos g. 11</t>
  </si>
  <si>
    <t>Liepų g. 41</t>
  </si>
  <si>
    <t>Rumpiškės g. 28</t>
  </si>
  <si>
    <t>Žardininkų g. 8</t>
  </si>
  <si>
    <t>Debreceno g. 11</t>
  </si>
  <si>
    <t>Geležinkelio g. 12</t>
  </si>
  <si>
    <t>Žardininkų g. 11</t>
  </si>
  <si>
    <t>Statybibinkų pr. 21</t>
  </si>
  <si>
    <t>Ramioji g. 10</t>
  </si>
  <si>
    <t>Liepų g. 49</t>
  </si>
  <si>
    <t>Bangų g. 17</t>
  </si>
  <si>
    <t>Kuncų g. 16</t>
  </si>
  <si>
    <t>Kretingos g. 56</t>
  </si>
  <si>
    <t>Šaulių g. 52</t>
  </si>
  <si>
    <t>Ramioji g. 3</t>
  </si>
  <si>
    <t>Budelkiemio g. 9</t>
  </si>
  <si>
    <t>Vingio g. 35</t>
  </si>
  <si>
    <t>Minijos g. 149</t>
  </si>
  <si>
    <t>Liepų g. 53</t>
  </si>
  <si>
    <t>J.Janonio g. 18</t>
  </si>
  <si>
    <r>
      <t xml:space="preserve">vidutinė lauko oro temperatūra: 6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240</t>
    </r>
  </si>
  <si>
    <t>Tulpių g. 13</t>
  </si>
  <si>
    <t>Beržų g. 31</t>
  </si>
  <si>
    <t>3 902,29</t>
  </si>
  <si>
    <t>Molainių g. 8</t>
  </si>
  <si>
    <t>Klaipėdos g. 98</t>
  </si>
  <si>
    <t>Kniaudiškių g. 54</t>
  </si>
  <si>
    <t>Molainių g. 78</t>
  </si>
  <si>
    <t>Statybininkų g. 34</t>
  </si>
  <si>
    <t>Vaitkaus g.6</t>
  </si>
  <si>
    <t>Nevėžio g. 40B</t>
  </si>
  <si>
    <t>1 955,05</t>
  </si>
  <si>
    <t>1 973,26</t>
  </si>
  <si>
    <t>Vilties g. 8</t>
  </si>
  <si>
    <t>Sodų g. 6</t>
  </si>
  <si>
    <t>2 632,02</t>
  </si>
  <si>
    <t>1 845,02</t>
  </si>
  <si>
    <t>1 163,53</t>
  </si>
  <si>
    <r>
      <t xml:space="preserve">vidutinė lauko oro temperatūra: 6,4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232</t>
    </r>
  </si>
  <si>
    <t>Grinkevičiaus g. 8 (renov.)</t>
  </si>
  <si>
    <t>Gardino g. 27 (renov.)</t>
  </si>
  <si>
    <t>Dainų g. 4 (renov.)</t>
  </si>
  <si>
    <t>Sevastopolio g. 5(renov.)</t>
  </si>
  <si>
    <t>Vytauto g. 138 (renov.)</t>
  </si>
  <si>
    <t>Ginkevičiaus g. 6 (renov.)</t>
  </si>
  <si>
    <t>Gegužių g. 17</t>
  </si>
  <si>
    <t>Vytauto g. 149 (renov.)</t>
  </si>
  <si>
    <t>Krymo g. 14</t>
  </si>
  <si>
    <t>Statybininkų g. 5</t>
  </si>
  <si>
    <t>Gardino g. 33</t>
  </si>
  <si>
    <t>Aido g. 5</t>
  </si>
  <si>
    <t>Sevastopolio g. 9 (renov.)</t>
  </si>
  <si>
    <t>Lieporių g. 21</t>
  </si>
  <si>
    <t>K. Korsako g. 103</t>
  </si>
  <si>
    <t>Dainų g. 43</t>
  </si>
  <si>
    <t>Dainų g. 12</t>
  </si>
  <si>
    <t>Tilžės g. 165</t>
  </si>
  <si>
    <t>Aukštabalio g. 12</t>
  </si>
  <si>
    <t>Dvaro g. 100</t>
  </si>
  <si>
    <t>Draugystės pr. 5</t>
  </si>
  <si>
    <t>St. Šalkauskio g. 5</t>
  </si>
  <si>
    <t>Tilžės g. 38</t>
  </si>
  <si>
    <t>Ežero g. 9</t>
  </si>
  <si>
    <t>Aušros takas 4</t>
  </si>
  <si>
    <t>Varpo g. 35</t>
  </si>
  <si>
    <t>Energetikų g. 11</t>
  </si>
  <si>
    <t>Kauno g. 22</t>
  </si>
  <si>
    <t>Ežero g. 23</t>
  </si>
  <si>
    <t>Ežero g. 27</t>
  </si>
  <si>
    <t>Draugystės pr.3A</t>
  </si>
  <si>
    <t>Vilniaus g. 213A</t>
  </si>
  <si>
    <t>vidutinė lauko oro temperatūra: 5,9 °C, dienolaipsniai 254,1</t>
  </si>
  <si>
    <t>VINGIO 1 Alytus</t>
  </si>
  <si>
    <t>NAUJOJI 68 Alytus</t>
  </si>
  <si>
    <t>ŽUVINTO 13 Alytus</t>
  </si>
  <si>
    <t>VILTIES 32 Alytus</t>
  </si>
  <si>
    <t>KALNIŠKĖS 25 Alytus</t>
  </si>
  <si>
    <t>Statybininkų 30 Alytus</t>
  </si>
  <si>
    <t>VINGIO 6 Alytus</t>
  </si>
  <si>
    <t>MAIRONIO 1 Alytus</t>
  </si>
  <si>
    <t>VINGIO 27 Alytus</t>
  </si>
  <si>
    <t>TVIRTOVĖS 9 Alytus</t>
  </si>
  <si>
    <t>JONYNO 5 Alytus</t>
  </si>
  <si>
    <t>ŽUVINTO 5A Alytus</t>
  </si>
  <si>
    <t>LAKŪNŲ 7 Alytus</t>
  </si>
  <si>
    <t>PRAMONĖS 4 Alytus</t>
  </si>
  <si>
    <t>JAUNIMO 31 Alytus</t>
  </si>
  <si>
    <t>VILTIES 4 Alytus</t>
  </si>
  <si>
    <t>VOLUNGĖS 12 Alytus</t>
  </si>
  <si>
    <t>Aukštakalnio 26 Alytus</t>
  </si>
  <si>
    <t>JAUNIMO 10 Alytus</t>
  </si>
  <si>
    <t>Dariaus ir Girėno 2A Alytus</t>
  </si>
  <si>
    <t>BAŽNYČIOS 2 Alytus</t>
  </si>
  <si>
    <t>MIŠKO 13 Alytus</t>
  </si>
  <si>
    <t>VOLUNGĖS 22 Alytus</t>
  </si>
  <si>
    <t>JAZMINŲ 12 Alytus</t>
  </si>
  <si>
    <t>PULKO 43 3 Alytus</t>
  </si>
  <si>
    <t>VOLUNGĖS 19 Alytus</t>
  </si>
  <si>
    <t>VOLUNGĖS 17 Alytus</t>
  </si>
  <si>
    <t>vidutinė lauko oro temperatūra: 4,7 °C, dienolaipsniai: 198,8</t>
  </si>
  <si>
    <t>Vėjo 26b</t>
  </si>
  <si>
    <t>Rinkuškių 47</t>
  </si>
  <si>
    <t>Vilniaus 56</t>
  </si>
  <si>
    <t>Vilniaus 6</t>
  </si>
  <si>
    <t>Vilniaus 91a</t>
  </si>
  <si>
    <t>Rotušės 24b</t>
  </si>
  <si>
    <t>Respublikos 56</t>
  </si>
  <si>
    <t>Rinkuškių 22</t>
  </si>
  <si>
    <t>vidutinė lauko oro temperatūra: 7,0 °C, dienolaipsniai 118,22</t>
  </si>
  <si>
    <t>Kosmonautų 12</t>
  </si>
  <si>
    <t>V.Kudirkos 1</t>
  </si>
  <si>
    <t>Kauno 92</t>
  </si>
  <si>
    <t>R.Juknevičiaus 20</t>
  </si>
  <si>
    <t>Kosmonautų 28</t>
  </si>
  <si>
    <t>R.Juknevičiaus 48</t>
  </si>
  <si>
    <t>Vilkaviškio 61</t>
  </si>
  <si>
    <t>R.Juknevičiaus 23</t>
  </si>
  <si>
    <t>Vytenio 31D</t>
  </si>
  <si>
    <t>Dariaus ir Girėno 9</t>
  </si>
  <si>
    <t>Beržų 15A</t>
  </si>
  <si>
    <t>Mokolų 51</t>
  </si>
  <si>
    <t>R.Juknevičiaus 3</t>
  </si>
  <si>
    <t>Lietuvininkų 4</t>
  </si>
  <si>
    <t>Nausupės 8</t>
  </si>
  <si>
    <t>Jaunimo 22</t>
  </si>
  <si>
    <t>Dvarkelio 11</t>
  </si>
  <si>
    <t>Nausupės sk. 2</t>
  </si>
  <si>
    <t>Dvarkelio 7</t>
  </si>
  <si>
    <t>Vingio 3</t>
  </si>
  <si>
    <t>Dvarkelio 14</t>
  </si>
  <si>
    <t>P.Armino 33</t>
  </si>
  <si>
    <t>Vingio 8</t>
  </si>
  <si>
    <t>Vasario  16-osios 4</t>
  </si>
  <si>
    <t>P.Butlerienės 7</t>
  </si>
  <si>
    <t>Gedimino 9</t>
  </si>
  <si>
    <t>vidutinė lauko oro temperatūra: 5,61 °C, dienolaipsniai 206,5</t>
  </si>
  <si>
    <t>Birutës   2</t>
  </si>
  <si>
    <t>Mackevièiaus   29</t>
  </si>
  <si>
    <t>Birutës   4</t>
  </si>
  <si>
    <t>Dariaus ir Girëno    2A</t>
  </si>
  <si>
    <t>Dariaus ir Girëno    4</t>
  </si>
  <si>
    <t>Laucevièiaus   14</t>
  </si>
  <si>
    <t>Vytauto Didþiojo   82</t>
  </si>
  <si>
    <t>Raseiniø   9</t>
  </si>
  <si>
    <t>Raseiniø   5A</t>
  </si>
  <si>
    <t>Raseiniø   3</t>
  </si>
  <si>
    <t>Mackevièiaus    2</t>
  </si>
  <si>
    <t>Þemaitës   45</t>
  </si>
  <si>
    <t>Raseiniø   7</t>
  </si>
  <si>
    <t>Vytauto Didþiojo   45</t>
  </si>
  <si>
    <t>Vytauto Didþiojo   61</t>
  </si>
  <si>
    <t>Þemaitës   51</t>
  </si>
  <si>
    <t>vidutinė lauko oro temperatūra: 7 °C, dienolaipsniai 187</t>
  </si>
  <si>
    <t>Masčio 54, Telšiai</t>
  </si>
  <si>
    <t>Lygumų 49, Telšiai</t>
  </si>
  <si>
    <t>Dariaus ir Girėno 13, Telšiai</t>
  </si>
  <si>
    <t>Vilniaus 34, Telšiai</t>
  </si>
  <si>
    <t>Žemaitės 26, Telšiai</t>
  </si>
  <si>
    <t>Masčio 44, Telšiai</t>
  </si>
  <si>
    <t>Rambyno 14A, Telšiai</t>
  </si>
  <si>
    <t>Vilniaus 2, Telšiai</t>
  </si>
  <si>
    <t>Kauno 7, Telšiai</t>
  </si>
  <si>
    <t>Saulėtekio 15, Telšiai</t>
  </si>
  <si>
    <t>Masčio 8, Telšiai</t>
  </si>
  <si>
    <t>Kęstučio 17, Telšiai</t>
  </si>
  <si>
    <t>Kęstučio 19, Telšiai</t>
  </si>
  <si>
    <t>Vilniaus 14, Telšiai</t>
  </si>
  <si>
    <t>Birutės 12, Telšiai</t>
  </si>
  <si>
    <t>Vilniaus 26, Telšiai</t>
  </si>
  <si>
    <t>Aušros 9, Rainiai</t>
  </si>
  <si>
    <t>Sedos 27, Telšiai</t>
  </si>
  <si>
    <t>Luokės 83, Telšiai</t>
  </si>
  <si>
    <t>Vilniaus 8, Telšiai</t>
  </si>
  <si>
    <t>Daukanto 31, Telšiai</t>
  </si>
  <si>
    <t>Stoties 8, Telšiai</t>
  </si>
  <si>
    <t>Stoties 33, Telšiai</t>
  </si>
  <si>
    <t>Respublikos 75, Telšiai</t>
  </si>
  <si>
    <t>Karaliaus Mindaugo 39, Telšiai</t>
  </si>
  <si>
    <t>Stoties 10, Telšiai</t>
  </si>
  <si>
    <t>Žemaitės 25, Telšiai</t>
  </si>
  <si>
    <t>Šviesos 31, Telšiai</t>
  </si>
  <si>
    <t>Saulėtekio 7, Telšiai</t>
  </si>
  <si>
    <t>Daukanto 14, Telšiai</t>
  </si>
  <si>
    <t>Tulpių 6, Telšiai</t>
  </si>
  <si>
    <t>Respublikos 8, Telšiai</t>
  </si>
  <si>
    <t>Sinagogos 4, Telšiai</t>
  </si>
  <si>
    <t>Sinagogos  2, Telšiai</t>
  </si>
  <si>
    <t>Daukanto 43, Telšiai</t>
  </si>
  <si>
    <t>Kęstučio 25, Telšiai</t>
  </si>
  <si>
    <t>Tulpių 4, Telšiai</t>
  </si>
  <si>
    <t>Kęstučio 21, Telšiai</t>
  </si>
  <si>
    <t>Luokės 33, Telšiai</t>
  </si>
  <si>
    <t>Šviesos 29, Telšiai</t>
  </si>
  <si>
    <t>vidutinė lauko oro temperatūra: 7,5 °C, dienolaipsniai 217</t>
  </si>
  <si>
    <t>Vienybės 70 Vilkaviškis</t>
  </si>
  <si>
    <t>Vištyčio 36A Kybartai</t>
  </si>
  <si>
    <t>Nepriklausomybės 52 Vilkaviškis</t>
  </si>
  <si>
    <t>Vilniaus 2 Vilkaviškis</t>
  </si>
  <si>
    <t>Nepriklausomybės 78 Vilkaviškis</t>
  </si>
  <si>
    <t>Pilviškių 33 Vilkaviškis</t>
  </si>
  <si>
    <t>Gedimino 11 Vilkaviškis</t>
  </si>
  <si>
    <t>Dvaro 21 Paežeriai</t>
  </si>
  <si>
    <t>Dvaro 9 Paežeriai</t>
  </si>
  <si>
    <t>Gedimino 13 Vilkaviškis</t>
  </si>
  <si>
    <t>Maironio 32 Vilkaviškis</t>
  </si>
  <si>
    <t>Darvino 19 Kybartai</t>
  </si>
  <si>
    <t>S.Nėries 44 Vilkaviškis</t>
  </si>
  <si>
    <t>Mokyklos 3 Pilviškiai</t>
  </si>
  <si>
    <t>Vasario 16-ios 4 Pilviškiai</t>
  </si>
  <si>
    <t>Vasario 16-ios 10 Pilviškiai</t>
  </si>
  <si>
    <t>vidutinė lauko oro temperatūra: 4,2 °C, dienolaipsniai 124,2</t>
  </si>
  <si>
    <t>Taikos 14</t>
  </si>
  <si>
    <t>Medvalakio 7</t>
  </si>
  <si>
    <t>Ganyklų 53</t>
  </si>
  <si>
    <t>Medvalakio 15</t>
  </si>
  <si>
    <t>S.Neries 7</t>
  </si>
  <si>
    <t>Ganyklų 41</t>
  </si>
  <si>
    <t>Janonio 28</t>
  </si>
  <si>
    <t>vidutinė lauko oro temperatūra: 5,36 °C, dienolaipsniai 210,67</t>
  </si>
  <si>
    <t>NERAVŲ 39B</t>
  </si>
  <si>
    <t>NERAVŲ 2A</t>
  </si>
  <si>
    <t>GARDINO 56A</t>
  </si>
  <si>
    <t>ŠILTNAMIŲ 18</t>
  </si>
  <si>
    <t>NERAVŲ 2B</t>
  </si>
  <si>
    <t>KLONIO 18A</t>
  </si>
  <si>
    <t>DRUSKININKŲ 9</t>
  </si>
  <si>
    <t>ŠILTNAMIŲ 22</t>
  </si>
  <si>
    <t>DRUSKININKŲ 23</t>
  </si>
  <si>
    <t>JAUNYSTĖS 20</t>
  </si>
  <si>
    <t>M.K.ČIURLIONIO 68</t>
  </si>
  <si>
    <t>VEISIEJŲ 22</t>
  </si>
  <si>
    <t>M.K.ČIURLIONIO 89</t>
  </si>
  <si>
    <t>JAUNYSTĖS 22</t>
  </si>
  <si>
    <t>NERAVŲ 39C</t>
  </si>
  <si>
    <t>MERKINĖS 9</t>
  </si>
  <si>
    <t>M.K.ČIURLIONIO 93</t>
  </si>
  <si>
    <t>M.K.ČIURLIONIO 4A</t>
  </si>
  <si>
    <t>M.K.ČIURLIONIO 20</t>
  </si>
  <si>
    <t>SVEIKATOS 32</t>
  </si>
  <si>
    <t>ANTAKALNIO 16</t>
  </si>
  <si>
    <t>VEISIEJŲ 3</t>
  </si>
  <si>
    <t>ATEITIES 30A</t>
  </si>
  <si>
    <t>VYTAUTO 15</t>
  </si>
  <si>
    <t>GARDINO 24</t>
  </si>
  <si>
    <t>GARDINO 18</t>
  </si>
  <si>
    <t>M.K.ČIURLIONIO 64</t>
  </si>
  <si>
    <t>ATEITIES 2</t>
  </si>
  <si>
    <t>BARAVYKŲ 1B</t>
  </si>
  <si>
    <t>VEISIEJŲ 7</t>
  </si>
  <si>
    <t>M.K.ČIURLIONIO 4</t>
  </si>
  <si>
    <r>
      <t xml:space="preserve">vidutinė lauko oro temperatūra: 8,3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dienolaipsniai:300,7</t>
    </r>
  </si>
  <si>
    <t>Sodų g.10-ojo NSB</t>
  </si>
  <si>
    <t>MINDAUGO 13</t>
  </si>
  <si>
    <t>V.BURBOS 2</t>
  </si>
  <si>
    <t>NAFTININKŲ 8</t>
  </si>
  <si>
    <t>TYLIOJI 22</t>
  </si>
  <si>
    <t>Laisvės g.40-ojo NSB</t>
  </si>
  <si>
    <t>MINDAUGO 12</t>
  </si>
  <si>
    <t>P.VILEIŠIO 4</t>
  </si>
  <si>
    <t>NAFTININKŲ 76</t>
  </si>
  <si>
    <t>VYŠNIŲ 42</t>
  </si>
  <si>
    <t>ŽEMAITIJOS 9</t>
  </si>
  <si>
    <t>V.BURBOS 4</t>
  </si>
  <si>
    <t>SODŲ 24</t>
  </si>
  <si>
    <t>VENTOS 45</t>
  </si>
  <si>
    <t>PAVASARIO 14</t>
  </si>
  <si>
    <t>GAMYKLOS 3</t>
  </si>
  <si>
    <t>RESPUBLIKOS 20</t>
  </si>
  <si>
    <t>GAMYKLOS 6</t>
  </si>
  <si>
    <t>P.VILEIŠIO 2</t>
  </si>
  <si>
    <t>NAFTININKŲ 16</t>
  </si>
  <si>
    <t>SEDOS 35</t>
  </si>
  <si>
    <t>PAVENČIŲ 31-ojo NSB</t>
  </si>
  <si>
    <t>BAŽNYČIOS 11</t>
  </si>
  <si>
    <t>ŽEMAITIJOS 18</t>
  </si>
  <si>
    <t>STOTIES 8</t>
  </si>
  <si>
    <t>VENTOS 87</t>
  </si>
  <si>
    <t>BAŽNYČIOS 15 Viekšniai</t>
  </si>
  <si>
    <t>ŽEMAITIJOS 24</t>
  </si>
  <si>
    <t>PAVASARIO 16</t>
  </si>
  <si>
    <t>GEDIMINO 9</t>
  </si>
  <si>
    <t>P.VILEIŠIO 3-ojo bendrija</t>
  </si>
  <si>
    <t>DRAUGYSTĖS 16</t>
  </si>
  <si>
    <t>MINDAUGO 4</t>
  </si>
  <si>
    <t>MAŽEIKIŲ 6 Viekšniai</t>
  </si>
  <si>
    <t>LAISVĖS  17</t>
  </si>
  <si>
    <t>SODŲ 11</t>
  </si>
  <si>
    <t>VASARIO 16-OSIOS 8</t>
  </si>
  <si>
    <t>P.VILEIŠIO 6</t>
  </si>
  <si>
    <t>LAISVĖS 32</t>
  </si>
  <si>
    <t>MINDAUGO 20</t>
  </si>
  <si>
    <r>
      <t xml:space="preserve">vidutinė lauko oro temperatūra: 5,7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 209,1</t>
    </r>
  </si>
  <si>
    <t>Aušros g. 89 IIk.(renov.),Utena</t>
  </si>
  <si>
    <t>Aušros g. 99(renov.), Utena</t>
  </si>
  <si>
    <t>Aukštakalnio g. 90, Utena</t>
  </si>
  <si>
    <t>Aušros g. 83, Utena</t>
  </si>
  <si>
    <t>Vaižganto g. 70, Utena</t>
  </si>
  <si>
    <t>Sėlių g. 67, Utena</t>
  </si>
  <si>
    <t>Aukštalkalnio g .72, Utena</t>
  </si>
  <si>
    <t>Aušros g .93 I k, Utena</t>
  </si>
  <si>
    <t>Vaižganto g. 60, Utena</t>
  </si>
  <si>
    <t>Aušros g. 93 IIk. Utena</t>
  </si>
  <si>
    <t>Aukštaičių g. 11, Utena</t>
  </si>
  <si>
    <t>Užpalių g. 68, Utena</t>
  </si>
  <si>
    <t>Aušros g. 69 IIk, Utena</t>
  </si>
  <si>
    <t>Taikos g. 7, Utena</t>
  </si>
  <si>
    <t>Taikos g. 50, Utena</t>
  </si>
  <si>
    <t>Aukštakalnio g. 6,8, Utena</t>
  </si>
  <si>
    <t>Basanavičiaus g. 110b, Utena</t>
  </si>
  <si>
    <t>Kęstučio g. 9, Utena</t>
  </si>
  <si>
    <t>Taikos g. 86, Utena</t>
  </si>
  <si>
    <t>Kęstučio g. 6, Utena</t>
  </si>
  <si>
    <t>Utenio a. 5, Utena</t>
  </si>
  <si>
    <t>Taikos g. 84, Utena</t>
  </si>
  <si>
    <t>Taikos g. 63, Utena</t>
  </si>
  <si>
    <t>Užpalių g. 101, Utena</t>
  </si>
  <si>
    <t>Taikos g. 90, Utena</t>
  </si>
  <si>
    <t>Užpalių g. 88, Utena</t>
  </si>
  <si>
    <t>Basanavičiaus g. 110a, Utena</t>
  </si>
  <si>
    <t>Donelaičio g. 12, Utena</t>
  </si>
  <si>
    <t>Bažnyčios g. 4, Utena</t>
  </si>
  <si>
    <t>Vaišvilos 9 ( renov.)</t>
  </si>
  <si>
    <t>Jucio 30 ( renov.)</t>
  </si>
  <si>
    <t>Vaišvilos 25 ( renov.)</t>
  </si>
  <si>
    <t>Gandingos 10</t>
  </si>
  <si>
    <t>A.Jucio 28</t>
  </si>
  <si>
    <t>Gandingos 12</t>
  </si>
  <si>
    <t>Senamiesčio 2</t>
  </si>
  <si>
    <t>Dariaus ir Girėno 51</t>
  </si>
  <si>
    <r>
      <t xml:space="preserve">vidutinė lauko oro temperatūra: 6,1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C; dienolaipsniai 252,88</t>
    </r>
  </si>
  <si>
    <t>vidutinė lauko oro temperatūra: 7,5°C; dienolaipsniai 325,5</t>
  </si>
  <si>
    <t>Jaunystės 35 /renovuotas/</t>
  </si>
  <si>
    <t>Jaunystės 20 /renovuotas/</t>
  </si>
  <si>
    <t>Jaunystės 31</t>
  </si>
  <si>
    <t>Laisvės al. 38</t>
  </si>
  <si>
    <t>Kęstučio 11a</t>
  </si>
  <si>
    <t>Jaunystės 37</t>
  </si>
  <si>
    <t>Jaunystės 20</t>
  </si>
  <si>
    <t>Maironio 6</t>
  </si>
  <si>
    <t>Maironio 11a</t>
  </si>
  <si>
    <t>Naujoji 8</t>
  </si>
  <si>
    <t>Jaunystės 18</t>
  </si>
  <si>
    <t>Naujoji 2</t>
  </si>
  <si>
    <t>Dariaus ir Girėno 30b</t>
  </si>
  <si>
    <t>marijošiaus 1</t>
  </si>
  <si>
    <t>vidutinė lauko oro temperatūra: 6,4 °C; dienolaipsniai 197</t>
  </si>
  <si>
    <t>Dariaus ir Girėno g. 26A</t>
  </si>
  <si>
    <t>Vytauto g. 4B</t>
  </si>
  <si>
    <t>Dariaus ir Girėno g. 38</t>
  </si>
  <si>
    <t>Dariaus ir Girėno g. 16A</t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</si>
  <si>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</si>
  <si>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</si>
  <si>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</si>
  <si>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</si>
  <si>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</si>
  <si>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</si>
  <si>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</si>
  <si>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r>
      <t xml:space="preserve">Gedimino g. 8 </t>
    </r>
    <r>
      <rPr>
        <sz val="8"/>
        <color indexed="10"/>
        <rFont val="Arial"/>
        <family val="2"/>
      </rPr>
      <t>(</t>
    </r>
    <r>
      <rPr>
        <i/>
        <sz val="8"/>
        <color indexed="10"/>
        <rFont val="Arial"/>
        <family val="2"/>
      </rPr>
      <t>dalinai renov.)</t>
    </r>
  </si>
  <si>
    <r>
      <t xml:space="preserve">Dariaus ir Girėno g. 18 </t>
    </r>
    <r>
      <rPr>
        <i/>
        <sz val="8"/>
        <color indexed="10"/>
        <rFont val="Arial"/>
        <family val="2"/>
      </rPr>
      <t>(renov.)</t>
    </r>
  </si>
  <si>
    <r>
      <t xml:space="preserve">Vytauto g. 75 </t>
    </r>
    <r>
      <rPr>
        <i/>
        <sz val="8"/>
        <color indexed="10"/>
        <rFont val="Arial"/>
        <family val="2"/>
      </rPr>
      <t>(renov.)</t>
    </r>
  </si>
  <si>
    <t>vidutinė lauko oro temperatūra: 6,8 °C; dienolaipsniai 347,2</t>
  </si>
  <si>
    <t>Marcinkonių g. 12</t>
  </si>
  <si>
    <t>Naujųjų Valkininkų 2</t>
  </si>
  <si>
    <t>M.K.Čiurlionio g. 55</t>
  </si>
  <si>
    <t>Dzūkų g. 3</t>
  </si>
  <si>
    <t>Aušros g. 13</t>
  </si>
  <si>
    <t>Vytauto g. 42</t>
  </si>
  <si>
    <t>Aušros g. 1</t>
  </si>
  <si>
    <t>Vytauto g. 48</t>
  </si>
  <si>
    <t>Z.Voronecko g. 6</t>
  </si>
  <si>
    <t>Vytauto g. 44</t>
  </si>
  <si>
    <t>Savanorių g. 18</t>
  </si>
  <si>
    <t>Savanorių g. 22</t>
  </si>
  <si>
    <t>Vytauto g. 32</t>
  </si>
  <si>
    <t>Kalno g. 9, Matuizos</t>
  </si>
  <si>
    <t>Kalno g. 17, Matuizos</t>
  </si>
  <si>
    <t>J.Basanavičiaus g. 1A</t>
  </si>
  <si>
    <t>Vytauto g. 25</t>
  </si>
  <si>
    <t>Kalno g. 29, Matuizos</t>
  </si>
  <si>
    <t>Kalno g. 19, Matuizos</t>
  </si>
  <si>
    <t>Kalno g. 3, Matuizos</t>
  </si>
  <si>
    <t>Kalno g. 5, Matuizos</t>
  </si>
  <si>
    <t>Vasario 16-osios g. 11</t>
  </si>
  <si>
    <t>M.K.Čiurlionio g. 70</t>
  </si>
  <si>
    <t>Kalno g. 1, Matuizos</t>
  </si>
  <si>
    <t>Birutės g. 10, Kaišiadorys</t>
  </si>
  <si>
    <t>iki 1992m.</t>
  </si>
  <si>
    <t>Parko g. 8, Stasiūnai</t>
  </si>
  <si>
    <t>Rožių g. 1, Žiežmariai</t>
  </si>
  <si>
    <t>Žąslių g. 62A, Žiežmariai</t>
  </si>
  <si>
    <t>Parko g. 6, Stasiūnai</t>
  </si>
  <si>
    <t>vidutinė lauko oro temperatūra: 6,02 °C; dienolaipsniai 251,58</t>
  </si>
  <si>
    <t>Sodų 8</t>
  </si>
  <si>
    <t>Sodų 11</t>
  </si>
  <si>
    <t>Taikos 5</t>
  </si>
  <si>
    <t>Šarkinės 15</t>
  </si>
  <si>
    <t>Trakų 16</t>
  </si>
  <si>
    <t>Draugystės 12</t>
  </si>
  <si>
    <t>Šviesos 18</t>
  </si>
  <si>
    <t>Pergalės 3</t>
  </si>
  <si>
    <t>Saulės 8</t>
  </si>
  <si>
    <t>Pergalės 53</t>
  </si>
  <si>
    <t>Saulės 22</t>
  </si>
  <si>
    <t>Šarkinės 13</t>
  </si>
  <si>
    <t>Pergalės 23</t>
  </si>
  <si>
    <t>Saulės 7</t>
  </si>
  <si>
    <t>Saulės 23</t>
  </si>
  <si>
    <t>Saulės 6</t>
  </si>
  <si>
    <t>Trakų 17</t>
  </si>
  <si>
    <t>Šviesos 4</t>
  </si>
  <si>
    <t>Trakų 29</t>
  </si>
  <si>
    <t>Draugystės 25</t>
  </si>
  <si>
    <t>Trakų 11</t>
  </si>
  <si>
    <t>Trakų 10</t>
  </si>
  <si>
    <r>
      <t xml:space="preserve">vidutinė lauko oro temperatūra: 7,2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194</t>
    </r>
  </si>
  <si>
    <r>
      <rPr>
        <b/>
        <sz val="8"/>
        <rFont val="Arial"/>
        <family val="2"/>
      </rP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</si>
  <si>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Turistų g. 49, Ignalina</t>
  </si>
  <si>
    <t>Aukštaičių g. 32, Ignalina</t>
  </si>
  <si>
    <t>Ateities g. 22, Ignalina</t>
  </si>
  <si>
    <t>Ateities g. 35, Ignalina</t>
  </si>
  <si>
    <t>Ateities g. 10, Ignalina</t>
  </si>
  <si>
    <t>Smėlio g. 26, Ignalina</t>
  </si>
  <si>
    <t>Ateities g. 11a, Ignalina</t>
  </si>
  <si>
    <t>Turistų g.11a, Ignalina</t>
  </si>
  <si>
    <t xml:space="preserve">Melioratorių g. 4, Vidiškių k. Ignalinos raj. </t>
  </si>
  <si>
    <t xml:space="preserve">Sodų g. 1, Vidiškių k. , Ignalinos raj. </t>
  </si>
  <si>
    <t>vidutinė lauko oro temperatūra: 6,4 °C, dienolaipsniai 197,2</t>
  </si>
  <si>
    <r>
      <t xml:space="preserve">vidutinė lauko oro temperatūra: 3,3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147</t>
    </r>
  </si>
  <si>
    <t>Statybininkų 19, Prienai(ren.)</t>
  </si>
  <si>
    <t>Birutės 4, Prienai</t>
  </si>
  <si>
    <t>Jaunimo 13, Balbieriškis</t>
  </si>
  <si>
    <t>Parko 12, Balbieriškis</t>
  </si>
  <si>
    <t>Kęstučio 5, Prienai(renov.)</t>
  </si>
  <si>
    <t>Parko 10, Balbieriškis</t>
  </si>
  <si>
    <t>Stadiono 24A ,Prienai</t>
  </si>
  <si>
    <t>Jaunimo 17, Balbieriškis</t>
  </si>
  <si>
    <t>Stadiono 8 1L.,Prienai</t>
  </si>
  <si>
    <t>Kęstučio 73, Prienai</t>
  </si>
  <si>
    <t>Statybininkų 9 1L.,Prienai</t>
  </si>
  <si>
    <t>Basanavičiaus 15, Prienai</t>
  </si>
  <si>
    <t>Stadiono 4 1L.,Prienai</t>
  </si>
  <si>
    <t>Vaitkaus 12, Prienai</t>
  </si>
  <si>
    <t>Basanavičiaus 19, Prienai</t>
  </si>
  <si>
    <t>Jaunimo 19, Balbieriškis</t>
  </si>
  <si>
    <t>Vytauto 14, Prienai</t>
  </si>
  <si>
    <t>Basanavičiaus 20A, Prienai</t>
  </si>
  <si>
    <t>Stadiono 8 3L.,Prienai</t>
  </si>
  <si>
    <t>Stadiono 14 2L.,Prienai</t>
  </si>
  <si>
    <t>Vytauto 13, Prienai</t>
  </si>
  <si>
    <t>Stadiono 20 3L.,Prienai</t>
  </si>
  <si>
    <t>Brundzos 6,Prienai</t>
  </si>
  <si>
    <t>Vytauto 36, Prienai</t>
  </si>
  <si>
    <t>Vytauto 25, Prienai</t>
  </si>
  <si>
    <t>Brundzos 8,Prienai</t>
  </si>
  <si>
    <t>Brundzos 7,Prienai</t>
  </si>
  <si>
    <t>Janonio 5, Prienai</t>
  </si>
  <si>
    <t>Brundzos 10,Prienai</t>
  </si>
  <si>
    <t>Laisvės a.3/14,Prienai</t>
  </si>
  <si>
    <t>vidutinė lauko oro temperatūra: 6,4 °C, dienolaipsniai 185,6</t>
  </si>
  <si>
    <t>Stadiono 13 Akmenė (renov.)</t>
  </si>
  <si>
    <t>Stadiono 7 Akmenė (renov.)</t>
  </si>
  <si>
    <t>Ramučių 39 Naujoji Akmenė (renov.)</t>
  </si>
  <si>
    <t>Nepriklausomybės 18 Naujoji Akmenė (renov.)</t>
  </si>
  <si>
    <t>Nepriklausomybės 27A Naujoji Akmenė (renov.)</t>
  </si>
  <si>
    <t>Nepriklausomybės 8 Naujoji Akmenė (renov.)</t>
  </si>
  <si>
    <t>Nepriklausomybės 12 Naujoji Akmenė (renov.)</t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</si>
  <si>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</si>
  <si>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t>Žemaičių 45, Venta</t>
  </si>
  <si>
    <t>Ramučių 38 Naujoji Akmenė</t>
  </si>
  <si>
    <t>V.Kudirkos 22 Naujoji Akmenė</t>
  </si>
  <si>
    <t>Respublikos 21 Naujoji Akmenė</t>
  </si>
  <si>
    <t>L. Pelėdos 11 Naujoji Akmenė</t>
  </si>
  <si>
    <t>Bausko 5 Venta</t>
  </si>
  <si>
    <t>Žalgirio 27 Naujoji Akmenė</t>
  </si>
  <si>
    <t>Bausko 3 Venta</t>
  </si>
  <si>
    <r>
      <rPr>
        <b/>
        <sz val="8"/>
        <rFont val="Arial"/>
        <family val="2"/>
      </rPr>
      <t>IV</t>
    </r>
    <r>
      <rPr>
        <sz val="8"/>
        <rFont val="Arial"/>
        <family val="2"/>
      </rPr>
      <t>. Daugiaubučiai suvartojantys labai daug šilumos (senos statybos, labai prastos šiluminės izoliacijos namai)</t>
    </r>
  </si>
  <si>
    <t>vidutinė lauko oro temperatūra: 6,5 °C, dienolaipsniai 230</t>
  </si>
  <si>
    <t>Vytauto 7, Lentvaris</t>
  </si>
  <si>
    <t xml:space="preserve">       -</t>
  </si>
  <si>
    <t>Karaimų 24, Trakai</t>
  </si>
  <si>
    <t>Birutės 29, Trakai</t>
  </si>
  <si>
    <t>Vienuolyno 11A, Trakai</t>
  </si>
  <si>
    <t>Klevų al. 59, Lentvais</t>
  </si>
  <si>
    <t>Ežero 8, Lentvaris</t>
  </si>
  <si>
    <t>Ežero 5, Lentvaris</t>
  </si>
  <si>
    <t>Sodų 23A, Lentvaris</t>
  </si>
  <si>
    <t xml:space="preserve">      -</t>
  </si>
  <si>
    <t>Mindaugo 1A, Trakai</t>
  </si>
  <si>
    <t>Mindaugo 22, Trakai</t>
  </si>
  <si>
    <t>Vienuolyno 11, Trakai</t>
  </si>
  <si>
    <t>Mindaugo 18, Trakai</t>
  </si>
  <si>
    <t>Ežero 12, Lentvaris</t>
  </si>
  <si>
    <t>Birutės 43, Trakai</t>
  </si>
  <si>
    <t>Ežero 5A, Lentvaris</t>
  </si>
  <si>
    <t>Ežero 3A, Lentvaris</t>
  </si>
  <si>
    <t>Geležinkelio 28, Lentvaris</t>
  </si>
  <si>
    <t>N.Sodybos 38, Lentvaris</t>
  </si>
  <si>
    <t xml:space="preserve">  -</t>
  </si>
  <si>
    <t>N.Sodybos 27, Lentvaris</t>
  </si>
  <si>
    <t>Klevų al. 34, Lentvaris</t>
  </si>
  <si>
    <t>Ežero 6, Lentvaris</t>
  </si>
  <si>
    <t>Mindaugo 6, Trakai</t>
  </si>
  <si>
    <t>Birutės 45, Trakai</t>
  </si>
  <si>
    <t>Mindaugo 4, Trakai</t>
  </si>
  <si>
    <t>Mindaugo 16, Trakai</t>
  </si>
  <si>
    <t>Konduktorių 6A, Lentvaris</t>
  </si>
  <si>
    <t>Mindaugo 11B, Lentvaris</t>
  </si>
  <si>
    <t>Pakalnės 23, Lentvaris</t>
  </si>
  <si>
    <t>Kilimų 6, Lentvaris</t>
  </si>
  <si>
    <t>Mindaugo 20, Trakai</t>
  </si>
  <si>
    <t>vidutinė lauko oro temperatūra: 6,3 °C, dienolaispniai: 198,8</t>
  </si>
  <si>
    <t>D.Poškos g.</t>
  </si>
  <si>
    <t>J.Basanavičiausd g.18</t>
  </si>
  <si>
    <t>Kovo 11-osios g.2</t>
  </si>
  <si>
    <t>Dariaus ir Girėno g.51</t>
  </si>
  <si>
    <t>Dariaus ir Girėno g.59</t>
  </si>
  <si>
    <t>vidutinė lauko oro temperatūra: 1,88 °C, dienolaipsniai 145,1</t>
  </si>
  <si>
    <t>Basanavičiaus g.48</t>
  </si>
  <si>
    <t>Basanavičiaus g. 50</t>
  </si>
  <si>
    <t>Biliūno g.8</t>
  </si>
  <si>
    <t>Biliūno g.10</t>
  </si>
  <si>
    <t>Dariaus ir Girėno g.5</t>
  </si>
  <si>
    <t>Statybininkų g.19</t>
  </si>
  <si>
    <t>Statybininkų g. 23</t>
  </si>
  <si>
    <t>Biliūno g.20</t>
  </si>
  <si>
    <t>Statybininkų g. 21</t>
  </si>
  <si>
    <t>Basanavičiaus g. 60</t>
  </si>
  <si>
    <t xml:space="preserve">vidutinė lauko oro temperatūra: 7,5 °C, dienolaipsniai </t>
  </si>
  <si>
    <t>Pergalės 4, Pakruojis</t>
  </si>
  <si>
    <t>P.Mašioto 53, Pakruojis</t>
  </si>
  <si>
    <t>P.Mašioto 43B, Pakruojis</t>
  </si>
  <si>
    <t>Dariaus ir Girėno 51, Pakruojis</t>
  </si>
  <si>
    <t>P.Mašioto 51, Pakruojis</t>
  </si>
  <si>
    <t>Kęstučio 1, Pakruojis</t>
  </si>
  <si>
    <t>P.Mašioto 65, Pakruojis</t>
  </si>
  <si>
    <t>P.Mašioto 37, Pakruojis</t>
  </si>
  <si>
    <t>Pergalės 14, Pakruojis</t>
  </si>
  <si>
    <t>P.Mašioto 41, Pakruojis</t>
  </si>
  <si>
    <t>P.Mašioto 61, Pakruojis</t>
  </si>
  <si>
    <t>Kruojos 8, Pakruojis</t>
  </si>
  <si>
    <t>S.Ušinsko 31A, Pakruojis</t>
  </si>
  <si>
    <t>Saulėtekio 40B, Pakruojis</t>
  </si>
  <si>
    <t>Vilniaus 31, Pakruojis</t>
  </si>
  <si>
    <t>Vilniaus 28, Pakruojis</t>
  </si>
  <si>
    <t>V.Didžiojo 27, Pakruojis</t>
  </si>
  <si>
    <t>Saulėtekio 46, Pakruojis</t>
  </si>
  <si>
    <t>Taikos 18A, Pakruojis</t>
  </si>
  <si>
    <t>l.Giros 8, Pakruojis</t>
  </si>
  <si>
    <t>Mažoji 1, Pakruojo k.</t>
  </si>
  <si>
    <t>V.Didžiojo 35, Pakruojis</t>
  </si>
  <si>
    <t>Vasario 16-osios 13,Pakruojis</t>
  </si>
  <si>
    <t>Kęstučio 8, Pakruojis</t>
  </si>
  <si>
    <t>Vasario 16-osios 15,Pakruojis</t>
  </si>
  <si>
    <t>S.Ušinsko 22, Pakruojis</t>
  </si>
  <si>
    <t>Vilniaus 34, Pakruojis</t>
  </si>
  <si>
    <t>Taikos 26, Pakruojis</t>
  </si>
  <si>
    <t>Pakruojis (UAB „Pakruojo šiluma")</t>
  </si>
  <si>
    <t>Raseiniai (UAB „Raseinių šilumos tinklai")</t>
  </si>
  <si>
    <t>vidutinė lauko oro temperatūra: 5,8°C, dienolaipsniai 231,8</t>
  </si>
  <si>
    <t>Algirdo 27</t>
  </si>
  <si>
    <t>Vaižganto 5A</t>
  </si>
  <si>
    <t>Vytauto Didžiojo 41</t>
  </si>
  <si>
    <t>Ateities 19</t>
  </si>
  <si>
    <t>Algirdo 25</t>
  </si>
  <si>
    <t>Vytauto Didžiojo 31</t>
  </si>
  <si>
    <t>Dariaus ir Girėno 23</t>
  </si>
  <si>
    <t>Dariaus ir Girėno 28</t>
  </si>
  <si>
    <t>Dubysos 3</t>
  </si>
  <si>
    <t>Stonų 3</t>
  </si>
  <si>
    <t>Algirdo 29</t>
  </si>
  <si>
    <t>Dubysos 16</t>
  </si>
  <si>
    <t>Rytų 4</t>
  </si>
  <si>
    <t>Dubysos 1</t>
  </si>
  <si>
    <t xml:space="preserve">Jaunimo 14 </t>
  </si>
  <si>
    <t>V.Kudirkos 11</t>
  </si>
  <si>
    <t>Vaižganto 1</t>
  </si>
  <si>
    <t>Rytų 2</t>
  </si>
  <si>
    <t>Jaunimo 12</t>
  </si>
  <si>
    <t>Dominikonų 4</t>
  </si>
  <si>
    <t>Muziejaus 6</t>
  </si>
  <si>
    <t>Dariaus ir Girėno 26</t>
  </si>
  <si>
    <t>iki1960</t>
  </si>
  <si>
    <t>V.Kudirkos 9</t>
  </si>
  <si>
    <t>Vytauto Didžiojo 3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</si>
</sst>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000\ _L_t"/>
    <numFmt numFmtId="175" formatCode="#,##0.00000\ _L_t"/>
  </numFmts>
  <fonts count="5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vertAlign val="superscript"/>
      <sz val="10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FF"/>
      <name val="Arial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13" borderId="21" xfId="0" applyFont="1" applyFill="1" applyBorder="1" applyAlignment="1">
      <alignment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167" fontId="1" fillId="34" borderId="23" xfId="0" applyNumberFormat="1" applyFont="1" applyFill="1" applyBorder="1" applyAlignment="1">
      <alignment/>
    </xf>
    <xf numFmtId="2" fontId="1" fillId="34" borderId="26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/>
    </xf>
    <xf numFmtId="167" fontId="1" fillId="34" borderId="10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/>
    </xf>
    <xf numFmtId="0" fontId="1" fillId="34" borderId="23" xfId="0" applyFont="1" applyFill="1" applyBorder="1" applyAlignment="1">
      <alignment/>
    </xf>
    <xf numFmtId="2" fontId="1" fillId="34" borderId="23" xfId="0" applyNumberFormat="1" applyFont="1" applyFill="1" applyBorder="1" applyAlignment="1">
      <alignment horizontal="right"/>
    </xf>
    <xf numFmtId="167" fontId="1" fillId="34" borderId="23" xfId="0" applyNumberFormat="1" applyFont="1" applyFill="1" applyBorder="1" applyAlignment="1">
      <alignment horizontal="right"/>
    </xf>
    <xf numFmtId="2" fontId="1" fillId="34" borderId="26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/>
    </xf>
    <xf numFmtId="2" fontId="1" fillId="34" borderId="3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left" indent="3"/>
    </xf>
    <xf numFmtId="2" fontId="1" fillId="34" borderId="30" xfId="0" applyNumberFormat="1" applyFont="1" applyFill="1" applyBorder="1" applyAlignment="1">
      <alignment horizontal="left" indent="3"/>
    </xf>
    <xf numFmtId="2" fontId="1" fillId="34" borderId="25" xfId="0" applyNumberFormat="1" applyFont="1" applyFill="1" applyBorder="1" applyAlignment="1">
      <alignment horizontal="left" indent="3"/>
    </xf>
    <xf numFmtId="0" fontId="1" fillId="34" borderId="30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 horizontal="left" indent="3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167" fontId="1" fillId="34" borderId="2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13" borderId="23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2" fontId="1" fillId="34" borderId="26" xfId="0" applyNumberFormat="1" applyFont="1" applyFill="1" applyBorder="1" applyAlignment="1">
      <alignment horizontal="right"/>
    </xf>
    <xf numFmtId="1" fontId="1" fillId="34" borderId="2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1" fillId="13" borderId="10" xfId="0" applyNumberFormat="1" applyFont="1" applyFill="1" applyBorder="1" applyAlignment="1">
      <alignment/>
    </xf>
    <xf numFmtId="0" fontId="1" fillId="13" borderId="28" xfId="0" applyFont="1" applyFill="1" applyBorder="1" applyAlignment="1">
      <alignment/>
    </xf>
    <xf numFmtId="1" fontId="1" fillId="13" borderId="10" xfId="0" applyNumberFormat="1" applyFont="1" applyFill="1" applyBorder="1" applyAlignment="1">
      <alignment/>
    </xf>
    <xf numFmtId="167" fontId="1" fillId="13" borderId="10" xfId="0" applyNumberFormat="1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1" fillId="1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wrapText="1"/>
    </xf>
    <xf numFmtId="166" fontId="1" fillId="13" borderId="28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/>
    </xf>
    <xf numFmtId="166" fontId="1" fillId="33" borderId="10" xfId="0" applyNumberFormat="1" applyFont="1" applyFill="1" applyBorder="1" applyAlignment="1">
      <alignment vertical="top"/>
    </xf>
    <xf numFmtId="0" fontId="1" fillId="33" borderId="23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" fillId="33" borderId="28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1" fontId="1" fillId="33" borderId="10" xfId="0" applyNumberFormat="1" applyFont="1" applyFill="1" applyBorder="1" applyAlignment="1">
      <alignment horizontal="center" vertical="top"/>
    </xf>
    <xf numFmtId="0" fontId="1" fillId="13" borderId="10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" fontId="10" fillId="34" borderId="23" xfId="0" applyNumberFormat="1" applyFont="1" applyFill="1" applyBorder="1" applyAlignment="1">
      <alignment horizontal="right"/>
    </xf>
    <xf numFmtId="1" fontId="1" fillId="13" borderId="10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center" vertical="top"/>
    </xf>
    <xf numFmtId="1" fontId="1" fillId="13" borderId="28" xfId="0" applyNumberFormat="1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1" fillId="13" borderId="33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center" vertical="center"/>
    </xf>
    <xf numFmtId="167" fontId="1" fillId="35" borderId="10" xfId="0" applyNumberFormat="1" applyFont="1" applyFill="1" applyBorder="1" applyAlignment="1">
      <alignment horizontal="center" vertical="center"/>
    </xf>
    <xf numFmtId="2" fontId="1" fillId="35" borderId="25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/>
    </xf>
    <xf numFmtId="167" fontId="1" fillId="35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167" fontId="1" fillId="33" borderId="23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 vertical="center"/>
    </xf>
    <xf numFmtId="167" fontId="1" fillId="13" borderId="21" xfId="0" applyNumberFormat="1" applyFont="1" applyFill="1" applyBorder="1" applyAlignment="1">
      <alignment horizontal="center" vertical="center"/>
    </xf>
    <xf numFmtId="2" fontId="1" fillId="13" borderId="34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167" fontId="1" fillId="13" borderId="10" xfId="0" applyNumberFormat="1" applyFont="1" applyFill="1" applyBorder="1" applyAlignment="1">
      <alignment horizontal="center" vertical="center"/>
    </xf>
    <xf numFmtId="2" fontId="1" fillId="13" borderId="25" xfId="0" applyNumberFormat="1" applyFont="1" applyFill="1" applyBorder="1" applyAlignment="1">
      <alignment horizontal="center" vertical="center"/>
    </xf>
    <xf numFmtId="2" fontId="1" fillId="34" borderId="21" xfId="0" applyNumberFormat="1" applyFont="1" applyFill="1" applyBorder="1" applyAlignment="1">
      <alignment horizontal="center" vertical="center"/>
    </xf>
    <xf numFmtId="167" fontId="1" fillId="34" borderId="21" xfId="0" applyNumberFormat="1" applyFont="1" applyFill="1" applyBorder="1" applyAlignment="1">
      <alignment horizontal="center" vertical="center"/>
    </xf>
    <xf numFmtId="2" fontId="1" fillId="34" borderId="34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67" fontId="1" fillId="34" borderId="10" xfId="0" applyNumberFormat="1" applyFont="1" applyFill="1" applyBorder="1" applyAlignment="1">
      <alignment horizontal="center" vertical="center"/>
    </xf>
    <xf numFmtId="2" fontId="1" fillId="34" borderId="25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2" fontId="1" fillId="34" borderId="23" xfId="0" applyNumberFormat="1" applyFont="1" applyFill="1" applyBorder="1" applyAlignment="1">
      <alignment horizontal="center" vertical="center"/>
    </xf>
    <xf numFmtId="167" fontId="1" fillId="34" borderId="23" xfId="0" applyNumberFormat="1" applyFont="1" applyFill="1" applyBorder="1" applyAlignment="1">
      <alignment horizontal="center" vertical="center"/>
    </xf>
    <xf numFmtId="2" fontId="1" fillId="34" borderId="26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/>
    </xf>
    <xf numFmtId="167" fontId="1" fillId="13" borderId="28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 horizontal="center" vertical="center"/>
      <protection locked="0"/>
    </xf>
    <xf numFmtId="167" fontId="1" fillId="35" borderId="10" xfId="0" applyNumberFormat="1" applyFont="1" applyFill="1" applyBorder="1" applyAlignment="1" applyProtection="1">
      <alignment horizontal="center" vertical="center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2" fontId="1" fillId="35" borderId="25" xfId="0" applyNumberFormat="1" applyFont="1" applyFill="1" applyBorder="1" applyAlignment="1" applyProtection="1">
      <alignment horizontal="center" vertical="center"/>
      <protection/>
    </xf>
    <xf numFmtId="2" fontId="1" fillId="35" borderId="23" xfId="0" applyNumberFormat="1" applyFont="1" applyFill="1" applyBorder="1" applyAlignment="1" applyProtection="1">
      <alignment horizontal="center" vertical="center"/>
      <protection locked="0"/>
    </xf>
    <xf numFmtId="167" fontId="1" fillId="35" borderId="23" xfId="0" applyNumberFormat="1" applyFont="1" applyFill="1" applyBorder="1" applyAlignment="1" applyProtection="1">
      <alignment horizontal="center" vertical="center"/>
      <protection/>
    </xf>
    <xf numFmtId="2" fontId="1" fillId="35" borderId="23" xfId="0" applyNumberFormat="1" applyFont="1" applyFill="1" applyBorder="1" applyAlignment="1" applyProtection="1">
      <alignment horizontal="center" vertical="center"/>
      <protection/>
    </xf>
    <xf numFmtId="2" fontId="1" fillId="35" borderId="26" xfId="0" applyNumberFormat="1" applyFont="1" applyFill="1" applyBorder="1" applyAlignment="1" applyProtection="1">
      <alignment horizontal="center" vertical="center"/>
      <protection/>
    </xf>
    <xf numFmtId="0" fontId="1" fillId="13" borderId="28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13" borderId="23" xfId="0" applyFont="1" applyFill="1" applyBorder="1" applyAlignment="1" applyProtection="1">
      <alignment horizontal="center"/>
      <protection locked="0"/>
    </xf>
    <xf numFmtId="165" fontId="1" fillId="13" borderId="23" xfId="0" applyNumberFormat="1" applyFont="1" applyFill="1" applyBorder="1" applyAlignment="1" applyProtection="1">
      <alignment horizontal="center" vertical="center"/>
      <protection locked="0"/>
    </xf>
    <xf numFmtId="2" fontId="1" fillId="13" borderId="23" xfId="0" applyNumberFormat="1" applyFont="1" applyFill="1" applyBorder="1" applyAlignment="1" applyProtection="1">
      <alignment horizontal="center" vertical="center"/>
      <protection locked="0"/>
    </xf>
    <xf numFmtId="167" fontId="1" fillId="13" borderId="23" xfId="0" applyNumberFormat="1" applyFont="1" applyFill="1" applyBorder="1" applyAlignment="1" applyProtection="1">
      <alignment horizontal="center" vertical="center"/>
      <protection/>
    </xf>
    <xf numFmtId="0" fontId="1" fillId="36" borderId="28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36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59" applyFont="1" applyFill="1" applyBorder="1" applyAlignment="1" applyProtection="1">
      <alignment horizontal="center" vertical="center"/>
      <protection locked="0"/>
    </xf>
    <xf numFmtId="4" fontId="10" fillId="36" borderId="10" xfId="60" applyNumberFormat="1" applyFont="1" applyFill="1" applyBorder="1" applyAlignment="1" applyProtection="1">
      <alignment horizontal="center" vertical="top" wrapText="1"/>
      <protection locked="0"/>
    </xf>
    <xf numFmtId="4" fontId="10" fillId="36" borderId="10" xfId="60" applyNumberFormat="1" applyFont="1" applyFill="1" applyBorder="1" applyAlignment="1" applyProtection="1">
      <alignment horizontal="center" vertical="center" wrapText="1"/>
      <protection locked="0"/>
    </xf>
    <xf numFmtId="167" fontId="1" fillId="35" borderId="10" xfId="0" applyNumberFormat="1" applyFont="1" applyFill="1" applyBorder="1" applyAlignment="1" applyProtection="1">
      <alignment horizontal="center"/>
      <protection/>
    </xf>
    <xf numFmtId="167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3" borderId="25" xfId="0" applyNumberFormat="1" applyFont="1" applyFill="1" applyBorder="1" applyAlignment="1" applyProtection="1">
      <alignment horizontal="center"/>
      <protection/>
    </xf>
    <xf numFmtId="167" fontId="1" fillId="13" borderId="21" xfId="0" applyNumberFormat="1" applyFont="1" applyFill="1" applyBorder="1" applyAlignment="1" applyProtection="1">
      <alignment horizontal="center"/>
      <protection/>
    </xf>
    <xf numFmtId="2" fontId="1" fillId="13" borderId="21" xfId="0" applyNumberFormat="1" applyFont="1" applyFill="1" applyBorder="1" applyAlignment="1" applyProtection="1">
      <alignment horizontal="center"/>
      <protection locked="0"/>
    </xf>
    <xf numFmtId="2" fontId="1" fillId="13" borderId="21" xfId="0" applyNumberFormat="1" applyFont="1" applyFill="1" applyBorder="1" applyAlignment="1" applyProtection="1">
      <alignment horizontal="center"/>
      <protection/>
    </xf>
    <xf numFmtId="2" fontId="1" fillId="13" borderId="34" xfId="0" applyNumberFormat="1" applyFont="1" applyFill="1" applyBorder="1" applyAlignment="1" applyProtection="1">
      <alignment horizontal="center"/>
      <protection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/>
    </xf>
    <xf numFmtId="2" fontId="1" fillId="13" borderId="25" xfId="0" applyNumberFormat="1" applyFont="1" applyFill="1" applyBorder="1" applyAlignment="1" applyProtection="1">
      <alignment horizontal="center"/>
      <protection/>
    </xf>
    <xf numFmtId="0" fontId="1" fillId="36" borderId="23" xfId="59" applyNumberFormat="1" applyFont="1" applyFill="1" applyBorder="1" applyAlignment="1" applyProtection="1">
      <alignment horizontal="center" vertical="center" wrapText="1"/>
      <protection locked="0"/>
    </xf>
    <xf numFmtId="0" fontId="1" fillId="36" borderId="23" xfId="59" applyFont="1" applyFill="1" applyBorder="1" applyAlignment="1" applyProtection="1">
      <alignment horizontal="center" vertical="center"/>
      <protection locked="0"/>
    </xf>
    <xf numFmtId="4" fontId="10" fillId="36" borderId="23" xfId="60" applyNumberFormat="1" applyFont="1" applyFill="1" applyBorder="1" applyAlignment="1" applyProtection="1">
      <alignment horizontal="center" vertical="top" wrapText="1"/>
      <protection locked="0"/>
    </xf>
    <xf numFmtId="4" fontId="10" fillId="36" borderId="23" xfId="60" applyNumberFormat="1" applyFont="1" applyFill="1" applyBorder="1" applyAlignment="1" applyProtection="1">
      <alignment horizontal="center" vertical="center" wrapText="1"/>
      <protection locked="0"/>
    </xf>
    <xf numFmtId="167" fontId="1" fillId="34" borderId="21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 locked="0"/>
    </xf>
    <xf numFmtId="2" fontId="1" fillId="34" borderId="21" xfId="0" applyNumberFormat="1" applyFont="1" applyFill="1" applyBorder="1" applyAlignment="1" applyProtection="1">
      <alignment horizontal="center"/>
      <protection/>
    </xf>
    <xf numFmtId="2" fontId="1" fillId="34" borderId="34" xfId="0" applyNumberFormat="1" applyFont="1" applyFill="1" applyBorder="1" applyAlignment="1" applyProtection="1">
      <alignment horizontal="center"/>
      <protection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25" xfId="0" applyNumberFormat="1" applyFont="1" applyFill="1" applyBorder="1" applyAlignment="1" applyProtection="1">
      <alignment horizontal="center"/>
      <protection/>
    </xf>
    <xf numFmtId="167" fontId="1" fillId="36" borderId="23" xfId="0" applyNumberFormat="1" applyFont="1" applyFill="1" applyBorder="1" applyAlignment="1" applyProtection="1">
      <alignment horizontal="center"/>
      <protection/>
    </xf>
    <xf numFmtId="2" fontId="1" fillId="36" borderId="23" xfId="0" applyNumberFormat="1" applyFont="1" applyFill="1" applyBorder="1" applyAlignment="1" applyProtection="1">
      <alignment horizontal="center"/>
      <protection locked="0"/>
    </xf>
    <xf numFmtId="2" fontId="1" fillId="36" borderId="23" xfId="0" applyNumberFormat="1" applyFont="1" applyFill="1" applyBorder="1" applyAlignment="1" applyProtection="1">
      <alignment horizontal="center"/>
      <protection/>
    </xf>
    <xf numFmtId="2" fontId="1" fillId="36" borderId="26" xfId="0" applyNumberFormat="1" applyFont="1" applyFill="1" applyBorder="1" applyAlignment="1" applyProtection="1">
      <alignment horizontal="center"/>
      <protection/>
    </xf>
    <xf numFmtId="2" fontId="1" fillId="36" borderId="10" xfId="59" applyNumberFormat="1" applyFont="1" applyFill="1" applyBorder="1" applyAlignment="1" applyProtection="1">
      <alignment horizontal="center" vertical="center"/>
      <protection locked="0"/>
    </xf>
    <xf numFmtId="2" fontId="1" fillId="36" borderId="23" xfId="59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2" fontId="1" fillId="36" borderId="28" xfId="0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/>
      <protection locked="0"/>
    </xf>
    <xf numFmtId="167" fontId="1" fillId="36" borderId="28" xfId="0" applyNumberFormat="1" applyFont="1" applyFill="1" applyBorder="1" applyAlignment="1" applyProtection="1">
      <alignment horizontal="center"/>
      <protection/>
    </xf>
    <xf numFmtId="2" fontId="1" fillId="36" borderId="28" xfId="0" applyNumberFormat="1" applyFont="1" applyFill="1" applyBorder="1" applyAlignment="1" applyProtection="1">
      <alignment horizontal="center"/>
      <protection/>
    </xf>
    <xf numFmtId="2" fontId="1" fillId="36" borderId="37" xfId="0" applyNumberFormat="1" applyFont="1" applyFill="1" applyBorder="1" applyAlignment="1" applyProtection="1">
      <alignment horizontal="center"/>
      <protection/>
    </xf>
    <xf numFmtId="2" fontId="1" fillId="35" borderId="35" xfId="0" applyNumberFormat="1" applyFont="1" applyFill="1" applyBorder="1" applyAlignment="1" applyProtection="1">
      <alignment horizontal="center" vertical="center"/>
      <protection/>
    </xf>
    <xf numFmtId="2" fontId="1" fillId="35" borderId="27" xfId="0" applyNumberFormat="1" applyFont="1" applyFill="1" applyBorder="1" applyAlignment="1" applyProtection="1">
      <alignment horizontal="center" vertical="center"/>
      <protection/>
    </xf>
    <xf numFmtId="2" fontId="1" fillId="13" borderId="25" xfId="0" applyNumberFormat="1" applyFont="1" applyFill="1" applyBorder="1" applyAlignment="1">
      <alignment horizontal="center"/>
    </xf>
    <xf numFmtId="0" fontId="14" fillId="34" borderId="10" xfId="55" applyFont="1" applyFill="1" applyBorder="1" applyAlignment="1">
      <alignment horizontal="left" vertical="top" wrapText="1"/>
      <protection/>
    </xf>
    <xf numFmtId="3" fontId="14" fillId="34" borderId="10" xfId="55" applyNumberFormat="1" applyFont="1" applyFill="1" applyBorder="1" applyAlignment="1">
      <alignment horizontal="center" vertical="top" wrapText="1"/>
      <protection/>
    </xf>
    <xf numFmtId="2" fontId="1" fillId="36" borderId="21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25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 vertical="center"/>
    </xf>
    <xf numFmtId="2" fontId="14" fillId="34" borderId="10" xfId="55" applyNumberFormat="1" applyFont="1" applyFill="1" applyBorder="1" applyAlignment="1">
      <alignment horizontal="center" vertical="center" wrapText="1"/>
      <protection/>
    </xf>
    <xf numFmtId="2" fontId="1" fillId="13" borderId="37" xfId="0" applyNumberFormat="1" applyFont="1" applyFill="1" applyBorder="1" applyAlignment="1">
      <alignment horizontal="center"/>
    </xf>
    <xf numFmtId="2" fontId="1" fillId="13" borderId="23" xfId="0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2" fontId="1" fillId="36" borderId="28" xfId="0" applyNumberFormat="1" applyFont="1" applyFill="1" applyBorder="1" applyAlignment="1">
      <alignment horizontal="center"/>
    </xf>
    <xf numFmtId="2" fontId="1" fillId="36" borderId="3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2" fontId="1" fillId="35" borderId="28" xfId="0" applyNumberFormat="1" applyFont="1" applyFill="1" applyBorder="1" applyAlignment="1">
      <alignment horizontal="center"/>
    </xf>
    <xf numFmtId="164" fontId="1" fillId="35" borderId="28" xfId="0" applyNumberFormat="1" applyFont="1" applyFill="1" applyBorder="1" applyAlignment="1">
      <alignment horizontal="center"/>
    </xf>
    <xf numFmtId="1" fontId="1" fillId="13" borderId="23" xfId="0" applyNumberFormat="1" applyFont="1" applyFill="1" applyBorder="1" applyAlignment="1">
      <alignment horizontal="center"/>
    </xf>
    <xf numFmtId="165" fontId="1" fillId="35" borderId="28" xfId="0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 applyProtection="1">
      <alignment horizontal="center"/>
      <protection/>
    </xf>
    <xf numFmtId="2" fontId="1" fillId="33" borderId="34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2" fontId="1" fillId="13" borderId="28" xfId="0" applyNumberFormat="1" applyFont="1" applyFill="1" applyBorder="1" applyAlignment="1" applyProtection="1">
      <alignment horizontal="center"/>
      <protection/>
    </xf>
    <xf numFmtId="167" fontId="1" fillId="13" borderId="28" xfId="0" applyNumberFormat="1" applyFont="1" applyFill="1" applyBorder="1" applyAlignment="1" applyProtection="1">
      <alignment horizontal="center"/>
      <protection/>
    </xf>
    <xf numFmtId="2" fontId="1" fillId="13" borderId="37" xfId="0" applyNumberFormat="1" applyFont="1" applyFill="1" applyBorder="1" applyAlignment="1" applyProtection="1">
      <alignment horizontal="center"/>
      <protection/>
    </xf>
    <xf numFmtId="167" fontId="1" fillId="13" borderId="23" xfId="0" applyNumberFormat="1" applyFont="1" applyFill="1" applyBorder="1" applyAlignment="1" applyProtection="1">
      <alignment horizontal="center"/>
      <protection/>
    </xf>
    <xf numFmtId="166" fontId="1" fillId="13" borderId="23" xfId="0" applyNumberFormat="1" applyFont="1" applyFill="1" applyBorder="1" applyAlignment="1" applyProtection="1">
      <alignment horizontal="center"/>
      <protection locked="0"/>
    </xf>
    <xf numFmtId="2" fontId="1" fillId="13" borderId="23" xfId="0" applyNumberFormat="1" applyFont="1" applyFill="1" applyBorder="1" applyAlignment="1" applyProtection="1">
      <alignment horizontal="center"/>
      <protection/>
    </xf>
    <xf numFmtId="2" fontId="1" fillId="13" borderId="26" xfId="0" applyNumberFormat="1" applyFont="1" applyFill="1" applyBorder="1" applyAlignment="1" applyProtection="1">
      <alignment horizontal="center"/>
      <protection/>
    </xf>
    <xf numFmtId="0" fontId="1" fillId="36" borderId="28" xfId="0" applyFont="1" applyFill="1" applyBorder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center" vertical="center"/>
      <protection locked="0"/>
    </xf>
    <xf numFmtId="0" fontId="1" fillId="13" borderId="23" xfId="0" applyFont="1" applyFill="1" applyBorder="1" applyAlignment="1" applyProtection="1">
      <alignment/>
      <protection locked="0"/>
    </xf>
    <xf numFmtId="0" fontId="1" fillId="13" borderId="23" xfId="0" applyFont="1" applyFill="1" applyBorder="1" applyAlignment="1" applyProtection="1">
      <alignment horizontal="center" vertical="center"/>
      <protection locked="0"/>
    </xf>
    <xf numFmtId="166" fontId="1" fillId="13" borderId="23" xfId="0" applyNumberFormat="1" applyFont="1" applyFill="1" applyBorder="1" applyAlignment="1" applyProtection="1">
      <alignment horizontal="center" vertical="center"/>
      <protection locked="0"/>
    </xf>
    <xf numFmtId="2" fontId="1" fillId="13" borderId="23" xfId="0" applyNumberFormat="1" applyFont="1" applyFill="1" applyBorder="1" applyAlignment="1" applyProtection="1">
      <alignment horizontal="center" vertical="center"/>
      <protection/>
    </xf>
    <xf numFmtId="2" fontId="1" fillId="13" borderId="26" xfId="0" applyNumberFormat="1" applyFont="1" applyFill="1" applyBorder="1" applyAlignment="1" applyProtection="1">
      <alignment horizontal="center" vertical="center"/>
      <protection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28" xfId="0" applyNumberFormat="1" applyFont="1" applyFill="1" applyBorder="1" applyAlignment="1" applyProtection="1">
      <alignment horizontal="center"/>
      <protection locked="0"/>
    </xf>
    <xf numFmtId="165" fontId="1" fillId="13" borderId="23" xfId="0" applyNumberFormat="1" applyFont="1" applyFill="1" applyBorder="1" applyAlignment="1" applyProtection="1">
      <alignment horizontal="center"/>
      <protection locked="0"/>
    </xf>
    <xf numFmtId="2" fontId="1" fillId="13" borderId="23" xfId="0" applyNumberFormat="1" applyFont="1" applyFill="1" applyBorder="1" applyAlignment="1" applyProtection="1">
      <alignment horizontal="center"/>
      <protection locked="0"/>
    </xf>
    <xf numFmtId="0" fontId="1" fillId="13" borderId="28" xfId="0" applyFont="1" applyFill="1" applyBorder="1" applyAlignment="1" applyProtection="1">
      <alignment/>
      <protection locked="0"/>
    </xf>
    <xf numFmtId="165" fontId="1" fillId="13" borderId="28" xfId="0" applyNumberFormat="1" applyFont="1" applyFill="1" applyBorder="1" applyAlignment="1" applyProtection="1">
      <alignment horizontal="center"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2" fontId="1" fillId="33" borderId="28" xfId="0" applyNumberFormat="1" applyFont="1" applyFill="1" applyBorder="1" applyAlignment="1" applyProtection="1">
      <alignment horizontal="center"/>
      <protection locked="0"/>
    </xf>
    <xf numFmtId="167" fontId="1" fillId="33" borderId="28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166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165" fontId="1" fillId="33" borderId="10" xfId="0" applyNumberFormat="1" applyFont="1" applyFill="1" applyBorder="1" applyAlignment="1" applyProtection="1">
      <alignment horizontal="center"/>
      <protection/>
    </xf>
    <xf numFmtId="2" fontId="1" fillId="34" borderId="28" xfId="0" applyNumberFormat="1" applyFont="1" applyFill="1" applyBorder="1" applyAlignment="1" applyProtection="1">
      <alignment horizontal="center"/>
      <protection/>
    </xf>
    <xf numFmtId="2" fontId="1" fillId="34" borderId="25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38" xfId="0" applyFont="1" applyFill="1" applyBorder="1" applyAlignment="1">
      <alignment vertical="center" wrapText="1"/>
    </xf>
    <xf numFmtId="0" fontId="1" fillId="0" borderId="41" xfId="0" applyFont="1" applyBorder="1" applyAlignment="1">
      <alignment/>
    </xf>
    <xf numFmtId="165" fontId="1" fillId="33" borderId="23" xfId="0" applyNumberFormat="1" applyFont="1" applyFill="1" applyBorder="1" applyAlignment="1">
      <alignment horizontal="center"/>
    </xf>
    <xf numFmtId="165" fontId="1" fillId="36" borderId="28" xfId="0" applyNumberFormat="1" applyFont="1" applyFill="1" applyBorder="1" applyAlignment="1">
      <alignment horizontal="center"/>
    </xf>
    <xf numFmtId="2" fontId="1" fillId="13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>
      <alignment/>
    </xf>
    <xf numFmtId="167" fontId="1" fillId="13" borderId="23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vertical="top" wrapText="1"/>
    </xf>
    <xf numFmtId="1" fontId="1" fillId="33" borderId="23" xfId="0" applyNumberFormat="1" applyFont="1" applyFill="1" applyBorder="1" applyAlignment="1">
      <alignment horizontal="center" vertical="top"/>
    </xf>
    <xf numFmtId="166" fontId="1" fillId="33" borderId="23" xfId="0" applyNumberFormat="1" applyFont="1" applyFill="1" applyBorder="1" applyAlignment="1">
      <alignment vertical="top"/>
    </xf>
    <xf numFmtId="0" fontId="1" fillId="36" borderId="28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66" fontId="1" fillId="36" borderId="28" xfId="0" applyNumberFormat="1" applyFont="1" applyFill="1" applyBorder="1" applyAlignment="1" applyProtection="1">
      <alignment horizontal="center"/>
      <protection locked="0"/>
    </xf>
    <xf numFmtId="166" fontId="1" fillId="33" borderId="23" xfId="0" applyNumberFormat="1" applyFont="1" applyFill="1" applyBorder="1" applyAlignment="1">
      <alignment horizontal="center"/>
    </xf>
    <xf numFmtId="166" fontId="1" fillId="33" borderId="23" xfId="0" applyNumberFormat="1" applyFont="1" applyFill="1" applyBorder="1" applyAlignment="1">
      <alignment/>
    </xf>
    <xf numFmtId="2" fontId="1" fillId="13" borderId="23" xfId="0" applyNumberFormat="1" applyFont="1" applyFill="1" applyBorder="1" applyAlignment="1">
      <alignment/>
    </xf>
    <xf numFmtId="1" fontId="1" fillId="13" borderId="23" xfId="0" applyNumberFormat="1" applyFont="1" applyFill="1" applyBorder="1" applyAlignment="1">
      <alignment/>
    </xf>
    <xf numFmtId="167" fontId="1" fillId="13" borderId="23" xfId="0" applyNumberFormat="1" applyFont="1" applyFill="1" applyBorder="1" applyAlignment="1">
      <alignment/>
    </xf>
    <xf numFmtId="2" fontId="1" fillId="34" borderId="37" xfId="0" applyNumberFormat="1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/>
      <protection locked="0"/>
    </xf>
    <xf numFmtId="167" fontId="1" fillId="34" borderId="28" xfId="0" applyNumberFormat="1" applyFont="1" applyFill="1" applyBorder="1" applyAlignment="1" applyProtection="1">
      <alignment horizontal="center"/>
      <protection/>
    </xf>
    <xf numFmtId="2" fontId="1" fillId="34" borderId="28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167" fontId="1" fillId="37" borderId="10" xfId="0" applyNumberFormat="1" applyFont="1" applyFill="1" applyBorder="1" applyAlignment="1">
      <alignment horizontal="center" vertical="center"/>
    </xf>
    <xf numFmtId="2" fontId="1" fillId="37" borderId="25" xfId="0" applyNumberFormat="1" applyFont="1" applyFill="1" applyBorder="1" applyAlignment="1">
      <alignment horizontal="center" vertical="center"/>
    </xf>
    <xf numFmtId="166" fontId="1" fillId="35" borderId="28" xfId="0" applyNumberFormat="1" applyFont="1" applyFill="1" applyBorder="1" applyAlignment="1">
      <alignment/>
    </xf>
    <xf numFmtId="167" fontId="1" fillId="35" borderId="28" xfId="0" applyNumberFormat="1" applyFont="1" applyFill="1" applyBorder="1" applyAlignment="1">
      <alignment horizontal="center"/>
    </xf>
    <xf numFmtId="2" fontId="1" fillId="35" borderId="35" xfId="0" applyNumberFormat="1" applyFont="1" applyFill="1" applyBorder="1" applyAlignment="1">
      <alignment horizontal="center"/>
    </xf>
    <xf numFmtId="2" fontId="1" fillId="35" borderId="34" xfId="0" applyNumberFormat="1" applyFont="1" applyFill="1" applyBorder="1" applyAlignment="1">
      <alignment horizontal="center"/>
    </xf>
    <xf numFmtId="165" fontId="1" fillId="36" borderId="21" xfId="0" applyNumberFormat="1" applyFont="1" applyFill="1" applyBorder="1" applyAlignment="1">
      <alignment horizontal="center"/>
    </xf>
    <xf numFmtId="167" fontId="1" fillId="36" borderId="28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165" fontId="1" fillId="36" borderId="23" xfId="0" applyNumberFormat="1" applyFont="1" applyFill="1" applyBorder="1" applyAlignment="1">
      <alignment horizontal="center"/>
    </xf>
    <xf numFmtId="2" fontId="1" fillId="36" borderId="23" xfId="0" applyNumberFormat="1" applyFont="1" applyFill="1" applyBorder="1" applyAlignment="1">
      <alignment horizontal="center"/>
    </xf>
    <xf numFmtId="167" fontId="1" fillId="36" borderId="23" xfId="0" applyNumberFormat="1" applyFont="1" applyFill="1" applyBorder="1" applyAlignment="1">
      <alignment horizontal="center"/>
    </xf>
    <xf numFmtId="2" fontId="1" fillId="36" borderId="26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13" borderId="21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1" fillId="38" borderId="23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textRotation="90" wrapText="1"/>
    </xf>
    <xf numFmtId="0" fontId="1" fillId="33" borderId="45" xfId="0" applyFont="1" applyFill="1" applyBorder="1" applyAlignment="1">
      <alignment horizontal="center" vertical="center" textRotation="90" wrapText="1"/>
    </xf>
    <xf numFmtId="0" fontId="1" fillId="33" borderId="46" xfId="0" applyFont="1" applyFill="1" applyBorder="1" applyAlignment="1">
      <alignment horizontal="center" vertical="center" textRotation="90" wrapText="1"/>
    </xf>
    <xf numFmtId="0" fontId="4" fillId="13" borderId="44" xfId="0" applyFont="1" applyFill="1" applyBorder="1" applyAlignment="1">
      <alignment horizontal="center" vertical="center" textRotation="90" wrapText="1"/>
    </xf>
    <xf numFmtId="0" fontId="1" fillId="13" borderId="45" xfId="0" applyFont="1" applyFill="1" applyBorder="1" applyAlignment="1">
      <alignment horizontal="center" vertical="center" textRotation="90" wrapText="1"/>
    </xf>
    <xf numFmtId="0" fontId="1" fillId="13" borderId="46" xfId="0" applyFont="1" applyFill="1" applyBorder="1" applyAlignment="1">
      <alignment horizontal="center" vertical="center" textRotation="90" wrapText="1"/>
    </xf>
    <xf numFmtId="0" fontId="1" fillId="34" borderId="44" xfId="0" applyFont="1" applyFill="1" applyBorder="1" applyAlignment="1">
      <alignment horizontal="center" vertical="center" textRotation="90" wrapText="1"/>
    </xf>
    <xf numFmtId="0" fontId="1" fillId="34" borderId="45" xfId="0" applyFont="1" applyFill="1" applyBorder="1" applyAlignment="1">
      <alignment horizontal="center" vertical="center" textRotation="90" wrapText="1"/>
    </xf>
    <xf numFmtId="0" fontId="1" fillId="34" borderId="46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3" xfId="0" applyFont="1" applyFill="1" applyBorder="1" applyAlignment="1">
      <alignment horizontal="center" vertical="center" textRotation="90" wrapText="1"/>
    </xf>
    <xf numFmtId="0" fontId="4" fillId="13" borderId="28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23" xfId="0" applyFont="1" applyFill="1" applyBorder="1" applyAlignment="1">
      <alignment horizontal="center" vertical="center" textRotation="90" wrapText="1"/>
    </xf>
    <xf numFmtId="0" fontId="4" fillId="34" borderId="28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23" xfId="0" applyFont="1" applyFill="1" applyBorder="1" applyAlignment="1">
      <alignment horizontal="center" vertical="center" textRotation="90" wrapText="1"/>
    </xf>
    <xf numFmtId="0" fontId="4" fillId="34" borderId="55" xfId="0" applyFont="1" applyFill="1" applyBorder="1" applyAlignment="1">
      <alignment horizontal="center" vertical="center" textRotation="90" wrapText="1"/>
    </xf>
    <xf numFmtId="0" fontId="4" fillId="34" borderId="56" xfId="0" applyFont="1" applyFill="1" applyBorder="1" applyAlignment="1">
      <alignment horizontal="center" vertical="center" textRotation="90" wrapText="1"/>
    </xf>
    <xf numFmtId="0" fontId="4" fillId="13" borderId="53" xfId="0" applyFont="1" applyFill="1" applyBorder="1" applyAlignment="1">
      <alignment horizontal="center" vertical="center" textRotation="90" wrapText="1"/>
    </xf>
    <xf numFmtId="0" fontId="4" fillId="13" borderId="54" xfId="0" applyFont="1" applyFill="1" applyBorder="1" applyAlignment="1">
      <alignment horizontal="center" vertical="center" textRotation="90" wrapText="1"/>
    </xf>
    <xf numFmtId="0" fontId="4" fillId="13" borderId="57" xfId="0" applyFont="1" applyFill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textRotation="90" wrapText="1"/>
    </xf>
    <xf numFmtId="0" fontId="4" fillId="34" borderId="4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2" fillId="0" borderId="52" xfId="0" applyFont="1" applyBorder="1" applyAlignment="1">
      <alignment horizontal="center"/>
    </xf>
    <xf numFmtId="0" fontId="1" fillId="13" borderId="44" xfId="0" applyFont="1" applyFill="1" applyBorder="1" applyAlignment="1">
      <alignment horizontal="center" vertical="center" textRotation="90" wrapText="1"/>
    </xf>
    <xf numFmtId="0" fontId="4" fillId="34" borderId="54" xfId="0" applyFont="1" applyFill="1" applyBorder="1" applyAlignment="1">
      <alignment horizontal="center" vertical="center" textRotation="90" wrapText="1"/>
    </xf>
    <xf numFmtId="0" fontId="1" fillId="34" borderId="54" xfId="0" applyFont="1" applyFill="1" applyBorder="1" applyAlignment="1">
      <alignment horizontal="center" vertical="center" textRotation="90" wrapText="1"/>
    </xf>
    <xf numFmtId="0" fontId="1" fillId="34" borderId="57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textRotation="90" wrapText="1"/>
    </xf>
    <xf numFmtId="0" fontId="4" fillId="33" borderId="54" xfId="0" applyFont="1" applyFill="1" applyBorder="1" applyAlignment="1">
      <alignment horizontal="center" vertical="center" textRotation="90" wrapText="1"/>
    </xf>
    <xf numFmtId="0" fontId="4" fillId="33" borderId="57" xfId="0" applyFont="1" applyFill="1" applyBorder="1" applyAlignment="1">
      <alignment horizontal="center" vertical="center" textRotation="90" wrapText="1"/>
    </xf>
    <xf numFmtId="0" fontId="1" fillId="33" borderId="59" xfId="0" applyFont="1" applyFill="1" applyBorder="1" applyAlignment="1">
      <alignment horizontal="center" vertical="center" textRotation="90" wrapText="1"/>
    </xf>
    <xf numFmtId="0" fontId="1" fillId="33" borderId="41" xfId="0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 textRotation="90" wrapText="1"/>
    </xf>
    <xf numFmtId="0" fontId="1" fillId="13" borderId="59" xfId="0" applyFont="1" applyFill="1" applyBorder="1" applyAlignment="1">
      <alignment horizontal="center" vertical="center" textRotation="90" wrapText="1"/>
    </xf>
    <xf numFmtId="0" fontId="1" fillId="13" borderId="41" xfId="0" applyFont="1" applyFill="1" applyBorder="1" applyAlignment="1">
      <alignment horizontal="center" vertical="center" textRotation="90" wrapText="1"/>
    </xf>
    <xf numFmtId="0" fontId="1" fillId="13" borderId="40" xfId="0" applyFont="1" applyFill="1" applyBorder="1" applyAlignment="1">
      <alignment horizontal="center" vertical="center" textRotation="90" wrapText="1"/>
    </xf>
    <xf numFmtId="0" fontId="1" fillId="34" borderId="59" xfId="0" applyFont="1" applyFill="1" applyBorder="1" applyAlignment="1">
      <alignment horizontal="center" vertical="center" textRotation="90" wrapText="1"/>
    </xf>
    <xf numFmtId="0" fontId="1" fillId="34" borderId="41" xfId="0" applyFont="1" applyFill="1" applyBorder="1" applyAlignment="1">
      <alignment horizontal="center" vertical="center" textRotation="90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4" fillId="33" borderId="60" xfId="0" applyFont="1" applyFill="1" applyBorder="1" applyAlignment="1">
      <alignment horizontal="center" vertical="center" textRotation="90" wrapText="1"/>
    </xf>
    <xf numFmtId="0" fontId="1" fillId="33" borderId="61" xfId="0" applyFont="1" applyFill="1" applyBorder="1" applyAlignment="1">
      <alignment horizontal="center" vertical="center" textRotation="90" wrapText="1"/>
    </xf>
    <xf numFmtId="0" fontId="1" fillId="33" borderId="6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4" fillId="13" borderId="63" xfId="0" applyFont="1" applyFill="1" applyBorder="1" applyAlignment="1">
      <alignment horizontal="center" vertical="center" textRotation="90" wrapText="1"/>
    </xf>
    <xf numFmtId="0" fontId="1" fillId="13" borderId="64" xfId="0" applyFont="1" applyFill="1" applyBorder="1" applyAlignment="1">
      <alignment horizontal="center" vertical="center" textRotation="90" wrapText="1"/>
    </xf>
    <xf numFmtId="0" fontId="4" fillId="33" borderId="59" xfId="0" applyFont="1" applyFill="1" applyBorder="1" applyAlignment="1">
      <alignment horizontal="center" vertical="center" textRotation="90" wrapText="1"/>
    </xf>
    <xf numFmtId="0" fontId="4" fillId="33" borderId="41" xfId="0" applyFont="1" applyFill="1" applyBorder="1" applyAlignment="1">
      <alignment horizontal="center" vertical="center" textRotation="90" wrapText="1"/>
    </xf>
    <xf numFmtId="0" fontId="4" fillId="13" borderId="60" xfId="0" applyFont="1" applyFill="1" applyBorder="1" applyAlignment="1">
      <alignment horizontal="center" vertical="center" textRotation="90" wrapText="1"/>
    </xf>
    <xf numFmtId="0" fontId="1" fillId="13" borderId="61" xfId="0" applyFont="1" applyFill="1" applyBorder="1" applyAlignment="1">
      <alignment horizontal="center" vertical="center" textRotation="90" wrapText="1"/>
    </xf>
    <xf numFmtId="0" fontId="1" fillId="13" borderId="62" xfId="0" applyFont="1" applyFill="1" applyBorder="1" applyAlignment="1">
      <alignment horizontal="center" vertical="center" textRotation="90" wrapText="1"/>
    </xf>
    <xf numFmtId="0" fontId="4" fillId="34" borderId="60" xfId="0" applyFont="1" applyFill="1" applyBorder="1" applyAlignment="1">
      <alignment horizontal="center" vertical="center" textRotation="90" wrapText="1"/>
    </xf>
    <xf numFmtId="0" fontId="1" fillId="34" borderId="61" xfId="0" applyFont="1" applyFill="1" applyBorder="1" applyAlignment="1">
      <alignment horizontal="center" vertical="center" textRotation="90" wrapText="1"/>
    </xf>
    <xf numFmtId="0" fontId="1" fillId="34" borderId="62" xfId="0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textRotation="90" wrapText="1"/>
    </xf>
    <xf numFmtId="0" fontId="1" fillId="33" borderId="65" xfId="0" applyFont="1" applyFill="1" applyBorder="1" applyAlignment="1">
      <alignment horizontal="center" vertical="center" textRotation="90" wrapText="1"/>
    </xf>
    <xf numFmtId="2" fontId="1" fillId="0" borderId="51" xfId="0" applyNumberFormat="1" applyFont="1" applyBorder="1" applyAlignment="1">
      <alignment horizontal="center" wrapText="1"/>
    </xf>
    <xf numFmtId="2" fontId="1" fillId="0" borderId="37" xfId="0" applyNumberFormat="1" applyFont="1" applyBorder="1" applyAlignment="1">
      <alignment horizont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textRotation="90" wrapText="1"/>
    </xf>
    <xf numFmtId="0" fontId="1" fillId="13" borderId="60" xfId="0" applyFont="1" applyFill="1" applyBorder="1" applyAlignment="1">
      <alignment horizontal="center" vertical="center" textRotation="90" wrapText="1"/>
    </xf>
    <xf numFmtId="0" fontId="1" fillId="33" borderId="54" xfId="0" applyFont="1" applyFill="1" applyBorder="1" applyAlignment="1">
      <alignment horizontal="center" vertical="center" textRotation="90" wrapText="1"/>
    </xf>
    <xf numFmtId="0" fontId="1" fillId="33" borderId="57" xfId="0" applyFont="1" applyFill="1" applyBorder="1" applyAlignment="1">
      <alignment horizontal="center" vertical="center" textRotation="90" wrapText="1"/>
    </xf>
    <xf numFmtId="0" fontId="4" fillId="33" borderId="61" xfId="0" applyFont="1" applyFill="1" applyBorder="1" applyAlignment="1">
      <alignment horizontal="center" vertical="center" textRotation="90" wrapText="1"/>
    </xf>
    <xf numFmtId="0" fontId="4" fillId="33" borderId="62" xfId="0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 horizontal="center"/>
    </xf>
    <xf numFmtId="0" fontId="4" fillId="13" borderId="65" xfId="0" applyFont="1" applyFill="1" applyBorder="1" applyAlignment="1">
      <alignment horizontal="center" vertical="center" textRotation="90" wrapText="1"/>
    </xf>
    <xf numFmtId="0" fontId="1" fillId="13" borderId="66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textRotation="90" wrapText="1"/>
    </xf>
    <xf numFmtId="0" fontId="4" fillId="34" borderId="65" xfId="0" applyFont="1" applyFill="1" applyBorder="1" applyAlignment="1">
      <alignment horizontal="center" vertical="center" textRotation="90" wrapText="1"/>
    </xf>
    <xf numFmtId="0" fontId="1" fillId="36" borderId="21" xfId="0" applyFont="1" applyFill="1" applyBorder="1" applyAlignment="1">
      <alignment/>
    </xf>
    <xf numFmtId="0" fontId="1" fillId="36" borderId="21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 wrapText="1"/>
    </xf>
    <xf numFmtId="2" fontId="1" fillId="13" borderId="27" xfId="0" applyNumberFormat="1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4" borderId="21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4" fillId="38" borderId="44" xfId="0" applyFont="1" applyFill="1" applyBorder="1" applyAlignment="1">
      <alignment horizontal="center" vertical="center" textRotation="90" wrapText="1"/>
    </xf>
    <xf numFmtId="0" fontId="1" fillId="38" borderId="21" xfId="0" applyFont="1" applyFill="1" applyBorder="1" applyAlignment="1" applyProtection="1">
      <alignment/>
      <protection locked="0"/>
    </xf>
    <xf numFmtId="0" fontId="1" fillId="38" borderId="45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 applyProtection="1">
      <alignment/>
      <protection locked="0"/>
    </xf>
    <xf numFmtId="0" fontId="1" fillId="38" borderId="64" xfId="0" applyFont="1" applyFill="1" applyBorder="1" applyAlignment="1">
      <alignment horizontal="center" vertical="center" textRotation="90" wrapText="1"/>
    </xf>
    <xf numFmtId="0" fontId="1" fillId="38" borderId="11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 vertical="center" textRotation="90" wrapText="1"/>
    </xf>
    <xf numFmtId="0" fontId="1" fillId="38" borderId="23" xfId="0" applyFont="1" applyFill="1" applyBorder="1" applyAlignment="1">
      <alignment horizontal="center"/>
    </xf>
    <xf numFmtId="0" fontId="1" fillId="38" borderId="23" xfId="0" applyFont="1" applyFill="1" applyBorder="1" applyAlignment="1" applyProtection="1">
      <alignment/>
      <protection locked="0"/>
    </xf>
    <xf numFmtId="167" fontId="1" fillId="38" borderId="23" xfId="0" applyNumberFormat="1" applyFont="1" applyFill="1" applyBorder="1" applyAlignment="1">
      <alignment/>
    </xf>
    <xf numFmtId="2" fontId="1" fillId="38" borderId="23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/>
      <protection locked="0"/>
    </xf>
    <xf numFmtId="2" fontId="1" fillId="33" borderId="21" xfId="0" applyNumberFormat="1" applyFont="1" applyFill="1" applyBorder="1" applyAlignment="1">
      <alignment horizontal="center" vertical="center"/>
    </xf>
    <xf numFmtId="167" fontId="1" fillId="33" borderId="21" xfId="0" applyNumberFormat="1" applyFont="1" applyFill="1" applyBorder="1" applyAlignment="1">
      <alignment horizontal="center" vertical="center"/>
    </xf>
    <xf numFmtId="2" fontId="1" fillId="33" borderId="34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165" fontId="15" fillId="33" borderId="21" xfId="0" applyNumberFormat="1" applyFont="1" applyFill="1" applyBorder="1" applyAlignment="1">
      <alignment horizontal="center"/>
    </xf>
    <xf numFmtId="167" fontId="15" fillId="33" borderId="21" xfId="0" applyNumberFormat="1" applyFont="1" applyFill="1" applyBorder="1" applyAlignment="1">
      <alignment horizontal="center"/>
    </xf>
    <xf numFmtId="2" fontId="15" fillId="33" borderId="21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165" fontId="15" fillId="33" borderId="10" xfId="0" applyNumberFormat="1" applyFont="1" applyFill="1" applyBorder="1" applyAlignment="1">
      <alignment horizontal="center"/>
    </xf>
    <xf numFmtId="167" fontId="15" fillId="33" borderId="1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165" fontId="15" fillId="33" borderId="23" xfId="0" applyNumberFormat="1" applyFont="1" applyFill="1" applyBorder="1" applyAlignment="1">
      <alignment horizontal="center"/>
    </xf>
    <xf numFmtId="167" fontId="15" fillId="33" borderId="23" xfId="0" applyNumberFormat="1" applyFont="1" applyFill="1" applyBorder="1" applyAlignment="1">
      <alignment horizontal="center"/>
    </xf>
    <xf numFmtId="2" fontId="15" fillId="33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left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left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167" fontId="1" fillId="33" borderId="23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33" borderId="26" xfId="0" applyNumberFormat="1" applyFont="1" applyFill="1" applyBorder="1" applyAlignment="1">
      <alignment horizontal="center" vertical="center"/>
    </xf>
    <xf numFmtId="165" fontId="1" fillId="33" borderId="28" xfId="0" applyNumberFormat="1" applyFont="1" applyFill="1" applyBorder="1" applyAlignment="1">
      <alignment/>
    </xf>
    <xf numFmtId="165" fontId="1" fillId="33" borderId="28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167" fontId="1" fillId="33" borderId="28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165" fontId="1" fillId="33" borderId="23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4" xfId="0" applyFont="1" applyFill="1" applyBorder="1" applyAlignment="1" applyProtection="1">
      <alignment/>
      <protection locked="0"/>
    </xf>
    <xf numFmtId="2" fontId="1" fillId="33" borderId="21" xfId="0" applyNumberFormat="1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 vertical="center"/>
    </xf>
    <xf numFmtId="2" fontId="1" fillId="13" borderId="23" xfId="0" applyNumberFormat="1" applyFont="1" applyFill="1" applyBorder="1" applyAlignment="1">
      <alignment horizontal="center" vertical="center"/>
    </xf>
    <xf numFmtId="167" fontId="1" fillId="13" borderId="23" xfId="0" applyNumberFormat="1" applyFont="1" applyFill="1" applyBorder="1" applyAlignment="1">
      <alignment horizontal="center" vertical="center"/>
    </xf>
    <xf numFmtId="2" fontId="1" fillId="13" borderId="26" xfId="0" applyNumberFormat="1" applyFont="1" applyFill="1" applyBorder="1" applyAlignment="1">
      <alignment horizontal="center" vertical="center"/>
    </xf>
    <xf numFmtId="0" fontId="15" fillId="13" borderId="28" xfId="0" applyFont="1" applyFill="1" applyBorder="1" applyAlignment="1">
      <alignment/>
    </xf>
    <xf numFmtId="0" fontId="15" fillId="13" borderId="28" xfId="0" applyFont="1" applyFill="1" applyBorder="1" applyAlignment="1">
      <alignment horizontal="center"/>
    </xf>
    <xf numFmtId="165" fontId="15" fillId="13" borderId="28" xfId="0" applyNumberFormat="1" applyFont="1" applyFill="1" applyBorder="1" applyAlignment="1">
      <alignment horizontal="center"/>
    </xf>
    <xf numFmtId="167" fontId="15" fillId="13" borderId="28" xfId="0" applyNumberFormat="1" applyFont="1" applyFill="1" applyBorder="1" applyAlignment="1">
      <alignment horizontal="center"/>
    </xf>
    <xf numFmtId="2" fontId="15" fillId="13" borderId="28" xfId="0" applyNumberFormat="1" applyFont="1" applyFill="1" applyBorder="1" applyAlignment="1">
      <alignment horizontal="center"/>
    </xf>
    <xf numFmtId="0" fontId="15" fillId="13" borderId="10" xfId="0" applyFont="1" applyFill="1" applyBorder="1" applyAlignment="1">
      <alignment/>
    </xf>
    <xf numFmtId="0" fontId="15" fillId="13" borderId="10" xfId="0" applyFont="1" applyFill="1" applyBorder="1" applyAlignment="1">
      <alignment horizontal="center"/>
    </xf>
    <xf numFmtId="165" fontId="15" fillId="13" borderId="10" xfId="0" applyNumberFormat="1" applyFont="1" applyFill="1" applyBorder="1" applyAlignment="1">
      <alignment horizontal="center"/>
    </xf>
    <xf numFmtId="167" fontId="15" fillId="13" borderId="10" xfId="0" applyNumberFormat="1" applyFont="1" applyFill="1" applyBorder="1" applyAlignment="1">
      <alignment horizontal="center"/>
    </xf>
    <xf numFmtId="2" fontId="15" fillId="13" borderId="10" xfId="0" applyNumberFormat="1" applyFont="1" applyFill="1" applyBorder="1" applyAlignment="1">
      <alignment horizontal="center"/>
    </xf>
    <xf numFmtId="2" fontId="15" fillId="13" borderId="11" xfId="0" applyNumberFormat="1" applyFont="1" applyFill="1" applyBorder="1" applyAlignment="1">
      <alignment horizontal="center"/>
    </xf>
    <xf numFmtId="167" fontId="15" fillId="13" borderId="11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165" fontId="1" fillId="13" borderId="21" xfId="0" applyNumberFormat="1" applyFont="1" applyFill="1" applyBorder="1" applyAlignment="1">
      <alignment/>
    </xf>
    <xf numFmtId="165" fontId="1" fillId="13" borderId="21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/>
    </xf>
    <xf numFmtId="165" fontId="1" fillId="13" borderId="23" xfId="0" applyNumberFormat="1" applyFont="1" applyFill="1" applyBorder="1" applyAlignment="1">
      <alignment/>
    </xf>
    <xf numFmtId="165" fontId="1" fillId="13" borderId="23" xfId="0" applyNumberFormat="1" applyFont="1" applyFill="1" applyBorder="1" applyAlignment="1">
      <alignment horizontal="center"/>
    </xf>
    <xf numFmtId="166" fontId="1" fillId="13" borderId="21" xfId="0" applyNumberFormat="1" applyFont="1" applyFill="1" applyBorder="1" applyAlignment="1">
      <alignment horizontal="center"/>
    </xf>
    <xf numFmtId="166" fontId="1" fillId="13" borderId="10" xfId="0" applyNumberFormat="1" applyFont="1" applyFill="1" applyBorder="1" applyAlignment="1">
      <alignment horizontal="center"/>
    </xf>
    <xf numFmtId="2" fontId="1" fillId="13" borderId="34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1" fillId="13" borderId="25" xfId="0" applyFont="1" applyFill="1" applyBorder="1" applyAlignment="1">
      <alignment/>
    </xf>
    <xf numFmtId="0" fontId="3" fillId="13" borderId="23" xfId="0" applyFont="1" applyFill="1" applyBorder="1" applyAlignment="1">
      <alignment/>
    </xf>
    <xf numFmtId="0" fontId="1" fillId="13" borderId="26" xfId="0" applyFont="1" applyFill="1" applyBorder="1" applyAlignment="1">
      <alignment/>
    </xf>
    <xf numFmtId="165" fontId="1" fillId="13" borderId="28" xfId="0" applyNumberFormat="1" applyFont="1" applyFill="1" applyBorder="1" applyAlignment="1">
      <alignment horizontal="center"/>
    </xf>
    <xf numFmtId="166" fontId="1" fillId="13" borderId="10" xfId="0" applyNumberFormat="1" applyFont="1" applyFill="1" applyBorder="1" applyAlignment="1">
      <alignment horizontal="center" vertical="center"/>
    </xf>
    <xf numFmtId="166" fontId="1" fillId="13" borderId="28" xfId="0" applyNumberFormat="1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 vertical="center" textRotation="90" wrapText="1"/>
    </xf>
    <xf numFmtId="0" fontId="1" fillId="38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/>
    </xf>
    <xf numFmtId="2" fontId="1" fillId="38" borderId="21" xfId="0" applyNumberFormat="1" applyFont="1" applyFill="1" applyBorder="1" applyAlignment="1">
      <alignment horizontal="center" vertical="center"/>
    </xf>
    <xf numFmtId="167" fontId="1" fillId="38" borderId="21" xfId="0" applyNumberFormat="1" applyFont="1" applyFill="1" applyBorder="1" applyAlignment="1">
      <alignment horizontal="center" vertical="center"/>
    </xf>
    <xf numFmtId="2" fontId="1" fillId="38" borderId="34" xfId="0" applyNumberFormat="1" applyFont="1" applyFill="1" applyBorder="1" applyAlignment="1">
      <alignment horizontal="center" vertical="center"/>
    </xf>
    <xf numFmtId="0" fontId="1" fillId="38" borderId="61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167" fontId="1" fillId="38" borderId="10" xfId="0" applyNumberFormat="1" applyFont="1" applyFill="1" applyBorder="1" applyAlignment="1">
      <alignment horizontal="center" vertical="center"/>
    </xf>
    <xf numFmtId="2" fontId="1" fillId="38" borderId="25" xfId="0" applyNumberFormat="1" applyFont="1" applyFill="1" applyBorder="1" applyAlignment="1">
      <alignment horizontal="center" vertical="center"/>
    </xf>
    <xf numFmtId="0" fontId="1" fillId="38" borderId="62" xfId="0" applyFont="1" applyFill="1" applyBorder="1" applyAlignment="1">
      <alignment horizontal="center" vertical="center" textRotation="90" wrapText="1"/>
    </xf>
    <xf numFmtId="0" fontId="1" fillId="38" borderId="23" xfId="0" applyFont="1" applyFill="1" applyBorder="1" applyAlignment="1">
      <alignment horizontal="center"/>
    </xf>
    <xf numFmtId="0" fontId="1" fillId="38" borderId="23" xfId="0" applyFont="1" applyFill="1" applyBorder="1" applyAlignment="1">
      <alignment/>
    </xf>
    <xf numFmtId="0" fontId="1" fillId="38" borderId="23" xfId="0" applyFont="1" applyFill="1" applyBorder="1" applyAlignment="1">
      <alignment horizontal="center" vertical="center"/>
    </xf>
    <xf numFmtId="2" fontId="1" fillId="38" borderId="23" xfId="0" applyNumberFormat="1" applyFont="1" applyFill="1" applyBorder="1" applyAlignment="1">
      <alignment horizontal="center" vertical="center"/>
    </xf>
    <xf numFmtId="167" fontId="1" fillId="38" borderId="23" xfId="0" applyNumberFormat="1" applyFont="1" applyFill="1" applyBorder="1" applyAlignment="1">
      <alignment horizontal="center" vertical="center"/>
    </xf>
    <xf numFmtId="2" fontId="1" fillId="38" borderId="26" xfId="0" applyNumberFormat="1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2" fontId="15" fillId="38" borderId="21" xfId="0" applyNumberFormat="1" applyFont="1" applyFill="1" applyBorder="1" applyAlignment="1">
      <alignment horizontal="center"/>
    </xf>
    <xf numFmtId="167" fontId="15" fillId="38" borderId="21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2" fontId="15" fillId="38" borderId="10" xfId="0" applyNumberFormat="1" applyFont="1" applyFill="1" applyBorder="1" applyAlignment="1">
      <alignment horizontal="center"/>
    </xf>
    <xf numFmtId="167" fontId="15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top"/>
    </xf>
    <xf numFmtId="1" fontId="1" fillId="38" borderId="10" xfId="0" applyNumberFormat="1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165" fontId="15" fillId="38" borderId="10" xfId="0" applyNumberFormat="1" applyFont="1" applyFill="1" applyBorder="1" applyAlignment="1">
      <alignment horizontal="center"/>
    </xf>
    <xf numFmtId="0" fontId="15" fillId="38" borderId="23" xfId="0" applyFont="1" applyFill="1" applyBorder="1" applyAlignment="1">
      <alignment horizontal="center"/>
    </xf>
    <xf numFmtId="2" fontId="15" fillId="38" borderId="23" xfId="0" applyNumberFormat="1" applyFont="1" applyFill="1" applyBorder="1" applyAlignment="1">
      <alignment horizontal="center"/>
    </xf>
    <xf numFmtId="1" fontId="1" fillId="38" borderId="23" xfId="0" applyNumberFormat="1" applyFont="1" applyFill="1" applyBorder="1" applyAlignment="1">
      <alignment/>
    </xf>
    <xf numFmtId="1" fontId="1" fillId="38" borderId="23" xfId="0" applyNumberFormat="1" applyFont="1" applyFill="1" applyBorder="1" applyAlignment="1">
      <alignment horizontal="center"/>
    </xf>
    <xf numFmtId="167" fontId="15" fillId="38" borderId="23" xfId="0" applyNumberFormat="1" applyFont="1" applyFill="1" applyBorder="1" applyAlignment="1">
      <alignment horizontal="center"/>
    </xf>
    <xf numFmtId="0" fontId="1" fillId="38" borderId="59" xfId="0" applyFont="1" applyFill="1" applyBorder="1" applyAlignment="1">
      <alignment horizontal="center" vertical="center" textRotation="90" wrapText="1"/>
    </xf>
    <xf numFmtId="0" fontId="1" fillId="38" borderId="41" xfId="0" applyFont="1" applyFill="1" applyBorder="1" applyAlignment="1">
      <alignment horizontal="center" vertical="center" textRotation="90" wrapText="1"/>
    </xf>
    <xf numFmtId="0" fontId="1" fillId="38" borderId="40" xfId="0" applyFont="1" applyFill="1" applyBorder="1" applyAlignment="1">
      <alignment horizontal="center" vertical="center" textRotation="90" wrapText="1"/>
    </xf>
    <xf numFmtId="0" fontId="1" fillId="38" borderId="3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center"/>
    </xf>
    <xf numFmtId="2" fontId="1" fillId="38" borderId="23" xfId="0" applyNumberFormat="1" applyFont="1" applyFill="1" applyBorder="1" applyAlignment="1">
      <alignment vertical="center" wrapText="1"/>
    </xf>
    <xf numFmtId="1" fontId="1" fillId="38" borderId="23" xfId="0" applyNumberFormat="1" applyFont="1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textRotation="90" wrapText="1"/>
    </xf>
    <xf numFmtId="165" fontId="1" fillId="38" borderId="21" xfId="0" applyNumberFormat="1" applyFont="1" applyFill="1" applyBorder="1" applyAlignment="1">
      <alignment horizontal="center"/>
    </xf>
    <xf numFmtId="165" fontId="1" fillId="38" borderId="11" xfId="0" applyNumberFormat="1" applyFont="1" applyFill="1" applyBorder="1" applyAlignment="1">
      <alignment horizontal="center"/>
    </xf>
    <xf numFmtId="2" fontId="1" fillId="38" borderId="21" xfId="0" applyNumberFormat="1" applyFont="1" applyFill="1" applyBorder="1" applyAlignment="1">
      <alignment horizontal="center"/>
    </xf>
    <xf numFmtId="2" fontId="1" fillId="38" borderId="28" xfId="0" applyNumberFormat="1" applyFont="1" applyFill="1" applyBorder="1" applyAlignment="1">
      <alignment horizontal="center"/>
    </xf>
    <xf numFmtId="167" fontId="1" fillId="38" borderId="28" xfId="0" applyNumberFormat="1" applyFont="1" applyFill="1" applyBorder="1" applyAlignment="1">
      <alignment horizontal="center"/>
    </xf>
    <xf numFmtId="2" fontId="1" fillId="38" borderId="37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167" fontId="1" fillId="38" borderId="10" xfId="0" applyNumberFormat="1" applyFont="1" applyFill="1" applyBorder="1" applyAlignment="1">
      <alignment horizontal="center"/>
    </xf>
    <xf numFmtId="2" fontId="1" fillId="38" borderId="25" xfId="0" applyNumberFormat="1" applyFont="1" applyFill="1" applyBorder="1" applyAlignment="1">
      <alignment horizontal="center"/>
    </xf>
    <xf numFmtId="165" fontId="1" fillId="38" borderId="23" xfId="0" applyNumberFormat="1" applyFont="1" applyFill="1" applyBorder="1" applyAlignment="1">
      <alignment horizontal="center"/>
    </xf>
    <xf numFmtId="165" fontId="1" fillId="38" borderId="14" xfId="0" applyNumberFormat="1" applyFont="1" applyFill="1" applyBorder="1" applyAlignment="1">
      <alignment horizontal="center"/>
    </xf>
    <xf numFmtId="2" fontId="1" fillId="38" borderId="23" xfId="0" applyNumberFormat="1" applyFont="1" applyFill="1" applyBorder="1" applyAlignment="1">
      <alignment horizontal="center"/>
    </xf>
    <xf numFmtId="167" fontId="1" fillId="38" borderId="23" xfId="0" applyNumberFormat="1" applyFont="1" applyFill="1" applyBorder="1" applyAlignment="1">
      <alignment horizontal="center"/>
    </xf>
    <xf numFmtId="2" fontId="1" fillId="38" borderId="26" xfId="0" applyNumberFormat="1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 vertical="center" textRotation="90" wrapText="1"/>
    </xf>
    <xf numFmtId="0" fontId="1" fillId="38" borderId="21" xfId="0" applyFont="1" applyFill="1" applyBorder="1" applyAlignment="1">
      <alignment horizontal="center" vertical="top"/>
    </xf>
    <xf numFmtId="0" fontId="4" fillId="38" borderId="54" xfId="0" applyFont="1" applyFill="1" applyBorder="1" applyAlignment="1">
      <alignment horizontal="center" vertical="center" textRotation="90" wrapText="1"/>
    </xf>
    <xf numFmtId="0" fontId="4" fillId="38" borderId="57" xfId="0" applyFont="1" applyFill="1" applyBorder="1" applyAlignment="1">
      <alignment horizontal="center" vertical="center" textRotation="90" wrapText="1"/>
    </xf>
    <xf numFmtId="0" fontId="1" fillId="38" borderId="42" xfId="0" applyFont="1" applyFill="1" applyBorder="1" applyAlignment="1">
      <alignment horizontal="center" vertical="top"/>
    </xf>
    <xf numFmtId="2" fontId="1" fillId="38" borderId="24" xfId="0" applyNumberFormat="1" applyFont="1" applyFill="1" applyBorder="1" applyAlignment="1">
      <alignment horizontal="center" vertical="center"/>
    </xf>
    <xf numFmtId="2" fontId="15" fillId="38" borderId="10" xfId="0" applyNumberFormat="1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>
      <alignment horizontal="center" vertical="center" textRotation="90" wrapText="1"/>
    </xf>
    <xf numFmtId="0" fontId="1" fillId="38" borderId="23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8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63" xfId="0" applyFont="1" applyFill="1" applyBorder="1" applyAlignment="1">
      <alignment horizontal="center" vertical="center" textRotation="90" wrapText="1"/>
    </xf>
    <xf numFmtId="0" fontId="4" fillId="38" borderId="60" xfId="0" applyFont="1" applyFill="1" applyBorder="1" applyAlignment="1">
      <alignment horizontal="center" vertical="center" textRotation="90" wrapText="1"/>
    </xf>
    <xf numFmtId="166" fontId="1" fillId="38" borderId="28" xfId="0" applyNumberFormat="1" applyFont="1" applyFill="1" applyBorder="1" applyAlignment="1">
      <alignment horizontal="center"/>
    </xf>
    <xf numFmtId="0" fontId="4" fillId="38" borderId="65" xfId="0" applyFont="1" applyFill="1" applyBorder="1" applyAlignment="1">
      <alignment horizontal="center" vertical="center" textRotation="90" wrapText="1"/>
    </xf>
    <xf numFmtId="166" fontId="1" fillId="38" borderId="10" xfId="0" applyNumberFormat="1" applyFont="1" applyFill="1" applyBorder="1" applyAlignment="1">
      <alignment horizontal="center"/>
    </xf>
    <xf numFmtId="0" fontId="1" fillId="38" borderId="66" xfId="0" applyFont="1" applyFill="1" applyBorder="1" applyAlignment="1">
      <alignment horizontal="center" vertical="center" textRotation="90" wrapText="1"/>
    </xf>
    <xf numFmtId="166" fontId="1" fillId="38" borderId="23" xfId="0" applyNumberFormat="1" applyFont="1" applyFill="1" applyBorder="1" applyAlignment="1">
      <alignment horizontal="center"/>
    </xf>
    <xf numFmtId="2" fontId="1" fillId="38" borderId="34" xfId="0" applyNumberFormat="1" applyFont="1" applyFill="1" applyBorder="1" applyAlignment="1">
      <alignment horizontal="center"/>
    </xf>
    <xf numFmtId="0" fontId="3" fillId="38" borderId="23" xfId="0" applyFont="1" applyFill="1" applyBorder="1" applyAlignment="1">
      <alignment/>
    </xf>
    <xf numFmtId="0" fontId="1" fillId="38" borderId="26" xfId="0" applyFont="1" applyFill="1" applyBorder="1" applyAlignment="1">
      <alignment/>
    </xf>
    <xf numFmtId="166" fontId="1" fillId="38" borderId="10" xfId="0" applyNumberFormat="1" applyFont="1" applyFill="1" applyBorder="1" applyAlignment="1">
      <alignment horizontal="center" vertical="center"/>
    </xf>
    <xf numFmtId="2" fontId="1" fillId="13" borderId="11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166" fontId="1" fillId="34" borderId="28" xfId="0" applyNumberFormat="1" applyFont="1" applyFill="1" applyBorder="1" applyAlignment="1">
      <alignment horizontal="center"/>
    </xf>
    <xf numFmtId="167" fontId="1" fillId="34" borderId="28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167" fontId="1" fillId="34" borderId="23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>
      <alignment/>
    </xf>
    <xf numFmtId="165" fontId="1" fillId="34" borderId="28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1" xfId="0" applyFont="1" applyFill="1" applyBorder="1" applyAlignment="1">
      <alignment vertical="top"/>
    </xf>
    <xf numFmtId="0" fontId="1" fillId="34" borderId="32" xfId="0" applyFont="1" applyFill="1" applyBorder="1" applyAlignment="1">
      <alignment vertical="top"/>
    </xf>
    <xf numFmtId="0" fontId="1" fillId="34" borderId="23" xfId="0" applyFont="1" applyFill="1" applyBorder="1" applyAlignment="1">
      <alignment horizontal="center"/>
    </xf>
    <xf numFmtId="165" fontId="1" fillId="34" borderId="21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0" fontId="1" fillId="36" borderId="10" xfId="59" applyFont="1" applyFill="1" applyBorder="1" applyAlignment="1" applyProtection="1">
      <alignment horizontal="left" wrapText="1"/>
      <protection locked="0"/>
    </xf>
    <xf numFmtId="165" fontId="1" fillId="34" borderId="10" xfId="0" applyNumberFormat="1" applyFont="1" applyFill="1" applyBorder="1" applyAlignment="1" applyProtection="1">
      <alignment horizontal="center" vertical="center"/>
      <protection locked="0"/>
    </xf>
    <xf numFmtId="2" fontId="1" fillId="34" borderId="10" xfId="0" applyNumberFormat="1" applyFont="1" applyFill="1" applyBorder="1" applyAlignment="1" applyProtection="1">
      <alignment horizontal="center" vertical="center"/>
      <protection locked="0"/>
    </xf>
    <xf numFmtId="167" fontId="1" fillId="34" borderId="10" xfId="0" applyNumberFormat="1" applyFont="1" applyFill="1" applyBorder="1" applyAlignment="1" applyProtection="1">
      <alignment horizontal="center" vertical="center"/>
      <protection/>
    </xf>
    <xf numFmtId="2" fontId="1" fillId="34" borderId="10" xfId="0" applyNumberFormat="1" applyFont="1" applyFill="1" applyBorder="1" applyAlignment="1" applyProtection="1">
      <alignment horizontal="center" vertical="center"/>
      <protection/>
    </xf>
    <xf numFmtId="2" fontId="1" fillId="34" borderId="25" xfId="0" applyNumberFormat="1" applyFont="1" applyFill="1" applyBorder="1" applyAlignment="1" applyProtection="1">
      <alignment horizontal="center" vertical="center"/>
      <protection/>
    </xf>
    <xf numFmtId="165" fontId="1" fillId="34" borderId="23" xfId="0" applyNumberFormat="1" applyFont="1" applyFill="1" applyBorder="1" applyAlignment="1" applyProtection="1">
      <alignment horizontal="center" vertical="center"/>
      <protection locked="0"/>
    </xf>
    <xf numFmtId="2" fontId="1" fillId="34" borderId="23" xfId="0" applyNumberFormat="1" applyFont="1" applyFill="1" applyBorder="1" applyAlignment="1" applyProtection="1">
      <alignment horizontal="center" vertical="center"/>
      <protection locked="0"/>
    </xf>
    <xf numFmtId="167" fontId="1" fillId="34" borderId="23" xfId="0" applyNumberFormat="1" applyFont="1" applyFill="1" applyBorder="1" applyAlignment="1" applyProtection="1">
      <alignment horizontal="center" vertical="center"/>
      <protection/>
    </xf>
    <xf numFmtId="2" fontId="1" fillId="34" borderId="23" xfId="0" applyNumberFormat="1" applyFont="1" applyFill="1" applyBorder="1" applyAlignment="1" applyProtection="1">
      <alignment horizontal="center" vertical="center"/>
      <protection/>
    </xf>
    <xf numFmtId="2" fontId="1" fillId="34" borderId="26" xfId="0" applyNumberFormat="1" applyFont="1" applyFill="1" applyBorder="1" applyAlignment="1" applyProtection="1">
      <alignment horizontal="center" vertical="center"/>
      <protection/>
    </xf>
    <xf numFmtId="0" fontId="15" fillId="34" borderId="21" xfId="0" applyFont="1" applyFill="1" applyBorder="1" applyAlignment="1">
      <alignment horizontal="center"/>
    </xf>
    <xf numFmtId="2" fontId="15" fillId="34" borderId="21" xfId="0" applyNumberFormat="1" applyFont="1" applyFill="1" applyBorder="1" applyAlignment="1">
      <alignment horizontal="center"/>
    </xf>
    <xf numFmtId="167" fontId="15" fillId="34" borderId="21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67" fontId="15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2" fontId="15" fillId="34" borderId="23" xfId="0" applyNumberFormat="1" applyFont="1" applyFill="1" applyBorder="1" applyAlignment="1">
      <alignment horizontal="center"/>
    </xf>
    <xf numFmtId="167" fontId="15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8" borderId="24" xfId="0" applyFont="1" applyFill="1" applyBorder="1" applyAlignment="1">
      <alignment horizontal="center" vertical="top"/>
    </xf>
    <xf numFmtId="0" fontId="1" fillId="38" borderId="35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center"/>
    </xf>
    <xf numFmtId="0" fontId="1" fillId="13" borderId="38" xfId="0" applyFont="1" applyFill="1" applyBorder="1" applyAlignment="1">
      <alignment horizontal="center"/>
    </xf>
    <xf numFmtId="2" fontId="1" fillId="38" borderId="28" xfId="0" applyNumberFormat="1" applyFont="1" applyFill="1" applyBorder="1" applyAlignment="1">
      <alignment vertical="center" wrapText="1"/>
    </xf>
    <xf numFmtId="0" fontId="1" fillId="13" borderId="10" xfId="0" applyFont="1" applyFill="1" applyBorder="1" applyAlignment="1">
      <alignment horizontal="left" vertical="top" wrapText="1"/>
    </xf>
    <xf numFmtId="0" fontId="1" fillId="33" borderId="35" xfId="0" applyFont="1" applyFill="1" applyBorder="1" applyAlignment="1">
      <alignment horizontal="center" vertical="top"/>
    </xf>
    <xf numFmtId="0" fontId="1" fillId="13" borderId="33" xfId="0" applyFont="1" applyFill="1" applyBorder="1" applyAlignment="1">
      <alignment horizontal="center" vertical="top"/>
    </xf>
    <xf numFmtId="0" fontId="1" fillId="13" borderId="27" xfId="0" applyFont="1" applyFill="1" applyBorder="1" applyAlignment="1">
      <alignment horizontal="center" vertical="top"/>
    </xf>
    <xf numFmtId="0" fontId="1" fillId="38" borderId="33" xfId="0" applyFont="1" applyFill="1" applyBorder="1" applyAlignment="1">
      <alignment horizontal="center" vertical="top"/>
    </xf>
    <xf numFmtId="0" fontId="1" fillId="38" borderId="27" xfId="0" applyFont="1" applyFill="1" applyBorder="1" applyAlignment="1">
      <alignment horizontal="center" vertical="top"/>
    </xf>
    <xf numFmtId="0" fontId="1" fillId="34" borderId="35" xfId="0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13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1" fillId="33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0" fontId="15" fillId="38" borderId="28" xfId="0" applyFont="1" applyFill="1" applyBorder="1" applyAlignment="1">
      <alignment/>
    </xf>
    <xf numFmtId="0" fontId="15" fillId="38" borderId="28" xfId="0" applyFont="1" applyFill="1" applyBorder="1" applyAlignment="1">
      <alignment horizontal="center"/>
    </xf>
    <xf numFmtId="0" fontId="15" fillId="13" borderId="23" xfId="0" applyFont="1" applyFill="1" applyBorder="1" applyAlignment="1">
      <alignment/>
    </xf>
    <xf numFmtId="0" fontId="15" fillId="13" borderId="23" xfId="0" applyFont="1" applyFill="1" applyBorder="1" applyAlignment="1">
      <alignment horizontal="center"/>
    </xf>
    <xf numFmtId="0" fontId="1" fillId="13" borderId="54" xfId="0" applyFont="1" applyFill="1" applyBorder="1" applyAlignment="1">
      <alignment horizontal="center" vertical="center" textRotation="90" wrapText="1"/>
    </xf>
    <xf numFmtId="0" fontId="1" fillId="13" borderId="57" xfId="0" applyFont="1" applyFill="1" applyBorder="1" applyAlignment="1">
      <alignment horizontal="center" vertical="center" textRotation="90" wrapText="1"/>
    </xf>
    <xf numFmtId="0" fontId="15" fillId="34" borderId="28" xfId="0" applyFont="1" applyFill="1" applyBorder="1" applyAlignment="1">
      <alignment/>
    </xf>
    <xf numFmtId="0" fontId="15" fillId="34" borderId="28" xfId="0" applyFont="1" applyFill="1" applyBorder="1" applyAlignment="1">
      <alignment horizontal="center"/>
    </xf>
    <xf numFmtId="0" fontId="15" fillId="38" borderId="23" xfId="0" applyFont="1" applyFill="1" applyBorder="1" applyAlignment="1">
      <alignment/>
    </xf>
    <xf numFmtId="0" fontId="1" fillId="38" borderId="42" xfId="0" applyFont="1" applyFill="1" applyBorder="1" applyAlignment="1">
      <alignment horizontal="center" vertical="center" textRotation="90" wrapText="1"/>
    </xf>
    <xf numFmtId="0" fontId="1" fillId="38" borderId="14" xfId="0" applyFont="1" applyFill="1" applyBorder="1" applyAlignment="1">
      <alignment horizontal="center" vertical="center" textRotation="90" wrapText="1"/>
    </xf>
    <xf numFmtId="0" fontId="15" fillId="34" borderId="23" xfId="0" applyFont="1" applyFill="1" applyBorder="1" applyAlignment="1">
      <alignment/>
    </xf>
    <xf numFmtId="0" fontId="1" fillId="13" borderId="28" xfId="0" applyFont="1" applyFill="1" applyBorder="1" applyAlignment="1">
      <alignment/>
    </xf>
    <xf numFmtId="0" fontId="1" fillId="13" borderId="28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left" vertical="top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/>
    </xf>
    <xf numFmtId="2" fontId="1" fillId="13" borderId="28" xfId="0" applyNumberFormat="1" applyFont="1" applyFill="1" applyBorder="1" applyAlignment="1">
      <alignment horizontal="center" vertical="center"/>
    </xf>
    <xf numFmtId="1" fontId="1" fillId="38" borderId="28" xfId="0" applyNumberFormat="1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/>
    </xf>
    <xf numFmtId="167" fontId="1" fillId="38" borderId="28" xfId="0" applyNumberFormat="1" applyFont="1" applyFill="1" applyBorder="1" applyAlignment="1">
      <alignment horizontal="center" vertical="center"/>
    </xf>
    <xf numFmtId="2" fontId="1" fillId="38" borderId="28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left" vertical="top" wrapText="1"/>
    </xf>
    <xf numFmtId="0" fontId="1" fillId="13" borderId="23" xfId="0" applyFont="1" applyFill="1" applyBorder="1" applyAlignment="1">
      <alignment horizontal="center" vertical="center" wrapText="1"/>
    </xf>
    <xf numFmtId="0" fontId="1" fillId="36" borderId="23" xfId="59" applyFont="1" applyFill="1" applyBorder="1" applyAlignment="1" applyProtection="1">
      <alignment horizontal="left" wrapText="1"/>
      <protection locked="0"/>
    </xf>
    <xf numFmtId="0" fontId="10" fillId="34" borderId="28" xfId="59" applyFont="1" applyFill="1" applyBorder="1" applyAlignment="1" applyProtection="1">
      <alignment horizontal="left" wrapText="1"/>
      <protection locked="0"/>
    </xf>
    <xf numFmtId="0" fontId="10" fillId="34" borderId="28" xfId="59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59" applyFont="1" applyFill="1" applyBorder="1" applyAlignment="1" applyProtection="1">
      <alignment horizontal="center" vertical="center"/>
      <protection locked="0"/>
    </xf>
    <xf numFmtId="4" fontId="10" fillId="34" borderId="28" xfId="60" applyNumberFormat="1" applyFont="1" applyFill="1" applyBorder="1" applyAlignment="1" applyProtection="1">
      <alignment horizontal="center" wrapText="1"/>
      <protection locked="0"/>
    </xf>
    <xf numFmtId="2" fontId="1" fillId="34" borderId="28" xfId="59" applyNumberFormat="1" applyFont="1" applyFill="1" applyBorder="1" applyAlignment="1" applyProtection="1">
      <alignment horizontal="center" vertical="center"/>
      <protection locked="0"/>
    </xf>
    <xf numFmtId="2" fontId="10" fillId="34" borderId="28" xfId="60" applyNumberFormat="1" applyFont="1" applyFill="1" applyBorder="1" applyAlignment="1" applyProtection="1">
      <alignment horizontal="center" vertical="center" wrapText="1"/>
      <protection locked="0"/>
    </xf>
    <xf numFmtId="0" fontId="1" fillId="34" borderId="28" xfId="0" applyFont="1" applyFill="1" applyBorder="1" applyAlignment="1">
      <alignment horizontal="center" vertical="center" textRotation="90" wrapText="1"/>
    </xf>
    <xf numFmtId="1" fontId="1" fillId="33" borderId="23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vertical="top"/>
    </xf>
    <xf numFmtId="2" fontId="1" fillId="34" borderId="23" xfId="0" applyNumberFormat="1" applyFont="1" applyFill="1" applyBorder="1" applyAlignment="1">
      <alignment vertical="top"/>
    </xf>
    <xf numFmtId="1" fontId="1" fillId="34" borderId="23" xfId="0" applyNumberFormat="1" applyFont="1" applyFill="1" applyBorder="1" applyAlignment="1">
      <alignment vertical="top"/>
    </xf>
    <xf numFmtId="2" fontId="1" fillId="34" borderId="23" xfId="0" applyNumberFormat="1" applyFont="1" applyFill="1" applyBorder="1" applyAlignment="1">
      <alignment horizontal="right" vertical="top"/>
    </xf>
    <xf numFmtId="167" fontId="1" fillId="34" borderId="23" xfId="0" applyNumberFormat="1" applyFont="1" applyFill="1" applyBorder="1" applyAlignment="1">
      <alignment vertical="top"/>
    </xf>
    <xf numFmtId="2" fontId="1" fillId="34" borderId="26" xfId="0" applyNumberFormat="1" applyFont="1" applyFill="1" applyBorder="1" applyAlignment="1">
      <alignment vertical="top"/>
    </xf>
    <xf numFmtId="0" fontId="4" fillId="34" borderId="15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 applyProtection="1">
      <alignment/>
      <protection locked="0"/>
    </xf>
    <xf numFmtId="0" fontId="1" fillId="38" borderId="28" xfId="0" applyFont="1" applyFill="1" applyBorder="1" applyAlignment="1" applyProtection="1">
      <alignment/>
      <protection locked="0"/>
    </xf>
    <xf numFmtId="0" fontId="1" fillId="38" borderId="28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/>
      <protection locked="0"/>
    </xf>
    <xf numFmtId="0" fontId="1" fillId="13" borderId="11" xfId="0" applyFont="1" applyFill="1" applyBorder="1" applyAlignment="1" applyProtection="1">
      <alignment/>
      <protection locked="0"/>
    </xf>
    <xf numFmtId="0" fontId="1" fillId="38" borderId="1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locked="0"/>
    </xf>
    <xf numFmtId="0" fontId="3" fillId="0" borderId="43" xfId="0" applyFont="1" applyBorder="1" applyAlignment="1">
      <alignment/>
    </xf>
    <xf numFmtId="0" fontId="1" fillId="13" borderId="28" xfId="0" applyFont="1" applyFill="1" applyBorder="1" applyAlignment="1">
      <alignment vertical="top"/>
    </xf>
    <xf numFmtId="0" fontId="1" fillId="13" borderId="28" xfId="0" applyFont="1" applyFill="1" applyBorder="1" applyAlignment="1">
      <alignment horizontal="center"/>
    </xf>
    <xf numFmtId="0" fontId="1" fillId="33" borderId="23" xfId="0" applyFont="1" applyFill="1" applyBorder="1" applyAlignment="1">
      <alignment vertical="top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 vertical="top"/>
    </xf>
    <xf numFmtId="0" fontId="1" fillId="38" borderId="28" xfId="0" applyFont="1" applyFill="1" applyBorder="1" applyAlignment="1">
      <alignment vertical="top"/>
    </xf>
    <xf numFmtId="0" fontId="1" fillId="38" borderId="28" xfId="0" applyFont="1" applyFill="1" applyBorder="1" applyAlignment="1">
      <alignment horizontal="center"/>
    </xf>
    <xf numFmtId="0" fontId="1" fillId="13" borderId="23" xfId="0" applyFont="1" applyFill="1" applyBorder="1" applyAlignment="1">
      <alignment vertical="top"/>
    </xf>
    <xf numFmtId="0" fontId="1" fillId="34" borderId="28" xfId="0" applyFont="1" applyFill="1" applyBorder="1" applyAlignment="1">
      <alignment vertical="top"/>
    </xf>
    <xf numFmtId="0" fontId="1" fillId="34" borderId="28" xfId="0" applyFont="1" applyFill="1" applyBorder="1" applyAlignment="1">
      <alignment horizontal="center"/>
    </xf>
    <xf numFmtId="0" fontId="1" fillId="38" borderId="23" xfId="0" applyFont="1" applyFill="1" applyBorder="1" applyAlignment="1">
      <alignment vertical="top"/>
    </xf>
    <xf numFmtId="165" fontId="1" fillId="38" borderId="28" xfId="0" applyNumberFormat="1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/>
    </xf>
    <xf numFmtId="0" fontId="1" fillId="35" borderId="23" xfId="0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8" borderId="28" xfId="0" applyFont="1" applyFill="1" applyBorder="1" applyAlignment="1">
      <alignment horizontal="center" vertical="center" textRotation="90" wrapText="1"/>
    </xf>
    <xf numFmtId="166" fontId="1" fillId="13" borderId="28" xfId="0" applyNumberFormat="1" applyFont="1" applyFill="1" applyBorder="1" applyAlignment="1">
      <alignment horizontal="center" vertical="center"/>
    </xf>
    <xf numFmtId="167" fontId="1" fillId="13" borderId="28" xfId="0" applyNumberFormat="1" applyFont="1" applyFill="1" applyBorder="1" applyAlignment="1">
      <alignment horizontal="center" vertical="center"/>
    </xf>
    <xf numFmtId="166" fontId="1" fillId="38" borderId="28" xfId="0" applyNumberFormat="1" applyFont="1" applyFill="1" applyBorder="1" applyAlignment="1">
      <alignment horizontal="center" vertical="center"/>
    </xf>
    <xf numFmtId="2" fontId="1" fillId="38" borderId="37" xfId="0" applyNumberFormat="1" applyFont="1" applyFill="1" applyBorder="1" applyAlignment="1">
      <alignment horizontal="center" vertical="center"/>
    </xf>
    <xf numFmtId="166" fontId="1" fillId="13" borderId="23" xfId="0" applyNumberFormat="1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6" fontId="1" fillId="34" borderId="28" xfId="0" applyNumberFormat="1" applyFont="1" applyFill="1" applyBorder="1" applyAlignment="1">
      <alignment horizontal="center" vertical="center"/>
    </xf>
    <xf numFmtId="167" fontId="1" fillId="34" borderId="28" xfId="0" applyNumberFormat="1" applyFont="1" applyFill="1" applyBorder="1" applyAlignment="1">
      <alignment horizontal="center" vertical="center"/>
    </xf>
    <xf numFmtId="2" fontId="1" fillId="34" borderId="28" xfId="0" applyNumberFormat="1" applyFont="1" applyFill="1" applyBorder="1" applyAlignment="1">
      <alignment horizontal="center" vertical="center"/>
    </xf>
    <xf numFmtId="2" fontId="1" fillId="34" borderId="37" xfId="0" applyNumberFormat="1" applyFont="1" applyFill="1" applyBorder="1" applyAlignment="1">
      <alignment horizontal="center" vertical="center"/>
    </xf>
    <xf numFmtId="166" fontId="1" fillId="38" borderId="23" xfId="0" applyNumberFormat="1" applyFont="1" applyFill="1" applyBorder="1" applyAlignment="1">
      <alignment horizontal="center" vertical="center"/>
    </xf>
    <xf numFmtId="166" fontId="1" fillId="34" borderId="23" xfId="0" applyNumberFormat="1" applyFont="1" applyFill="1" applyBorder="1" applyAlignment="1">
      <alignment horizontal="center" vertical="center"/>
    </xf>
    <xf numFmtId="0" fontId="1" fillId="0" borderId="67" xfId="0" applyFont="1" applyBorder="1" applyAlignment="1">
      <alignment/>
    </xf>
    <xf numFmtId="0" fontId="4" fillId="34" borderId="23" xfId="0" applyFont="1" applyFill="1" applyBorder="1" applyAlignment="1">
      <alignment horizontal="center" vertical="center" textRotation="90" wrapText="1"/>
    </xf>
    <xf numFmtId="0" fontId="1" fillId="38" borderId="23" xfId="0" applyFont="1" applyFill="1" applyBorder="1" applyAlignment="1">
      <alignment wrapText="1"/>
    </xf>
    <xf numFmtId="165" fontId="1" fillId="33" borderId="21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165" fontId="1" fillId="37" borderId="10" xfId="0" applyNumberFormat="1" applyFont="1" applyFill="1" applyBorder="1" applyAlignment="1">
      <alignment horizontal="center" vertical="center"/>
    </xf>
    <xf numFmtId="165" fontId="1" fillId="33" borderId="23" xfId="0" applyNumberFormat="1" applyFont="1" applyFill="1" applyBorder="1" applyAlignment="1">
      <alignment horizontal="center" vertical="center"/>
    </xf>
    <xf numFmtId="165" fontId="1" fillId="13" borderId="21" xfId="0" applyNumberFormat="1" applyFont="1" applyFill="1" applyBorder="1" applyAlignment="1">
      <alignment horizontal="center" vertical="center"/>
    </xf>
    <xf numFmtId="165" fontId="1" fillId="13" borderId="10" xfId="0" applyNumberFormat="1" applyFont="1" applyFill="1" applyBorder="1" applyAlignment="1">
      <alignment horizontal="center" vertical="center"/>
    </xf>
    <xf numFmtId="165" fontId="1" fillId="13" borderId="23" xfId="0" applyNumberFormat="1" applyFont="1" applyFill="1" applyBorder="1" applyAlignment="1">
      <alignment horizontal="center" vertical="center"/>
    </xf>
    <xf numFmtId="165" fontId="1" fillId="38" borderId="21" xfId="0" applyNumberFormat="1" applyFont="1" applyFill="1" applyBorder="1" applyAlignment="1">
      <alignment horizontal="center" vertical="center"/>
    </xf>
    <xf numFmtId="165" fontId="1" fillId="38" borderId="10" xfId="0" applyNumberFormat="1" applyFont="1" applyFill="1" applyBorder="1" applyAlignment="1">
      <alignment horizontal="center" vertical="center"/>
    </xf>
    <xf numFmtId="165" fontId="1" fillId="38" borderId="23" xfId="0" applyNumberFormat="1" applyFont="1" applyFill="1" applyBorder="1" applyAlignment="1">
      <alignment horizontal="center" vertical="center"/>
    </xf>
    <xf numFmtId="165" fontId="1" fillId="34" borderId="21" xfId="0" applyNumberFormat="1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165" fontId="1" fillId="34" borderId="23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1" fontId="1" fillId="35" borderId="23" xfId="0" applyNumberFormat="1" applyFont="1" applyFill="1" applyBorder="1" applyAlignment="1">
      <alignment horizontal="center" vertical="center"/>
    </xf>
    <xf numFmtId="1" fontId="1" fillId="13" borderId="21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1" fontId="1" fillId="13" borderId="23" xfId="0" applyNumberFormat="1" applyFont="1" applyFill="1" applyBorder="1" applyAlignment="1">
      <alignment horizontal="center" vertical="center"/>
    </xf>
    <xf numFmtId="1" fontId="1" fillId="38" borderId="21" xfId="0" applyNumberFormat="1" applyFont="1" applyFill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center" vertical="center"/>
    </xf>
    <xf numFmtId="1" fontId="1" fillId="38" borderId="23" xfId="0" applyNumberFormat="1" applyFont="1" applyFill="1" applyBorder="1" applyAlignment="1">
      <alignment horizontal="center" vertical="center"/>
    </xf>
    <xf numFmtId="1" fontId="1" fillId="34" borderId="21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23" xfId="0" applyNumberFormat="1" applyFont="1" applyFill="1" applyBorder="1" applyAlignment="1">
      <alignment horizontal="center" vertical="center"/>
    </xf>
    <xf numFmtId="166" fontId="1" fillId="33" borderId="23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65" fontId="15" fillId="33" borderId="33" xfId="0" applyNumberFormat="1" applyFont="1" applyFill="1" applyBorder="1" applyAlignment="1">
      <alignment horizontal="center"/>
    </xf>
    <xf numFmtId="165" fontId="15" fillId="33" borderId="24" xfId="0" applyNumberFormat="1" applyFont="1" applyFill="1" applyBorder="1" applyAlignment="1">
      <alignment horizontal="center"/>
    </xf>
    <xf numFmtId="165" fontId="15" fillId="33" borderId="27" xfId="0" applyNumberFormat="1" applyFont="1" applyFill="1" applyBorder="1" applyAlignment="1">
      <alignment horizontal="center"/>
    </xf>
    <xf numFmtId="165" fontId="15" fillId="13" borderId="35" xfId="0" applyNumberFormat="1" applyFont="1" applyFill="1" applyBorder="1" applyAlignment="1">
      <alignment horizontal="center"/>
    </xf>
    <xf numFmtId="165" fontId="15" fillId="13" borderId="24" xfId="0" applyNumberFormat="1" applyFont="1" applyFill="1" applyBorder="1" applyAlignment="1">
      <alignment horizontal="center"/>
    </xf>
    <xf numFmtId="165" fontId="15" fillId="13" borderId="23" xfId="0" applyNumberFormat="1" applyFont="1" applyFill="1" applyBorder="1" applyAlignment="1">
      <alignment horizontal="center"/>
    </xf>
    <xf numFmtId="165" fontId="15" fillId="13" borderId="27" xfId="0" applyNumberFormat="1" applyFont="1" applyFill="1" applyBorder="1" applyAlignment="1">
      <alignment horizontal="center"/>
    </xf>
    <xf numFmtId="165" fontId="15" fillId="38" borderId="28" xfId="0" applyNumberFormat="1" applyFont="1" applyFill="1" applyBorder="1" applyAlignment="1">
      <alignment horizontal="center"/>
    </xf>
    <xf numFmtId="165" fontId="15" fillId="38" borderId="23" xfId="0" applyNumberFormat="1" applyFont="1" applyFill="1" applyBorder="1" applyAlignment="1">
      <alignment horizontal="center"/>
    </xf>
    <xf numFmtId="165" fontId="15" fillId="34" borderId="28" xfId="0" applyNumberFormat="1" applyFont="1" applyFill="1" applyBorder="1" applyAlignment="1">
      <alignment horizontal="center"/>
    </xf>
    <xf numFmtId="165" fontId="15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5" fillId="34" borderId="23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2" fontId="1" fillId="33" borderId="38" xfId="0" applyNumberFormat="1" applyFont="1" applyFill="1" applyBorder="1" applyAlignment="1">
      <alignment horizontal="center"/>
    </xf>
    <xf numFmtId="2" fontId="1" fillId="13" borderId="35" xfId="0" applyNumberFormat="1" applyFont="1" applyFill="1" applyBorder="1" applyAlignment="1">
      <alignment horizontal="center"/>
    </xf>
    <xf numFmtId="2" fontId="1" fillId="13" borderId="58" xfId="0" applyNumberFormat="1" applyFont="1" applyFill="1" applyBorder="1" applyAlignment="1">
      <alignment horizontal="center"/>
    </xf>
    <xf numFmtId="1" fontId="1" fillId="38" borderId="28" xfId="0" applyNumberFormat="1" applyFont="1" applyFill="1" applyBorder="1" applyAlignment="1">
      <alignment horizontal="center"/>
    </xf>
    <xf numFmtId="2" fontId="1" fillId="38" borderId="33" xfId="0" applyNumberFormat="1" applyFont="1" applyFill="1" applyBorder="1" applyAlignment="1">
      <alignment horizontal="center"/>
    </xf>
    <xf numFmtId="2" fontId="1" fillId="38" borderId="35" xfId="0" applyNumberFormat="1" applyFont="1" applyFill="1" applyBorder="1" applyAlignment="1">
      <alignment horizontal="center"/>
    </xf>
    <xf numFmtId="2" fontId="1" fillId="38" borderId="38" xfId="0" applyNumberFormat="1" applyFont="1" applyFill="1" applyBorder="1" applyAlignment="1">
      <alignment horizontal="center"/>
    </xf>
    <xf numFmtId="1" fontId="1" fillId="34" borderId="28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 vertical="center"/>
    </xf>
    <xf numFmtId="165" fontId="1" fillId="33" borderId="28" xfId="0" applyNumberFormat="1" applyFont="1" applyFill="1" applyBorder="1" applyAlignment="1">
      <alignment horizontal="center" vertical="center"/>
    </xf>
    <xf numFmtId="165" fontId="1" fillId="13" borderId="28" xfId="0" applyNumberFormat="1" applyFont="1" applyFill="1" applyBorder="1" applyAlignment="1">
      <alignment horizontal="center" vertical="center"/>
    </xf>
    <xf numFmtId="165" fontId="1" fillId="38" borderId="28" xfId="0" applyNumberFormat="1" applyFont="1" applyFill="1" applyBorder="1" applyAlignment="1">
      <alignment horizontal="center" vertical="center"/>
    </xf>
    <xf numFmtId="165" fontId="1" fillId="34" borderId="28" xfId="0" applyNumberFormat="1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vertical="center"/>
    </xf>
    <xf numFmtId="165" fontId="1" fillId="34" borderId="1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1" fillId="33" borderId="23" xfId="0" applyNumberFormat="1" applyFont="1" applyFill="1" applyBorder="1" applyAlignment="1">
      <alignment horizontal="center" vertical="center" wrapText="1"/>
    </xf>
    <xf numFmtId="165" fontId="10" fillId="13" borderId="28" xfId="0" applyNumberFormat="1" applyFont="1" applyFill="1" applyBorder="1" applyAlignment="1">
      <alignment horizontal="center" vertical="top" wrapText="1"/>
    </xf>
    <xf numFmtId="165" fontId="1" fillId="13" borderId="28" xfId="0" applyNumberFormat="1" applyFont="1" applyFill="1" applyBorder="1" applyAlignment="1">
      <alignment horizontal="center" vertical="center" wrapText="1"/>
    </xf>
    <xf numFmtId="165" fontId="10" fillId="13" borderId="10" xfId="0" applyNumberFormat="1" applyFont="1" applyFill="1" applyBorder="1" applyAlignment="1">
      <alignment horizontal="center" vertical="top" wrapText="1"/>
    </xf>
    <xf numFmtId="165" fontId="1" fillId="13" borderId="10" xfId="0" applyNumberFormat="1" applyFont="1" applyFill="1" applyBorder="1" applyAlignment="1">
      <alignment horizontal="center" vertical="center" wrapText="1"/>
    </xf>
    <xf numFmtId="165" fontId="10" fillId="13" borderId="23" xfId="0" applyNumberFormat="1" applyFont="1" applyFill="1" applyBorder="1" applyAlignment="1">
      <alignment horizontal="center" vertical="top" wrapText="1"/>
    </xf>
    <xf numFmtId="165" fontId="1" fillId="13" borderId="23" xfId="0" applyNumberFormat="1" applyFont="1" applyFill="1" applyBorder="1" applyAlignment="1">
      <alignment horizontal="center" vertical="center" wrapText="1"/>
    </xf>
    <xf numFmtId="165" fontId="1" fillId="38" borderId="28" xfId="0" applyNumberFormat="1" applyFont="1" applyFill="1" applyBorder="1" applyAlignment="1">
      <alignment horizontal="center" vertical="center" wrapText="1"/>
    </xf>
    <xf numFmtId="165" fontId="1" fillId="38" borderId="10" xfId="0" applyNumberFormat="1" applyFont="1" applyFill="1" applyBorder="1" applyAlignment="1">
      <alignment horizontal="center" vertical="center" wrapText="1"/>
    </xf>
    <xf numFmtId="165" fontId="1" fillId="38" borderId="23" xfId="0" applyNumberFormat="1" applyFont="1" applyFill="1" applyBorder="1" applyAlignment="1">
      <alignment horizontal="center" vertical="center" wrapText="1"/>
    </xf>
    <xf numFmtId="1" fontId="1" fillId="13" borderId="28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3" borderId="23" xfId="0" applyNumberFormat="1" applyFont="1" applyFill="1" applyBorder="1" applyAlignment="1">
      <alignment horizontal="center" vertical="center" wrapText="1"/>
    </xf>
    <xf numFmtId="1" fontId="1" fillId="13" borderId="28" xfId="0" applyNumberFormat="1" applyFont="1" applyFill="1" applyBorder="1" applyAlignment="1">
      <alignment horizontal="center" vertical="center" wrapText="1"/>
    </xf>
    <xf numFmtId="1" fontId="1" fillId="13" borderId="21" xfId="0" applyNumberFormat="1" applyFont="1" applyFill="1" applyBorder="1" applyAlignment="1">
      <alignment horizontal="center"/>
    </xf>
    <xf numFmtId="1" fontId="1" fillId="38" borderId="21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167" fontId="1" fillId="33" borderId="28" xfId="0" applyNumberFormat="1" applyFont="1" applyFill="1" applyBorder="1" applyAlignment="1">
      <alignment horizontal="center" vertical="center"/>
    </xf>
    <xf numFmtId="2" fontId="1" fillId="33" borderId="35" xfId="0" applyNumberFormat="1" applyFont="1" applyFill="1" applyBorder="1" applyAlignment="1">
      <alignment horizontal="center" vertical="center"/>
    </xf>
    <xf numFmtId="2" fontId="1" fillId="33" borderId="3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2" fontId="1" fillId="13" borderId="37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top" wrapText="1"/>
    </xf>
    <xf numFmtId="3" fontId="10" fillId="33" borderId="28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left" vertical="top" wrapText="1"/>
    </xf>
    <xf numFmtId="3" fontId="10" fillId="13" borderId="28" xfId="0" applyNumberFormat="1" applyFont="1" applyFill="1" applyBorder="1" applyAlignment="1">
      <alignment horizontal="center" vertical="center" wrapText="1"/>
    </xf>
    <xf numFmtId="3" fontId="1" fillId="13" borderId="10" xfId="0" applyNumberFormat="1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left" vertical="top" wrapText="1"/>
    </xf>
    <xf numFmtId="3" fontId="10" fillId="13" borderId="10" xfId="0" applyNumberFormat="1" applyFont="1" applyFill="1" applyBorder="1" applyAlignment="1">
      <alignment horizontal="center" vertical="center" wrapText="1"/>
    </xf>
    <xf numFmtId="0" fontId="10" fillId="13" borderId="23" xfId="0" applyFont="1" applyFill="1" applyBorder="1" applyAlignment="1">
      <alignment horizontal="left" vertical="top" wrapText="1"/>
    </xf>
    <xf numFmtId="3" fontId="10" fillId="13" borderId="23" xfId="0" applyNumberFormat="1" applyFont="1" applyFill="1" applyBorder="1" applyAlignment="1">
      <alignment horizontal="center" vertical="center" wrapText="1"/>
    </xf>
    <xf numFmtId="0" fontId="10" fillId="38" borderId="28" xfId="0" applyFont="1" applyFill="1" applyBorder="1" applyAlignment="1">
      <alignment horizontal="left" vertical="top" wrapText="1"/>
    </xf>
    <xf numFmtId="3" fontId="10" fillId="38" borderId="28" xfId="0" applyNumberFormat="1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left" vertical="top" wrapText="1"/>
    </xf>
    <xf numFmtId="3" fontId="10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top" wrapText="1"/>
    </xf>
    <xf numFmtId="3" fontId="1" fillId="38" borderId="10" xfId="0" applyNumberFormat="1" applyFont="1" applyFill="1" applyBorder="1" applyAlignment="1">
      <alignment horizontal="center" vertical="center" wrapText="1"/>
    </xf>
    <xf numFmtId="0" fontId="10" fillId="38" borderId="23" xfId="0" applyFont="1" applyFill="1" applyBorder="1" applyAlignment="1">
      <alignment horizontal="left" vertical="top" wrapText="1"/>
    </xf>
    <xf numFmtId="3" fontId="10" fillId="38" borderId="23" xfId="0" applyNumberFormat="1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left" vertical="top" wrapText="1"/>
    </xf>
    <xf numFmtId="3" fontId="10" fillId="34" borderId="28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55" applyFont="1" applyFill="1" applyBorder="1" applyAlignment="1">
      <alignment horizontal="left" vertical="top" wrapText="1"/>
      <protection/>
    </xf>
    <xf numFmtId="3" fontId="10" fillId="34" borderId="10" xfId="55" applyNumberFormat="1" applyFont="1" applyFill="1" applyBorder="1" applyAlignment="1">
      <alignment horizontal="center" vertical="top" wrapText="1"/>
      <protection/>
    </xf>
    <xf numFmtId="2" fontId="10" fillId="34" borderId="10" xfId="55" applyNumberFormat="1" applyFont="1" applyFill="1" applyBorder="1" applyAlignment="1">
      <alignment horizontal="center" vertical="center" wrapText="1"/>
      <protection/>
    </xf>
    <xf numFmtId="165" fontId="10" fillId="33" borderId="28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165" fontId="53" fillId="33" borderId="28" xfId="0" applyNumberFormat="1" applyFont="1" applyFill="1" applyBorder="1" applyAlignment="1">
      <alignment horizontal="center" vertical="center"/>
    </xf>
    <xf numFmtId="165" fontId="10" fillId="13" borderId="28" xfId="0" applyNumberFormat="1" applyFont="1" applyFill="1" applyBorder="1" applyAlignment="1">
      <alignment horizontal="center" vertical="center" wrapText="1"/>
    </xf>
    <xf numFmtId="165" fontId="10" fillId="13" borderId="10" xfId="0" applyNumberFormat="1" applyFont="1" applyFill="1" applyBorder="1" applyAlignment="1">
      <alignment horizontal="center" vertical="center" wrapText="1"/>
    </xf>
    <xf numFmtId="165" fontId="10" fillId="13" borderId="23" xfId="0" applyNumberFormat="1" applyFont="1" applyFill="1" applyBorder="1" applyAlignment="1">
      <alignment horizontal="center" vertical="center" wrapText="1"/>
    </xf>
    <xf numFmtId="165" fontId="10" fillId="38" borderId="28" xfId="0" applyNumberFormat="1" applyFont="1" applyFill="1" applyBorder="1" applyAlignment="1">
      <alignment horizontal="center" vertical="center" wrapText="1"/>
    </xf>
    <xf numFmtId="165" fontId="10" fillId="38" borderId="10" xfId="0" applyNumberFormat="1" applyFont="1" applyFill="1" applyBorder="1" applyAlignment="1">
      <alignment horizontal="center" vertical="center" wrapText="1"/>
    </xf>
    <xf numFmtId="165" fontId="10" fillId="38" borderId="23" xfId="0" applyNumberFormat="1" applyFont="1" applyFill="1" applyBorder="1" applyAlignment="1">
      <alignment horizontal="center" vertical="center" wrapText="1"/>
    </xf>
    <xf numFmtId="165" fontId="1" fillId="34" borderId="28" xfId="0" applyNumberFormat="1" applyFont="1" applyFill="1" applyBorder="1" applyAlignment="1">
      <alignment horizontal="center" vertical="center" wrapText="1"/>
    </xf>
    <xf numFmtId="165" fontId="10" fillId="34" borderId="10" xfId="0" applyNumberFormat="1" applyFont="1" applyFill="1" applyBorder="1" applyAlignment="1">
      <alignment horizontal="center" vertical="center" wrapText="1"/>
    </xf>
    <xf numFmtId="1" fontId="10" fillId="33" borderId="28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13" borderId="28" xfId="0" applyNumberFormat="1" applyFont="1" applyFill="1" applyBorder="1" applyAlignment="1">
      <alignment horizontal="center" vertical="center" wrapText="1"/>
    </xf>
    <xf numFmtId="1" fontId="10" fillId="13" borderId="10" xfId="0" applyNumberFormat="1" applyFont="1" applyFill="1" applyBorder="1" applyAlignment="1">
      <alignment horizontal="center" vertical="center" wrapText="1"/>
    </xf>
    <xf numFmtId="1" fontId="10" fillId="13" borderId="23" xfId="0" applyNumberFormat="1" applyFont="1" applyFill="1" applyBorder="1" applyAlignment="1">
      <alignment horizontal="center" vertical="center" wrapText="1"/>
    </xf>
    <xf numFmtId="1" fontId="10" fillId="38" borderId="28" xfId="0" applyNumberFormat="1" applyFont="1" applyFill="1" applyBorder="1" applyAlignment="1">
      <alignment horizontal="center" vertical="center" wrapText="1"/>
    </xf>
    <xf numFmtId="1" fontId="10" fillId="38" borderId="10" xfId="0" applyNumberFormat="1" applyFont="1" applyFill="1" applyBorder="1" applyAlignment="1">
      <alignment horizontal="center" vertical="center" wrapText="1"/>
    </xf>
    <xf numFmtId="1" fontId="10" fillId="38" borderId="23" xfId="0" applyNumberFormat="1" applyFont="1" applyFill="1" applyBorder="1" applyAlignment="1">
      <alignment horizontal="center" vertical="center" wrapText="1"/>
    </xf>
    <xf numFmtId="1" fontId="10" fillId="34" borderId="28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2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 locked="0"/>
    </xf>
    <xf numFmtId="2" fontId="1" fillId="33" borderId="23" xfId="0" applyNumberFormat="1" applyFont="1" applyFill="1" applyBorder="1" applyAlignment="1" applyProtection="1">
      <alignment horizontal="center"/>
      <protection/>
    </xf>
    <xf numFmtId="2" fontId="1" fillId="33" borderId="26" xfId="0" applyNumberFormat="1" applyFont="1" applyFill="1" applyBorder="1" applyAlignment="1" applyProtection="1">
      <alignment horizontal="center"/>
      <protection/>
    </xf>
    <xf numFmtId="2" fontId="1" fillId="38" borderId="28" xfId="0" applyNumberFormat="1" applyFont="1" applyFill="1" applyBorder="1" applyAlignment="1" applyProtection="1">
      <alignment horizontal="center"/>
      <protection locked="0"/>
    </xf>
    <xf numFmtId="2" fontId="1" fillId="38" borderId="28" xfId="0" applyNumberFormat="1" applyFont="1" applyFill="1" applyBorder="1" applyAlignment="1" applyProtection="1">
      <alignment horizontal="center"/>
      <protection/>
    </xf>
    <xf numFmtId="2" fontId="1" fillId="38" borderId="37" xfId="0" applyNumberFormat="1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/>
      <protection locked="0"/>
    </xf>
    <xf numFmtId="2" fontId="1" fillId="38" borderId="10" xfId="0" applyNumberFormat="1" applyFont="1" applyFill="1" applyBorder="1" applyAlignment="1" applyProtection="1">
      <alignment horizontal="center"/>
      <protection/>
    </xf>
    <xf numFmtId="2" fontId="1" fillId="38" borderId="25" xfId="0" applyNumberFormat="1" applyFont="1" applyFill="1" applyBorder="1" applyAlignment="1" applyProtection="1">
      <alignment horizontal="center"/>
      <protection/>
    </xf>
    <xf numFmtId="2" fontId="1" fillId="38" borderId="23" xfId="0" applyNumberFormat="1" applyFont="1" applyFill="1" applyBorder="1" applyAlignment="1" applyProtection="1">
      <alignment horizontal="center"/>
      <protection locked="0"/>
    </xf>
    <xf numFmtId="2" fontId="1" fillId="38" borderId="23" xfId="0" applyNumberFormat="1" applyFont="1" applyFill="1" applyBorder="1" applyAlignment="1" applyProtection="1">
      <alignment horizontal="center"/>
      <protection/>
    </xf>
    <xf numFmtId="2" fontId="1" fillId="38" borderId="26" xfId="0" applyNumberFormat="1" applyFont="1" applyFill="1" applyBorder="1" applyAlignment="1" applyProtection="1">
      <alignment horizontal="center"/>
      <protection/>
    </xf>
    <xf numFmtId="2" fontId="1" fillId="34" borderId="23" xfId="0" applyNumberFormat="1" applyFont="1" applyFill="1" applyBorder="1" applyAlignment="1" applyProtection="1">
      <alignment horizontal="center"/>
      <protection locked="0"/>
    </xf>
    <xf numFmtId="2" fontId="1" fillId="34" borderId="23" xfId="0" applyNumberFormat="1" applyFont="1" applyFill="1" applyBorder="1" applyAlignment="1" applyProtection="1">
      <alignment horizontal="center"/>
      <protection/>
    </xf>
    <xf numFmtId="2" fontId="1" fillId="34" borderId="26" xfId="0" applyNumberFormat="1" applyFont="1" applyFill="1" applyBorder="1" applyAlignment="1" applyProtection="1">
      <alignment horizontal="center"/>
      <protection/>
    </xf>
    <xf numFmtId="165" fontId="1" fillId="33" borderId="28" xfId="0" applyNumberFormat="1" applyFont="1" applyFill="1" applyBorder="1" applyAlignment="1" applyProtection="1">
      <alignment horizontal="center"/>
      <protection locked="0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1" fillId="33" borderId="23" xfId="0" applyNumberFormat="1" applyFont="1" applyFill="1" applyBorder="1" applyAlignment="1" applyProtection="1">
      <alignment horizontal="center"/>
      <protection locked="0"/>
    </xf>
    <xf numFmtId="165" fontId="1" fillId="38" borderId="28" xfId="0" applyNumberFormat="1" applyFont="1" applyFill="1" applyBorder="1" applyAlignment="1" applyProtection="1">
      <alignment horizontal="center"/>
      <protection locked="0"/>
    </xf>
    <xf numFmtId="165" fontId="1" fillId="38" borderId="10" xfId="0" applyNumberFormat="1" applyFont="1" applyFill="1" applyBorder="1" applyAlignment="1" applyProtection="1">
      <alignment horizontal="center"/>
      <protection locked="0"/>
    </xf>
    <xf numFmtId="165" fontId="1" fillId="38" borderId="23" xfId="0" applyNumberFormat="1" applyFont="1" applyFill="1" applyBorder="1" applyAlignment="1" applyProtection="1">
      <alignment horizontal="center"/>
      <protection locked="0"/>
    </xf>
    <xf numFmtId="165" fontId="1" fillId="34" borderId="28" xfId="0" applyNumberFormat="1" applyFont="1" applyFill="1" applyBorder="1" applyAlignment="1" applyProtection="1">
      <alignment horizontal="center"/>
      <protection locked="0"/>
    </xf>
    <xf numFmtId="165" fontId="1" fillId="34" borderId="23" xfId="0" applyNumberFormat="1" applyFont="1" applyFill="1" applyBorder="1" applyAlignment="1" applyProtection="1">
      <alignment horizontal="center"/>
      <protection locked="0"/>
    </xf>
    <xf numFmtId="1" fontId="1" fillId="33" borderId="28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33" borderId="23" xfId="0" applyNumberFormat="1" applyFont="1" applyFill="1" applyBorder="1" applyAlignment="1" applyProtection="1">
      <alignment horizontal="center"/>
      <protection locked="0"/>
    </xf>
    <xf numFmtId="1" fontId="1" fillId="13" borderId="28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13" borderId="23" xfId="0" applyNumberFormat="1" applyFont="1" applyFill="1" applyBorder="1" applyAlignment="1" applyProtection="1">
      <alignment horizontal="center"/>
      <protection locked="0"/>
    </xf>
    <xf numFmtId="1" fontId="1" fillId="38" borderId="28" xfId="0" applyNumberFormat="1" applyFont="1" applyFill="1" applyBorder="1" applyAlignment="1" applyProtection="1">
      <alignment horizontal="center"/>
      <protection locked="0"/>
    </xf>
    <xf numFmtId="1" fontId="1" fillId="38" borderId="10" xfId="0" applyNumberFormat="1" applyFont="1" applyFill="1" applyBorder="1" applyAlignment="1" applyProtection="1">
      <alignment horizontal="center"/>
      <protection locked="0"/>
    </xf>
    <xf numFmtId="1" fontId="1" fillId="38" borderId="23" xfId="0" applyNumberFormat="1" applyFont="1" applyFill="1" applyBorder="1" applyAlignment="1" applyProtection="1">
      <alignment horizontal="center"/>
      <protection locked="0"/>
    </xf>
    <xf numFmtId="1" fontId="1" fillId="34" borderId="28" xfId="0" applyNumberFormat="1" applyFont="1" applyFill="1" applyBorder="1" applyAlignment="1" applyProtection="1">
      <alignment horizontal="center"/>
      <protection locked="0"/>
    </xf>
    <xf numFmtId="1" fontId="1" fillId="34" borderId="23" xfId="0" applyNumberFormat="1" applyFont="1" applyFill="1" applyBorder="1" applyAlignment="1" applyProtection="1">
      <alignment horizontal="center"/>
      <protection locked="0"/>
    </xf>
    <xf numFmtId="175" fontId="1" fillId="33" borderId="28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75" fontId="1" fillId="33" borderId="23" xfId="0" applyNumberFormat="1" applyFont="1" applyFill="1" applyBorder="1" applyAlignment="1" applyProtection="1">
      <alignment horizontal="center"/>
      <protection/>
    </xf>
    <xf numFmtId="175" fontId="1" fillId="13" borderId="28" xfId="0" applyNumberFormat="1" applyFont="1" applyFill="1" applyBorder="1" applyAlignment="1" applyProtection="1">
      <alignment horizontal="center"/>
      <protection/>
    </xf>
    <xf numFmtId="175" fontId="1" fillId="13" borderId="10" xfId="0" applyNumberFormat="1" applyFont="1" applyFill="1" applyBorder="1" applyAlignment="1" applyProtection="1">
      <alignment horizontal="center"/>
      <protection/>
    </xf>
    <xf numFmtId="175" fontId="1" fillId="13" borderId="23" xfId="0" applyNumberFormat="1" applyFont="1" applyFill="1" applyBorder="1" applyAlignment="1" applyProtection="1">
      <alignment horizontal="center"/>
      <protection/>
    </xf>
    <xf numFmtId="175" fontId="1" fillId="38" borderId="28" xfId="0" applyNumberFormat="1" applyFont="1" applyFill="1" applyBorder="1" applyAlignment="1" applyProtection="1">
      <alignment horizontal="center"/>
      <protection/>
    </xf>
    <xf numFmtId="175" fontId="1" fillId="38" borderId="10" xfId="0" applyNumberFormat="1" applyFont="1" applyFill="1" applyBorder="1" applyAlignment="1" applyProtection="1">
      <alignment horizontal="center"/>
      <protection/>
    </xf>
    <xf numFmtId="175" fontId="1" fillId="38" borderId="23" xfId="0" applyNumberFormat="1" applyFont="1" applyFill="1" applyBorder="1" applyAlignment="1" applyProtection="1">
      <alignment horizontal="center"/>
      <protection/>
    </xf>
    <xf numFmtId="175" fontId="1" fillId="34" borderId="28" xfId="0" applyNumberFormat="1" applyFont="1" applyFill="1" applyBorder="1" applyAlignment="1" applyProtection="1">
      <alignment horizontal="center"/>
      <protection/>
    </xf>
    <xf numFmtId="175" fontId="1" fillId="34" borderId="10" xfId="0" applyNumberFormat="1" applyFont="1" applyFill="1" applyBorder="1" applyAlignment="1" applyProtection="1">
      <alignment horizontal="center"/>
      <protection/>
    </xf>
    <xf numFmtId="175" fontId="1" fillId="34" borderId="23" xfId="0" applyNumberFormat="1" applyFont="1" applyFill="1" applyBorder="1" applyAlignment="1" applyProtection="1">
      <alignment horizontal="center"/>
      <protection/>
    </xf>
    <xf numFmtId="2" fontId="1" fillId="13" borderId="14" xfId="0" applyNumberFormat="1" applyFont="1" applyFill="1" applyBorder="1" applyAlignment="1">
      <alignment horizontal="center"/>
    </xf>
    <xf numFmtId="1" fontId="1" fillId="13" borderId="14" xfId="0" applyNumberFormat="1" applyFont="1" applyFill="1" applyBorder="1" applyAlignment="1">
      <alignment horizontal="center"/>
    </xf>
    <xf numFmtId="167" fontId="1" fillId="13" borderId="14" xfId="0" applyNumberFormat="1" applyFont="1" applyFill="1" applyBorder="1" applyAlignment="1">
      <alignment horizontal="center"/>
    </xf>
    <xf numFmtId="2" fontId="1" fillId="13" borderId="38" xfId="0" applyNumberFormat="1" applyFont="1" applyFill="1" applyBorder="1" applyAlignment="1">
      <alignment horizontal="center"/>
    </xf>
    <xf numFmtId="2" fontId="1" fillId="38" borderId="24" xfId="0" applyNumberFormat="1" applyFont="1" applyFill="1" applyBorder="1" applyAlignment="1">
      <alignment horizontal="center"/>
    </xf>
    <xf numFmtId="2" fontId="1" fillId="38" borderId="27" xfId="0" applyNumberFormat="1" applyFont="1" applyFill="1" applyBorder="1" applyAlignment="1">
      <alignment horizontal="center"/>
    </xf>
    <xf numFmtId="165" fontId="1" fillId="13" borderId="14" xfId="0" applyNumberFormat="1" applyFont="1" applyFill="1" applyBorder="1" applyAlignment="1">
      <alignment horizontal="center"/>
    </xf>
    <xf numFmtId="167" fontId="1" fillId="33" borderId="21" xfId="0" applyNumberFormat="1" applyFont="1" applyFill="1" applyBorder="1" applyAlignment="1" applyProtection="1">
      <alignment horizontal="center"/>
      <protection/>
    </xf>
    <xf numFmtId="2" fontId="1" fillId="33" borderId="21" xfId="0" applyNumberFormat="1" applyFont="1" applyFill="1" applyBorder="1" applyAlignment="1" applyProtection="1">
      <alignment horizontal="center"/>
      <protection locked="0"/>
    </xf>
    <xf numFmtId="2" fontId="1" fillId="33" borderId="21" xfId="0" applyNumberFormat="1" applyFont="1" applyFill="1" applyBorder="1" applyAlignment="1" applyProtection="1">
      <alignment horizontal="center"/>
      <protection/>
    </xf>
    <xf numFmtId="167" fontId="1" fillId="33" borderId="23" xfId="0" applyNumberFormat="1" applyFont="1" applyFill="1" applyBorder="1" applyAlignment="1" applyProtection="1">
      <alignment horizontal="center"/>
      <protection/>
    </xf>
    <xf numFmtId="167" fontId="1" fillId="38" borderId="21" xfId="0" applyNumberFormat="1" applyFont="1" applyFill="1" applyBorder="1" applyAlignment="1" applyProtection="1">
      <alignment horizontal="center"/>
      <protection/>
    </xf>
    <xf numFmtId="2" fontId="1" fillId="38" borderId="21" xfId="0" applyNumberFormat="1" applyFont="1" applyFill="1" applyBorder="1" applyAlignment="1" applyProtection="1">
      <alignment horizontal="center"/>
      <protection locked="0"/>
    </xf>
    <xf numFmtId="2" fontId="1" fillId="38" borderId="21" xfId="0" applyNumberFormat="1" applyFont="1" applyFill="1" applyBorder="1" applyAlignment="1" applyProtection="1">
      <alignment horizontal="center"/>
      <protection/>
    </xf>
    <xf numFmtId="2" fontId="1" fillId="38" borderId="34" xfId="0" applyNumberFormat="1" applyFont="1" applyFill="1" applyBorder="1" applyAlignment="1" applyProtection="1">
      <alignment horizontal="center"/>
      <protection/>
    </xf>
    <xf numFmtId="167" fontId="1" fillId="38" borderId="10" xfId="0" applyNumberFormat="1" applyFont="1" applyFill="1" applyBorder="1" applyAlignment="1" applyProtection="1">
      <alignment horizontal="center"/>
      <protection/>
    </xf>
    <xf numFmtId="167" fontId="1" fillId="38" borderId="23" xfId="0" applyNumberFormat="1" applyFont="1" applyFill="1" applyBorder="1" applyAlignment="1" applyProtection="1">
      <alignment horizontal="center"/>
      <protection/>
    </xf>
    <xf numFmtId="167" fontId="1" fillId="34" borderId="23" xfId="0" applyNumberFormat="1" applyFont="1" applyFill="1" applyBorder="1" applyAlignment="1" applyProtection="1">
      <alignment horizontal="center"/>
      <protection/>
    </xf>
    <xf numFmtId="165" fontId="1" fillId="33" borderId="21" xfId="0" applyNumberFormat="1" applyFont="1" applyFill="1" applyBorder="1" applyAlignment="1" applyProtection="1">
      <alignment horizontal="center"/>
      <protection locked="0"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165" fontId="1" fillId="38" borderId="21" xfId="0" applyNumberFormat="1" applyFont="1" applyFill="1" applyBorder="1" applyAlignment="1" applyProtection="1">
      <alignment horizontal="center"/>
      <protection locked="0"/>
    </xf>
    <xf numFmtId="165" fontId="1" fillId="34" borderId="21" xfId="0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13" borderId="21" xfId="0" applyNumberFormat="1" applyFont="1" applyFill="1" applyBorder="1" applyAlignment="1" applyProtection="1">
      <alignment horizontal="center"/>
      <protection locked="0"/>
    </xf>
    <xf numFmtId="1" fontId="1" fillId="38" borderId="21" xfId="0" applyNumberFormat="1" applyFont="1" applyFill="1" applyBorder="1" applyAlignment="1" applyProtection="1">
      <alignment horizontal="center"/>
      <protection locked="0"/>
    </xf>
    <xf numFmtId="1" fontId="1" fillId="34" borderId="21" xfId="0" applyNumberFormat="1" applyFont="1" applyFill="1" applyBorder="1" applyAlignment="1" applyProtection="1">
      <alignment horizontal="center"/>
      <protection locked="0"/>
    </xf>
    <xf numFmtId="3" fontId="10" fillId="33" borderId="28" xfId="0" applyNumberFormat="1" applyFont="1" applyFill="1" applyBorder="1" applyAlignment="1">
      <alignment horizontal="center" vertical="top"/>
    </xf>
    <xf numFmtId="167" fontId="1" fillId="33" borderId="28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 vertical="top"/>
    </xf>
    <xf numFmtId="167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3" fontId="10" fillId="33" borderId="23" xfId="0" applyNumberFormat="1" applyFont="1" applyFill="1" applyBorder="1" applyAlignment="1">
      <alignment horizontal="center" vertical="top"/>
    </xf>
    <xf numFmtId="167" fontId="1" fillId="33" borderId="23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3" fontId="10" fillId="13" borderId="28" xfId="0" applyNumberFormat="1" applyFont="1" applyFill="1" applyBorder="1" applyAlignment="1">
      <alignment horizontal="center" vertical="top"/>
    </xf>
    <xf numFmtId="167" fontId="1" fillId="13" borderId="28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>
      <alignment horizontal="center"/>
    </xf>
    <xf numFmtId="2" fontId="1" fillId="13" borderId="37" xfId="0" applyNumberFormat="1" applyFont="1" applyFill="1" applyBorder="1" applyAlignment="1">
      <alignment horizontal="center"/>
    </xf>
    <xf numFmtId="3" fontId="10" fillId="13" borderId="10" xfId="0" applyNumberFormat="1" applyFont="1" applyFill="1" applyBorder="1" applyAlignment="1">
      <alignment horizontal="center" vertical="top"/>
    </xf>
    <xf numFmtId="167" fontId="1" fillId="13" borderId="10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3" fontId="10" fillId="13" borderId="23" xfId="0" applyNumberFormat="1" applyFont="1" applyFill="1" applyBorder="1" applyAlignment="1">
      <alignment horizontal="center" vertical="top"/>
    </xf>
    <xf numFmtId="167" fontId="1" fillId="13" borderId="23" xfId="0" applyNumberFormat="1" applyFont="1" applyFill="1" applyBorder="1" applyAlignment="1">
      <alignment horizontal="center"/>
    </xf>
    <xf numFmtId="2" fontId="1" fillId="13" borderId="23" xfId="0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3" fontId="10" fillId="38" borderId="28" xfId="0" applyNumberFormat="1" applyFont="1" applyFill="1" applyBorder="1" applyAlignment="1">
      <alignment horizontal="center" vertical="top"/>
    </xf>
    <xf numFmtId="167" fontId="1" fillId="38" borderId="28" xfId="0" applyNumberFormat="1" applyFont="1" applyFill="1" applyBorder="1" applyAlignment="1">
      <alignment horizontal="center"/>
    </xf>
    <xf numFmtId="2" fontId="1" fillId="38" borderId="28" xfId="0" applyNumberFormat="1" applyFont="1" applyFill="1" applyBorder="1" applyAlignment="1">
      <alignment horizontal="center"/>
    </xf>
    <xf numFmtId="2" fontId="1" fillId="38" borderId="37" xfId="0" applyNumberFormat="1" applyFont="1" applyFill="1" applyBorder="1" applyAlignment="1">
      <alignment horizontal="center"/>
    </xf>
    <xf numFmtId="3" fontId="10" fillId="38" borderId="10" xfId="0" applyNumberFormat="1" applyFont="1" applyFill="1" applyBorder="1" applyAlignment="1">
      <alignment horizontal="center" vertical="top"/>
    </xf>
    <xf numFmtId="167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2" fontId="1" fillId="38" borderId="25" xfId="0" applyNumberFormat="1" applyFont="1" applyFill="1" applyBorder="1" applyAlignment="1">
      <alignment horizontal="center"/>
    </xf>
    <xf numFmtId="3" fontId="10" fillId="38" borderId="23" xfId="0" applyNumberFormat="1" applyFont="1" applyFill="1" applyBorder="1" applyAlignment="1">
      <alignment horizontal="center" vertical="top"/>
    </xf>
    <xf numFmtId="167" fontId="1" fillId="38" borderId="23" xfId="0" applyNumberFormat="1" applyFont="1" applyFill="1" applyBorder="1" applyAlignment="1">
      <alignment horizontal="center"/>
    </xf>
    <xf numFmtId="2" fontId="1" fillId="38" borderId="23" xfId="0" applyNumberFormat="1" applyFont="1" applyFill="1" applyBorder="1" applyAlignment="1">
      <alignment horizontal="center"/>
    </xf>
    <xf numFmtId="2" fontId="1" fillId="38" borderId="26" xfId="0" applyNumberFormat="1" applyFont="1" applyFill="1" applyBorder="1" applyAlignment="1">
      <alignment horizontal="center"/>
    </xf>
    <xf numFmtId="3" fontId="10" fillId="34" borderId="28" xfId="0" applyNumberFormat="1" applyFont="1" applyFill="1" applyBorder="1" applyAlignment="1">
      <alignment horizontal="center" vertical="top"/>
    </xf>
    <xf numFmtId="167" fontId="1" fillId="34" borderId="28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 vertical="top"/>
    </xf>
    <xf numFmtId="167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3" fontId="10" fillId="34" borderId="23" xfId="0" applyNumberFormat="1" applyFont="1" applyFill="1" applyBorder="1" applyAlignment="1">
      <alignment horizontal="center" vertical="top"/>
    </xf>
    <xf numFmtId="167" fontId="1" fillId="34" borderId="23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165" fontId="1" fillId="33" borderId="28" xfId="0" applyNumberFormat="1" applyFont="1" applyFill="1" applyBorder="1" applyAlignment="1">
      <alignment horizontal="center"/>
    </xf>
    <xf numFmtId="165" fontId="10" fillId="33" borderId="28" xfId="0" applyNumberFormat="1" applyFont="1" applyFill="1" applyBorder="1" applyAlignment="1">
      <alignment horizontal="center" vertical="top"/>
    </xf>
    <xf numFmtId="165" fontId="1" fillId="33" borderId="10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 vertical="top"/>
    </xf>
    <xf numFmtId="165" fontId="1" fillId="33" borderId="23" xfId="0" applyNumberFormat="1" applyFont="1" applyFill="1" applyBorder="1" applyAlignment="1">
      <alignment horizontal="center"/>
    </xf>
    <xf numFmtId="165" fontId="10" fillId="33" borderId="23" xfId="0" applyNumberFormat="1" applyFont="1" applyFill="1" applyBorder="1" applyAlignment="1">
      <alignment horizontal="center" vertical="top"/>
    </xf>
    <xf numFmtId="165" fontId="1" fillId="13" borderId="28" xfId="0" applyNumberFormat="1" applyFont="1" applyFill="1" applyBorder="1" applyAlignment="1">
      <alignment horizontal="center"/>
    </xf>
    <xf numFmtId="165" fontId="10" fillId="13" borderId="28" xfId="0" applyNumberFormat="1" applyFont="1" applyFill="1" applyBorder="1" applyAlignment="1">
      <alignment horizontal="center" vertical="top"/>
    </xf>
    <xf numFmtId="165" fontId="1" fillId="13" borderId="10" xfId="0" applyNumberFormat="1" applyFont="1" applyFill="1" applyBorder="1" applyAlignment="1">
      <alignment horizontal="center"/>
    </xf>
    <xf numFmtId="165" fontId="10" fillId="13" borderId="10" xfId="0" applyNumberFormat="1" applyFont="1" applyFill="1" applyBorder="1" applyAlignment="1">
      <alignment horizontal="center" vertical="top"/>
    </xf>
    <xf numFmtId="165" fontId="1" fillId="13" borderId="23" xfId="0" applyNumberFormat="1" applyFont="1" applyFill="1" applyBorder="1" applyAlignment="1">
      <alignment horizontal="center"/>
    </xf>
    <xf numFmtId="165" fontId="10" fillId="13" borderId="23" xfId="0" applyNumberFormat="1" applyFont="1" applyFill="1" applyBorder="1" applyAlignment="1">
      <alignment horizontal="center" vertical="top"/>
    </xf>
    <xf numFmtId="165" fontId="1" fillId="38" borderId="28" xfId="0" applyNumberFormat="1" applyFont="1" applyFill="1" applyBorder="1" applyAlignment="1">
      <alignment horizontal="center"/>
    </xf>
    <xf numFmtId="165" fontId="10" fillId="38" borderId="28" xfId="0" applyNumberFormat="1" applyFont="1" applyFill="1" applyBorder="1" applyAlignment="1">
      <alignment horizontal="center" vertical="top"/>
    </xf>
    <xf numFmtId="165" fontId="1" fillId="38" borderId="10" xfId="0" applyNumberFormat="1" applyFont="1" applyFill="1" applyBorder="1" applyAlignment="1">
      <alignment horizontal="center"/>
    </xf>
    <xf numFmtId="165" fontId="10" fillId="38" borderId="10" xfId="0" applyNumberFormat="1" applyFont="1" applyFill="1" applyBorder="1" applyAlignment="1">
      <alignment horizontal="center" vertical="top"/>
    </xf>
    <xf numFmtId="165" fontId="1" fillId="38" borderId="23" xfId="0" applyNumberFormat="1" applyFont="1" applyFill="1" applyBorder="1" applyAlignment="1">
      <alignment horizontal="center"/>
    </xf>
    <xf numFmtId="165" fontId="10" fillId="38" borderId="23" xfId="0" applyNumberFormat="1" applyFont="1" applyFill="1" applyBorder="1" applyAlignment="1">
      <alignment horizontal="center" vertical="top"/>
    </xf>
    <xf numFmtId="165" fontId="1" fillId="34" borderId="28" xfId="0" applyNumberFormat="1" applyFont="1" applyFill="1" applyBorder="1" applyAlignment="1">
      <alignment horizontal="center"/>
    </xf>
    <xf numFmtId="165" fontId="10" fillId="34" borderId="28" xfId="0" applyNumberFormat="1" applyFont="1" applyFill="1" applyBorder="1" applyAlignment="1">
      <alignment horizontal="center" vertical="top"/>
    </xf>
    <xf numFmtId="165" fontId="1" fillId="34" borderId="10" xfId="0" applyNumberFormat="1" applyFont="1" applyFill="1" applyBorder="1" applyAlignment="1">
      <alignment horizontal="center"/>
    </xf>
    <xf numFmtId="165" fontId="10" fillId="34" borderId="10" xfId="0" applyNumberFormat="1" applyFont="1" applyFill="1" applyBorder="1" applyAlignment="1">
      <alignment horizontal="center" vertical="top"/>
    </xf>
    <xf numFmtId="165" fontId="1" fillId="34" borderId="23" xfId="0" applyNumberFormat="1" applyFont="1" applyFill="1" applyBorder="1" applyAlignment="1">
      <alignment horizontal="center"/>
    </xf>
    <xf numFmtId="165" fontId="10" fillId="34" borderId="23" xfId="0" applyNumberFormat="1" applyFont="1" applyFill="1" applyBorder="1" applyAlignment="1">
      <alignment horizontal="center" vertical="top"/>
    </xf>
    <xf numFmtId="1" fontId="10" fillId="33" borderId="28" xfId="0" applyNumberFormat="1" applyFont="1" applyFill="1" applyBorder="1" applyAlignment="1">
      <alignment horizontal="center" vertical="top"/>
    </xf>
    <xf numFmtId="1" fontId="10" fillId="33" borderId="10" xfId="0" applyNumberFormat="1" applyFont="1" applyFill="1" applyBorder="1" applyAlignment="1">
      <alignment horizontal="center" vertical="top"/>
    </xf>
    <xf numFmtId="1" fontId="10" fillId="33" borderId="23" xfId="0" applyNumberFormat="1" applyFont="1" applyFill="1" applyBorder="1" applyAlignment="1">
      <alignment horizontal="center" vertical="top"/>
    </xf>
    <xf numFmtId="1" fontId="10" fillId="13" borderId="28" xfId="0" applyNumberFormat="1" applyFont="1" applyFill="1" applyBorder="1" applyAlignment="1">
      <alignment horizontal="center" vertical="top"/>
    </xf>
    <xf numFmtId="1" fontId="10" fillId="13" borderId="10" xfId="0" applyNumberFormat="1" applyFont="1" applyFill="1" applyBorder="1" applyAlignment="1">
      <alignment horizontal="center" vertical="top"/>
    </xf>
    <xf numFmtId="1" fontId="10" fillId="13" borderId="23" xfId="0" applyNumberFormat="1" applyFont="1" applyFill="1" applyBorder="1" applyAlignment="1">
      <alignment horizontal="center" vertical="top"/>
    </xf>
    <xf numFmtId="1" fontId="10" fillId="38" borderId="28" xfId="0" applyNumberFormat="1" applyFont="1" applyFill="1" applyBorder="1" applyAlignment="1">
      <alignment horizontal="center" vertical="top"/>
    </xf>
    <xf numFmtId="1" fontId="10" fillId="38" borderId="10" xfId="0" applyNumberFormat="1" applyFont="1" applyFill="1" applyBorder="1" applyAlignment="1">
      <alignment horizontal="center" vertical="top"/>
    </xf>
    <xf numFmtId="1" fontId="10" fillId="38" borderId="23" xfId="0" applyNumberFormat="1" applyFont="1" applyFill="1" applyBorder="1" applyAlignment="1">
      <alignment horizontal="center" vertical="top"/>
    </xf>
    <xf numFmtId="1" fontId="10" fillId="34" borderId="28" xfId="0" applyNumberFormat="1" applyFont="1" applyFill="1" applyBorder="1" applyAlignment="1">
      <alignment horizontal="center" vertical="top"/>
    </xf>
    <xf numFmtId="1" fontId="10" fillId="34" borderId="10" xfId="0" applyNumberFormat="1" applyFont="1" applyFill="1" applyBorder="1" applyAlignment="1">
      <alignment horizontal="center" vertical="top"/>
    </xf>
    <xf numFmtId="1" fontId="10" fillId="34" borderId="23" xfId="0" applyNumberFormat="1" applyFont="1" applyFill="1" applyBorder="1" applyAlignment="1">
      <alignment horizontal="center" vertical="top"/>
    </xf>
    <xf numFmtId="2" fontId="1" fillId="38" borderId="11" xfId="0" applyNumberFormat="1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 applyProtection="1">
      <alignment horizontal="center"/>
      <protection/>
    </xf>
    <xf numFmtId="167" fontId="1" fillId="38" borderId="28" xfId="0" applyNumberFormat="1" applyFont="1" applyFill="1" applyBorder="1" applyAlignment="1" applyProtection="1">
      <alignment horizontal="center"/>
      <protection/>
    </xf>
    <xf numFmtId="2" fontId="1" fillId="38" borderId="42" xfId="0" applyNumberFormat="1" applyFont="1" applyFill="1" applyBorder="1" applyAlignment="1" applyProtection="1">
      <alignment horizontal="center"/>
      <protection locked="0"/>
    </xf>
    <xf numFmtId="1" fontId="1" fillId="13" borderId="11" xfId="0" applyNumberFormat="1" applyFont="1" applyFill="1" applyBorder="1" applyAlignment="1" applyProtection="1">
      <alignment horizontal="center"/>
      <protection locked="0"/>
    </xf>
    <xf numFmtId="166" fontId="1" fillId="35" borderId="28" xfId="0" applyNumberFormat="1" applyFont="1" applyFill="1" applyBorder="1" applyAlignment="1">
      <alignment horizontal="center"/>
    </xf>
    <xf numFmtId="2" fontId="1" fillId="35" borderId="25" xfId="0" applyNumberFormat="1" applyFont="1" applyFill="1" applyBorder="1" applyAlignment="1">
      <alignment horizontal="center"/>
    </xf>
    <xf numFmtId="167" fontId="1" fillId="35" borderId="23" xfId="0" applyNumberFormat="1" applyFont="1" applyFill="1" applyBorder="1" applyAlignment="1">
      <alignment horizontal="center"/>
    </xf>
    <xf numFmtId="2" fontId="1" fillId="35" borderId="27" xfId="0" applyNumberFormat="1" applyFont="1" applyFill="1" applyBorder="1" applyAlignment="1">
      <alignment horizontal="center"/>
    </xf>
    <xf numFmtId="2" fontId="1" fillId="35" borderId="23" xfId="0" applyNumberFormat="1" applyFont="1" applyFill="1" applyBorder="1" applyAlignment="1">
      <alignment horizontal="center"/>
    </xf>
    <xf numFmtId="2" fontId="1" fillId="35" borderId="26" xfId="0" applyNumberFormat="1" applyFont="1" applyFill="1" applyBorder="1" applyAlignment="1">
      <alignment horizontal="center"/>
    </xf>
    <xf numFmtId="167" fontId="1" fillId="38" borderId="21" xfId="0" applyNumberFormat="1" applyFont="1" applyFill="1" applyBorder="1" applyAlignment="1">
      <alignment horizontal="center"/>
    </xf>
    <xf numFmtId="1" fontId="1" fillId="35" borderId="28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/>
    </xf>
    <xf numFmtId="1" fontId="1" fillId="35" borderId="28" xfId="0" applyNumberFormat="1" applyFont="1" applyFill="1" applyBorder="1" applyAlignment="1">
      <alignment horizontal="center"/>
    </xf>
    <xf numFmtId="165" fontId="1" fillId="35" borderId="23" xfId="0" applyNumberFormat="1" applyFont="1" applyFill="1" applyBorder="1" applyAlignment="1">
      <alignment horizontal="center"/>
    </xf>
    <xf numFmtId="2" fontId="1" fillId="35" borderId="58" xfId="0" applyNumberFormat="1" applyFont="1" applyFill="1" applyBorder="1" applyAlignment="1">
      <alignment horizontal="center"/>
    </xf>
    <xf numFmtId="2" fontId="1" fillId="35" borderId="68" xfId="0" applyNumberFormat="1" applyFont="1" applyFill="1" applyBorder="1" applyAlignment="1">
      <alignment horizontal="center"/>
    </xf>
    <xf numFmtId="2" fontId="1" fillId="35" borderId="24" xfId="0" applyNumberFormat="1" applyFont="1" applyFill="1" applyBorder="1" applyAlignment="1">
      <alignment horizontal="center"/>
    </xf>
    <xf numFmtId="2" fontId="1" fillId="35" borderId="37" xfId="0" applyNumberFormat="1" applyFont="1" applyFill="1" applyBorder="1" applyAlignment="1">
      <alignment horizontal="center"/>
    </xf>
    <xf numFmtId="167" fontId="1" fillId="35" borderId="42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22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13" borderId="50" xfId="0" applyNumberFormat="1" applyFont="1" applyFill="1" applyBorder="1" applyAlignment="1">
      <alignment horizontal="center"/>
    </xf>
    <xf numFmtId="2" fontId="1" fillId="13" borderId="51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2" fontId="1" fillId="13" borderId="68" xfId="0" applyNumberFormat="1" applyFont="1" applyFill="1" applyBorder="1" applyAlignment="1">
      <alignment horizontal="center"/>
    </xf>
    <xf numFmtId="2" fontId="1" fillId="38" borderId="50" xfId="0" applyNumberFormat="1" applyFont="1" applyFill="1" applyBorder="1" applyAlignment="1">
      <alignment horizontal="center"/>
    </xf>
    <xf numFmtId="2" fontId="1" fillId="38" borderId="51" xfId="0" applyNumberFormat="1" applyFont="1" applyFill="1" applyBorder="1" applyAlignment="1">
      <alignment horizontal="center"/>
    </xf>
    <xf numFmtId="2" fontId="1" fillId="38" borderId="58" xfId="0" applyNumberFormat="1" applyFont="1" applyFill="1" applyBorder="1" applyAlignment="1">
      <alignment horizontal="center"/>
    </xf>
    <xf numFmtId="2" fontId="1" fillId="38" borderId="68" xfId="0" applyNumberFormat="1" applyFont="1" applyFill="1" applyBorder="1" applyAlignment="1">
      <alignment horizontal="center"/>
    </xf>
    <xf numFmtId="167" fontId="1" fillId="34" borderId="21" xfId="0" applyNumberFormat="1" applyFont="1" applyFill="1" applyBorder="1" applyAlignment="1">
      <alignment horizontal="center"/>
    </xf>
    <xf numFmtId="2" fontId="1" fillId="34" borderId="50" xfId="0" applyNumberFormat="1" applyFont="1" applyFill="1" applyBorder="1" applyAlignment="1">
      <alignment horizontal="center"/>
    </xf>
    <xf numFmtId="2" fontId="1" fillId="34" borderId="51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2" fontId="1" fillId="34" borderId="58" xfId="0" applyNumberFormat="1" applyFont="1" applyFill="1" applyBorder="1" applyAlignment="1">
      <alignment horizontal="center"/>
    </xf>
    <xf numFmtId="2" fontId="1" fillId="34" borderId="68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2" fontId="1" fillId="13" borderId="42" xfId="0" applyNumberFormat="1" applyFont="1" applyFill="1" applyBorder="1" applyAlignment="1">
      <alignment horizontal="center"/>
    </xf>
    <xf numFmtId="2" fontId="1" fillId="38" borderId="42" xfId="0" applyNumberFormat="1" applyFont="1" applyFill="1" applyBorder="1" applyAlignment="1">
      <alignment horizontal="center"/>
    </xf>
    <xf numFmtId="165" fontId="1" fillId="35" borderId="42" xfId="0" applyNumberFormat="1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165" fontId="1" fillId="13" borderId="47" xfId="0" applyNumberFormat="1" applyFont="1" applyFill="1" applyBorder="1" applyAlignment="1">
      <alignment horizontal="center"/>
    </xf>
    <xf numFmtId="165" fontId="1" fillId="13" borderId="42" xfId="0" applyNumberFormat="1" applyFont="1" applyFill="1" applyBorder="1" applyAlignment="1">
      <alignment horizontal="center"/>
    </xf>
    <xf numFmtId="165" fontId="1" fillId="38" borderId="47" xfId="0" applyNumberFormat="1" applyFont="1" applyFill="1" applyBorder="1" applyAlignment="1">
      <alignment horizontal="center"/>
    </xf>
    <xf numFmtId="165" fontId="1" fillId="38" borderId="42" xfId="0" applyNumberFormat="1" applyFont="1" applyFill="1" applyBorder="1" applyAlignment="1">
      <alignment horizontal="center"/>
    </xf>
    <xf numFmtId="165" fontId="1" fillId="34" borderId="47" xfId="0" applyNumberFormat="1" applyFont="1" applyFill="1" applyBorder="1" applyAlignment="1">
      <alignment horizontal="center"/>
    </xf>
    <xf numFmtId="165" fontId="1" fillId="34" borderId="42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" fontId="1" fillId="35" borderId="11" xfId="0" applyNumberFormat="1" applyFont="1" applyFill="1" applyBorder="1" applyAlignment="1">
      <alignment horizontal="center"/>
    </xf>
    <xf numFmtId="165" fontId="1" fillId="33" borderId="28" xfId="42" applyNumberFormat="1" applyFont="1" applyFill="1" applyBorder="1" applyAlignment="1">
      <alignment horizontal="center"/>
    </xf>
    <xf numFmtId="165" fontId="1" fillId="38" borderId="23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 horizontal="right"/>
    </xf>
    <xf numFmtId="2" fontId="1" fillId="35" borderId="33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35" borderId="25" xfId="0" applyNumberFormat="1" applyFont="1" applyFill="1" applyBorder="1" applyAlignment="1" applyProtection="1">
      <alignment horizontal="center"/>
      <protection/>
    </xf>
    <xf numFmtId="167" fontId="1" fillId="35" borderId="23" xfId="0" applyNumberFormat="1" applyFont="1" applyFill="1" applyBorder="1" applyAlignment="1" applyProtection="1">
      <alignment horizontal="center"/>
      <protection/>
    </xf>
    <xf numFmtId="2" fontId="1" fillId="35" borderId="23" xfId="0" applyNumberFormat="1" applyFont="1" applyFill="1" applyBorder="1" applyAlignment="1" applyProtection="1">
      <alignment horizontal="center"/>
      <protection/>
    </xf>
    <xf numFmtId="2" fontId="1" fillId="35" borderId="26" xfId="0" applyNumberFormat="1" applyFont="1" applyFill="1" applyBorder="1" applyAlignment="1" applyProtection="1">
      <alignment horizontal="center"/>
      <protection/>
    </xf>
    <xf numFmtId="2" fontId="1" fillId="35" borderId="23" xfId="0" applyNumberFormat="1" applyFont="1" applyFill="1" applyBorder="1" applyAlignment="1" applyProtection="1">
      <alignment horizontal="center"/>
      <protection locked="0"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165" fontId="1" fillId="35" borderId="23" xfId="0" applyNumberFormat="1" applyFont="1" applyFill="1" applyBorder="1" applyAlignment="1" applyProtection="1">
      <alignment horizontal="center"/>
      <protection locked="0"/>
    </xf>
    <xf numFmtId="1" fontId="1" fillId="35" borderId="23" xfId="0" applyNumberFormat="1" applyFont="1" applyFill="1" applyBorder="1" applyAlignment="1">
      <alignment horizontal="center"/>
    </xf>
    <xf numFmtId="165" fontId="1" fillId="35" borderId="21" xfId="0" applyNumberFormat="1" applyFont="1" applyFill="1" applyBorder="1" applyAlignment="1" applyProtection="1">
      <alignment horizontal="center"/>
      <protection locked="0"/>
    </xf>
    <xf numFmtId="165" fontId="1" fillId="35" borderId="10" xfId="0" applyNumberFormat="1" applyFont="1" applyFill="1" applyBorder="1" applyAlignment="1" applyProtection="1">
      <alignment horizontal="center" vertical="center"/>
      <protection locked="0"/>
    </xf>
    <xf numFmtId="165" fontId="1" fillId="35" borderId="23" xfId="0" applyNumberFormat="1" applyFont="1" applyFill="1" applyBorder="1" applyAlignment="1" applyProtection="1">
      <alignment horizontal="center" vertical="center"/>
      <protection locked="0"/>
    </xf>
    <xf numFmtId="1" fontId="1" fillId="35" borderId="10" xfId="0" applyNumberFormat="1" applyFont="1" applyFill="1" applyBorder="1" applyAlignment="1" applyProtection="1">
      <alignment horizontal="center" vertical="center"/>
      <protection locked="0"/>
    </xf>
    <xf numFmtId="1" fontId="1" fillId="35" borderId="23" xfId="0" applyNumberFormat="1" applyFont="1" applyFill="1" applyBorder="1" applyAlignment="1" applyProtection="1">
      <alignment horizontal="center" vertical="center"/>
      <protection locked="0"/>
    </xf>
    <xf numFmtId="1" fontId="1" fillId="13" borderId="23" xfId="0" applyNumberFormat="1" applyFont="1" applyFill="1" applyBorder="1" applyAlignment="1" applyProtection="1">
      <alignment horizontal="center" vertical="center"/>
      <protection locked="0"/>
    </xf>
    <xf numFmtId="2" fontId="1" fillId="38" borderId="69" xfId="0" applyNumberFormat="1" applyFont="1" applyFill="1" applyBorder="1" applyAlignment="1">
      <alignment horizontal="center"/>
    </xf>
    <xf numFmtId="2" fontId="1" fillId="38" borderId="70" xfId="0" applyNumberFormat="1" applyFont="1" applyFill="1" applyBorder="1" applyAlignment="1">
      <alignment horizontal="center"/>
    </xf>
    <xf numFmtId="2" fontId="1" fillId="38" borderId="71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/>
    </xf>
    <xf numFmtId="1" fontId="1" fillId="36" borderId="28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67" fontId="1" fillId="13" borderId="21" xfId="0" applyNumberFormat="1" applyFont="1" applyFill="1" applyBorder="1" applyAlignment="1">
      <alignment horizontal="center"/>
    </xf>
    <xf numFmtId="167" fontId="1" fillId="38" borderId="11" xfId="0" applyNumberFormat="1" applyFont="1" applyFill="1" applyBorder="1" applyAlignment="1">
      <alignment horizontal="center"/>
    </xf>
    <xf numFmtId="2" fontId="1" fillId="38" borderId="12" xfId="0" applyNumberFormat="1" applyFont="1" applyFill="1" applyBorder="1" applyAlignment="1">
      <alignment horizontal="center"/>
    </xf>
    <xf numFmtId="165" fontId="1" fillId="36" borderId="47" xfId="0" applyNumberFormat="1" applyFont="1" applyFill="1" applyBorder="1" applyAlignment="1">
      <alignment horizontal="center"/>
    </xf>
    <xf numFmtId="167" fontId="1" fillId="36" borderId="21" xfId="0" applyNumberFormat="1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2" fontId="1" fillId="36" borderId="34" xfId="0" applyNumberFormat="1" applyFont="1" applyFill="1" applyBorder="1" applyAlignment="1">
      <alignment horizontal="center"/>
    </xf>
    <xf numFmtId="165" fontId="1" fillId="36" borderId="14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1" fillId="36" borderId="23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/>
    </xf>
    <xf numFmtId="167" fontId="1" fillId="33" borderId="10" xfId="0" applyNumberFormat="1" applyFont="1" applyFill="1" applyBorder="1" applyAlignment="1">
      <alignment horizontal="center" vertical="top"/>
    </xf>
    <xf numFmtId="2" fontId="1" fillId="33" borderId="25" xfId="0" applyNumberFormat="1" applyFont="1" applyFill="1" applyBorder="1" applyAlignment="1">
      <alignment horizontal="center" vertical="top"/>
    </xf>
    <xf numFmtId="2" fontId="1" fillId="33" borderId="23" xfId="0" applyNumberFormat="1" applyFont="1" applyFill="1" applyBorder="1" applyAlignment="1">
      <alignment horizontal="center" vertical="top"/>
    </xf>
    <xf numFmtId="167" fontId="1" fillId="33" borderId="23" xfId="0" applyNumberFormat="1" applyFont="1" applyFill="1" applyBorder="1" applyAlignment="1">
      <alignment horizontal="center" vertical="top"/>
    </xf>
    <xf numFmtId="2" fontId="1" fillId="33" borderId="26" xfId="0" applyNumberFormat="1" applyFont="1" applyFill="1" applyBorder="1" applyAlignment="1">
      <alignment horizontal="center" vertical="top"/>
    </xf>
    <xf numFmtId="165" fontId="1" fillId="33" borderId="10" xfId="0" applyNumberFormat="1" applyFont="1" applyFill="1" applyBorder="1" applyAlignment="1">
      <alignment horizontal="center" vertical="top"/>
    </xf>
    <xf numFmtId="165" fontId="1" fillId="33" borderId="23" xfId="0" applyNumberFormat="1" applyFont="1" applyFill="1" applyBorder="1" applyAlignment="1">
      <alignment horizontal="center" vertical="top"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" fontId="1" fillId="38" borderId="28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2" fontId="1" fillId="13" borderId="72" xfId="0" applyNumberFormat="1" applyFont="1" applyFill="1" applyBorder="1" applyAlignment="1">
      <alignment horizontal="center"/>
    </xf>
    <xf numFmtId="2" fontId="1" fillId="13" borderId="69" xfId="0" applyNumberFormat="1" applyFont="1" applyFill="1" applyBorder="1" applyAlignment="1">
      <alignment horizontal="center"/>
    </xf>
    <xf numFmtId="2" fontId="1" fillId="13" borderId="70" xfId="0" applyNumberFormat="1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prastas 2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7"/>
  <sheetViews>
    <sheetView tabSelected="1" zoomScalePageLayoutView="0" workbookViewId="0" topLeftCell="A1">
      <selection activeCell="N1250" sqref="N1250"/>
    </sheetView>
  </sheetViews>
  <sheetFormatPr defaultColWidth="9.140625" defaultRowHeight="12.75"/>
  <cols>
    <col min="1" max="1" width="11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7.421875" style="1" customWidth="1"/>
    <col min="7" max="7" width="8.8515625" style="1" customWidth="1"/>
    <col min="8" max="8" width="11.140625" style="1" customWidth="1"/>
    <col min="9" max="9" width="8.28125" style="1" customWidth="1"/>
    <col min="10" max="10" width="7.28125" style="1" customWidth="1"/>
    <col min="11" max="11" width="12.00390625" style="1" customWidth="1"/>
    <col min="12" max="12" width="6.8515625" style="1" customWidth="1"/>
    <col min="13" max="13" width="11.57421875" style="1" customWidth="1"/>
    <col min="14" max="14" width="9.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5.8515625" style="1" customWidth="1"/>
    <col min="19" max="20" width="10.8515625" style="1" customWidth="1"/>
    <col min="21" max="21" width="12.421875" style="1" bestFit="1" customWidth="1"/>
    <col min="22" max="22" width="9.140625" style="1" customWidth="1"/>
    <col min="23" max="23" width="10.421875" style="1" bestFit="1" customWidth="1"/>
    <col min="24" max="16384" width="9.140625" style="1" customWidth="1"/>
  </cols>
  <sheetData>
    <row r="1" spans="1:17" s="17" customFormat="1" ht="13.5" customHeight="1">
      <c r="A1" s="485" t="s">
        <v>347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</row>
    <row r="2" spans="1:17" s="17" customFormat="1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20" customFormat="1" ht="13.5" customHeight="1">
      <c r="A3" s="488" t="s">
        <v>31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</row>
    <row r="4" spans="1:17" s="17" customFormat="1" ht="13.5" customHeight="1" thickBot="1">
      <c r="A4" s="394" t="s">
        <v>350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</row>
    <row r="5" spans="1:17" ht="12.75" customHeight="1">
      <c r="A5" s="494" t="s">
        <v>1</v>
      </c>
      <c r="B5" s="491" t="s">
        <v>0</v>
      </c>
      <c r="C5" s="483" t="s">
        <v>2</v>
      </c>
      <c r="D5" s="483" t="s">
        <v>3</v>
      </c>
      <c r="E5" s="483" t="s">
        <v>13</v>
      </c>
      <c r="F5" s="480" t="s">
        <v>14</v>
      </c>
      <c r="G5" s="481"/>
      <c r="H5" s="481"/>
      <c r="I5" s="482"/>
      <c r="J5" s="483" t="s">
        <v>4</v>
      </c>
      <c r="K5" s="483" t="s">
        <v>15</v>
      </c>
      <c r="L5" s="483" t="s">
        <v>5</v>
      </c>
      <c r="M5" s="483" t="s">
        <v>6</v>
      </c>
      <c r="N5" s="483" t="s">
        <v>16</v>
      </c>
      <c r="O5" s="483" t="s">
        <v>17</v>
      </c>
      <c r="P5" s="486" t="s">
        <v>25</v>
      </c>
      <c r="Q5" s="489" t="s">
        <v>26</v>
      </c>
    </row>
    <row r="6" spans="1:22" s="2" customFormat="1" ht="33.75">
      <c r="A6" s="495"/>
      <c r="B6" s="492"/>
      <c r="C6" s="493"/>
      <c r="D6" s="484"/>
      <c r="E6" s="484"/>
      <c r="F6" s="9" t="s">
        <v>18</v>
      </c>
      <c r="G6" s="9" t="s">
        <v>19</v>
      </c>
      <c r="H6" s="9" t="s">
        <v>20</v>
      </c>
      <c r="I6" s="9" t="s">
        <v>21</v>
      </c>
      <c r="J6" s="484"/>
      <c r="K6" s="484"/>
      <c r="L6" s="484"/>
      <c r="M6" s="484"/>
      <c r="N6" s="484"/>
      <c r="O6" s="484"/>
      <c r="P6" s="487"/>
      <c r="Q6" s="490"/>
      <c r="S6" s="268"/>
      <c r="T6" s="268"/>
      <c r="U6" s="268"/>
      <c r="V6" s="268"/>
    </row>
    <row r="7" spans="1:22" s="3" customFormat="1" ht="13.5" customHeight="1" thickBot="1">
      <c r="A7" s="496"/>
      <c r="B7" s="492"/>
      <c r="C7" s="493"/>
      <c r="D7" s="10" t="s">
        <v>7</v>
      </c>
      <c r="E7" s="10" t="s">
        <v>8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22</v>
      </c>
      <c r="K7" s="10" t="s">
        <v>9</v>
      </c>
      <c r="L7" s="10" t="s">
        <v>22</v>
      </c>
      <c r="M7" s="10" t="s">
        <v>136</v>
      </c>
      <c r="N7" s="10" t="s">
        <v>10</v>
      </c>
      <c r="O7" s="10" t="s">
        <v>137</v>
      </c>
      <c r="P7" s="15" t="s">
        <v>27</v>
      </c>
      <c r="Q7" s="11" t="s">
        <v>28</v>
      </c>
      <c r="S7" s="269"/>
      <c r="T7" s="269"/>
      <c r="U7" s="270"/>
      <c r="V7" s="270"/>
    </row>
    <row r="8" spans="1:23" ht="12.75" customHeight="1">
      <c r="A8" s="497" t="s">
        <v>51</v>
      </c>
      <c r="B8" s="133">
        <v>1</v>
      </c>
      <c r="C8" s="30" t="s">
        <v>72</v>
      </c>
      <c r="D8" s="31">
        <v>52</v>
      </c>
      <c r="E8" s="31">
        <v>2009</v>
      </c>
      <c r="F8" s="871">
        <v>11.089</v>
      </c>
      <c r="G8" s="871">
        <v>8.282234</v>
      </c>
      <c r="H8" s="871">
        <v>2.806767</v>
      </c>
      <c r="I8" s="871">
        <v>0</v>
      </c>
      <c r="J8" s="884">
        <v>2687.24</v>
      </c>
      <c r="K8" s="871">
        <f aca="true" t="shared" si="0" ref="K8:K48">I8</f>
        <v>0</v>
      </c>
      <c r="L8" s="884">
        <v>2687.24</v>
      </c>
      <c r="M8" s="541">
        <f aca="true" t="shared" si="1" ref="M8:M48">K8/L8</f>
        <v>0</v>
      </c>
      <c r="N8" s="540">
        <v>307.38</v>
      </c>
      <c r="O8" s="540">
        <f aca="true" t="shared" si="2" ref="O8:O48">M8*N8</f>
        <v>0</v>
      </c>
      <c r="P8" s="540">
        <f aca="true" t="shared" si="3" ref="P8:P48">M8*60*1000</f>
        <v>0</v>
      </c>
      <c r="Q8" s="542">
        <f aca="true" t="shared" si="4" ref="Q8:Q48">O8*60</f>
        <v>0</v>
      </c>
      <c r="R8" s="97"/>
      <c r="S8" s="271"/>
      <c r="T8" s="271"/>
      <c r="U8" s="272"/>
      <c r="V8" s="273"/>
      <c r="W8" s="12"/>
    </row>
    <row r="9" spans="1:23" ht="12.75">
      <c r="A9" s="454"/>
      <c r="B9" s="126">
        <v>2</v>
      </c>
      <c r="C9" s="16" t="s">
        <v>70</v>
      </c>
      <c r="D9" s="32">
        <v>40</v>
      </c>
      <c r="E9" s="32">
        <v>2007</v>
      </c>
      <c r="F9" s="872">
        <v>11.422</v>
      </c>
      <c r="G9" s="872">
        <v>8.215455</v>
      </c>
      <c r="H9" s="872">
        <v>3.2</v>
      </c>
      <c r="I9" s="872">
        <v>0.006544</v>
      </c>
      <c r="J9" s="885">
        <v>2350.71</v>
      </c>
      <c r="K9" s="872">
        <f t="shared" si="0"/>
        <v>0.006544</v>
      </c>
      <c r="L9" s="885">
        <v>2350.71</v>
      </c>
      <c r="M9" s="544">
        <f t="shared" si="1"/>
        <v>2.783839776067656E-06</v>
      </c>
      <c r="N9" s="543">
        <v>307.38</v>
      </c>
      <c r="O9" s="543">
        <f t="shared" si="2"/>
        <v>0.0008556966703676762</v>
      </c>
      <c r="P9" s="543">
        <f t="shared" si="3"/>
        <v>0.16703038656405936</v>
      </c>
      <c r="Q9" s="545">
        <f t="shared" si="4"/>
        <v>0.05134180022206057</v>
      </c>
      <c r="R9" s="97"/>
      <c r="S9" s="271"/>
      <c r="T9" s="271"/>
      <c r="U9" s="272"/>
      <c r="V9" s="273"/>
      <c r="W9" s="12"/>
    </row>
    <row r="10" spans="1:23" ht="12.75">
      <c r="A10" s="454"/>
      <c r="B10" s="126">
        <v>3</v>
      </c>
      <c r="C10" s="16" t="s">
        <v>71</v>
      </c>
      <c r="D10" s="32">
        <v>116</v>
      </c>
      <c r="E10" s="32">
        <v>2007</v>
      </c>
      <c r="F10" s="872">
        <v>30.828</v>
      </c>
      <c r="G10" s="872">
        <v>17.934488</v>
      </c>
      <c r="H10" s="872">
        <v>7.509512</v>
      </c>
      <c r="I10" s="872">
        <v>5.384</v>
      </c>
      <c r="J10" s="265">
        <v>7057.15</v>
      </c>
      <c r="K10" s="872">
        <f t="shared" si="0"/>
        <v>5.384</v>
      </c>
      <c r="L10" s="265">
        <v>7057.15</v>
      </c>
      <c r="M10" s="544">
        <f t="shared" si="1"/>
        <v>0.000762914207576713</v>
      </c>
      <c r="N10" s="543">
        <v>306.181</v>
      </c>
      <c r="O10" s="543">
        <f t="shared" si="2"/>
        <v>0.23358983499004557</v>
      </c>
      <c r="P10" s="543">
        <f t="shared" si="3"/>
        <v>45.77485245460279</v>
      </c>
      <c r="Q10" s="545">
        <f t="shared" si="4"/>
        <v>14.015390099402735</v>
      </c>
      <c r="R10" s="97"/>
      <c r="S10" s="97"/>
      <c r="T10" s="97"/>
      <c r="U10" s="14"/>
      <c r="V10" s="12"/>
      <c r="W10" s="12"/>
    </row>
    <row r="11" spans="1:23" ht="12.75">
      <c r="A11" s="454"/>
      <c r="B11" s="126">
        <v>4</v>
      </c>
      <c r="C11" s="16" t="s">
        <v>74</v>
      </c>
      <c r="D11" s="32">
        <v>64</v>
      </c>
      <c r="E11" s="32">
        <v>2006</v>
      </c>
      <c r="F11" s="872">
        <v>19.78</v>
      </c>
      <c r="G11" s="872">
        <v>11.860381</v>
      </c>
      <c r="H11" s="872">
        <v>5.12</v>
      </c>
      <c r="I11" s="872">
        <v>2.799618</v>
      </c>
      <c r="J11" s="885">
        <v>3331.76</v>
      </c>
      <c r="K11" s="872">
        <f t="shared" si="0"/>
        <v>2.799618</v>
      </c>
      <c r="L11" s="885">
        <v>3331.76</v>
      </c>
      <c r="M11" s="544">
        <f t="shared" si="1"/>
        <v>0.000840282013110188</v>
      </c>
      <c r="N11" s="543">
        <v>307.38</v>
      </c>
      <c r="O11" s="543">
        <f t="shared" si="2"/>
        <v>0.2582858851898096</v>
      </c>
      <c r="P11" s="543">
        <f t="shared" si="3"/>
        <v>50.41692078661128</v>
      </c>
      <c r="Q11" s="545">
        <f t="shared" si="4"/>
        <v>15.497153111388576</v>
      </c>
      <c r="R11" s="97"/>
      <c r="S11" s="97"/>
      <c r="T11" s="97"/>
      <c r="U11" s="14"/>
      <c r="V11" s="12"/>
      <c r="W11" s="12"/>
    </row>
    <row r="12" spans="1:23" ht="12.75">
      <c r="A12" s="454"/>
      <c r="B12" s="126">
        <v>5</v>
      </c>
      <c r="C12" s="16" t="s">
        <v>134</v>
      </c>
      <c r="D12" s="32">
        <v>58</v>
      </c>
      <c r="E12" s="32">
        <v>2007</v>
      </c>
      <c r="F12" s="872">
        <v>17.908</v>
      </c>
      <c r="G12" s="872">
        <v>9.713154</v>
      </c>
      <c r="H12" s="872">
        <v>4.64</v>
      </c>
      <c r="I12" s="872">
        <v>3.554845</v>
      </c>
      <c r="J12" s="885">
        <v>3797.15</v>
      </c>
      <c r="K12" s="872">
        <f t="shared" si="0"/>
        <v>3.554845</v>
      </c>
      <c r="L12" s="885">
        <v>3797.15</v>
      </c>
      <c r="M12" s="544">
        <f t="shared" si="1"/>
        <v>0.000936187667066089</v>
      </c>
      <c r="N12" s="543">
        <v>307.38</v>
      </c>
      <c r="O12" s="543">
        <f t="shared" si="2"/>
        <v>0.28776536510277445</v>
      </c>
      <c r="P12" s="543">
        <f t="shared" si="3"/>
        <v>56.17126002396534</v>
      </c>
      <c r="Q12" s="545">
        <f t="shared" si="4"/>
        <v>17.26592190616647</v>
      </c>
      <c r="R12" s="97"/>
      <c r="S12" s="97"/>
      <c r="T12" s="97"/>
      <c r="U12" s="14"/>
      <c r="V12" s="12"/>
      <c r="W12" s="12"/>
    </row>
    <row r="13" spans="1:23" ht="12.75">
      <c r="A13" s="454"/>
      <c r="B13" s="126">
        <v>6</v>
      </c>
      <c r="C13" s="16" t="s">
        <v>77</v>
      </c>
      <c r="D13" s="32">
        <v>60</v>
      </c>
      <c r="E13" s="32">
        <v>1994</v>
      </c>
      <c r="F13" s="872">
        <v>19.185</v>
      </c>
      <c r="G13" s="872">
        <v>7.092846</v>
      </c>
      <c r="H13" s="872">
        <v>9.52</v>
      </c>
      <c r="I13" s="872">
        <v>2.572153</v>
      </c>
      <c r="J13" s="265">
        <v>2203.82</v>
      </c>
      <c r="K13" s="872">
        <f t="shared" si="0"/>
        <v>2.572153</v>
      </c>
      <c r="L13" s="265">
        <v>2203.82</v>
      </c>
      <c r="M13" s="544">
        <f t="shared" si="1"/>
        <v>0.001167133885707544</v>
      </c>
      <c r="N13" s="543">
        <v>307.38</v>
      </c>
      <c r="O13" s="543">
        <f t="shared" si="2"/>
        <v>0.3587536137887849</v>
      </c>
      <c r="P13" s="543">
        <f t="shared" si="3"/>
        <v>70.02803314245266</v>
      </c>
      <c r="Q13" s="545">
        <f t="shared" si="4"/>
        <v>21.525216827327093</v>
      </c>
      <c r="R13" s="97"/>
      <c r="S13" s="97"/>
      <c r="T13" s="97"/>
      <c r="U13" s="14"/>
      <c r="V13" s="12"/>
      <c r="W13" s="12"/>
    </row>
    <row r="14" spans="1:23" ht="12.75">
      <c r="A14" s="454"/>
      <c r="B14" s="126">
        <v>7</v>
      </c>
      <c r="C14" s="350" t="s">
        <v>135</v>
      </c>
      <c r="D14" s="351">
        <v>61</v>
      </c>
      <c r="E14" s="351">
        <v>1965</v>
      </c>
      <c r="F14" s="873">
        <v>19.981</v>
      </c>
      <c r="G14" s="873">
        <v>6.669847</v>
      </c>
      <c r="H14" s="873">
        <v>9.6</v>
      </c>
      <c r="I14" s="873">
        <v>3.711158</v>
      </c>
      <c r="J14" s="886">
        <v>2700.04</v>
      </c>
      <c r="K14" s="873">
        <f t="shared" si="0"/>
        <v>3.711158</v>
      </c>
      <c r="L14" s="886">
        <v>2700.04</v>
      </c>
      <c r="M14" s="353">
        <f t="shared" si="1"/>
        <v>0.001374482600257774</v>
      </c>
      <c r="N14" s="352">
        <v>307.38</v>
      </c>
      <c r="O14" s="352">
        <f t="shared" si="2"/>
        <v>0.4224884616672346</v>
      </c>
      <c r="P14" s="352">
        <f t="shared" si="3"/>
        <v>82.46895601546645</v>
      </c>
      <c r="Q14" s="354">
        <f t="shared" si="4"/>
        <v>25.349307700034075</v>
      </c>
      <c r="R14" s="97"/>
      <c r="S14" s="97"/>
      <c r="T14" s="97"/>
      <c r="U14" s="14"/>
      <c r="V14" s="12"/>
      <c r="W14" s="12"/>
    </row>
    <row r="15" spans="1:23" ht="12.75">
      <c r="A15" s="454"/>
      <c r="B15" s="126">
        <v>8</v>
      </c>
      <c r="C15" s="16" t="s">
        <v>76</v>
      </c>
      <c r="D15" s="32">
        <v>21</v>
      </c>
      <c r="E15" s="32">
        <v>2005</v>
      </c>
      <c r="F15" s="872">
        <v>9.352</v>
      </c>
      <c r="G15" s="872">
        <v>5.197727</v>
      </c>
      <c r="H15" s="872">
        <v>1.68</v>
      </c>
      <c r="I15" s="872">
        <v>2.474273</v>
      </c>
      <c r="J15" s="887">
        <v>1763.36</v>
      </c>
      <c r="K15" s="872">
        <f t="shared" si="0"/>
        <v>2.474273</v>
      </c>
      <c r="L15" s="885">
        <v>1763.36</v>
      </c>
      <c r="M15" s="153">
        <f t="shared" si="1"/>
        <v>0.001403158175301697</v>
      </c>
      <c r="N15" s="543">
        <v>307.38</v>
      </c>
      <c r="O15" s="152">
        <f t="shared" si="2"/>
        <v>0.4313027599242356</v>
      </c>
      <c r="P15" s="152">
        <f t="shared" si="3"/>
        <v>84.18949051810182</v>
      </c>
      <c r="Q15" s="154">
        <f t="shared" si="4"/>
        <v>25.878165595454135</v>
      </c>
      <c r="R15" s="97"/>
      <c r="S15" s="97"/>
      <c r="T15" s="97"/>
      <c r="U15" s="14"/>
      <c r="V15" s="12"/>
      <c r="W15" s="12"/>
    </row>
    <row r="16" spans="1:23" ht="12.75">
      <c r="A16" s="454"/>
      <c r="B16" s="126">
        <v>9</v>
      </c>
      <c r="C16" s="16" t="s">
        <v>75</v>
      </c>
      <c r="D16" s="32">
        <v>56</v>
      </c>
      <c r="E16" s="32">
        <v>2008</v>
      </c>
      <c r="F16" s="872">
        <v>18.883</v>
      </c>
      <c r="G16" s="872">
        <v>9.513706</v>
      </c>
      <c r="H16" s="872">
        <v>4.48</v>
      </c>
      <c r="I16" s="872">
        <v>4.889293</v>
      </c>
      <c r="J16" s="887">
        <v>3105.9</v>
      </c>
      <c r="K16" s="872">
        <f t="shared" si="0"/>
        <v>4.889293</v>
      </c>
      <c r="L16" s="885">
        <v>3105.9</v>
      </c>
      <c r="M16" s="158">
        <f t="shared" si="1"/>
        <v>0.0015741952413149169</v>
      </c>
      <c r="N16" s="157">
        <v>307.38</v>
      </c>
      <c r="O16" s="157">
        <f t="shared" si="2"/>
        <v>0.48387613327537915</v>
      </c>
      <c r="P16" s="157">
        <f t="shared" si="3"/>
        <v>94.45171447889501</v>
      </c>
      <c r="Q16" s="159">
        <f t="shared" si="4"/>
        <v>29.03256799652275</v>
      </c>
      <c r="R16" s="97"/>
      <c r="S16" s="97"/>
      <c r="T16" s="97"/>
      <c r="U16" s="14"/>
      <c r="V16" s="12"/>
      <c r="W16" s="12"/>
    </row>
    <row r="17" spans="1:23" ht="13.5" thickBot="1">
      <c r="A17" s="455"/>
      <c r="B17" s="127">
        <v>10</v>
      </c>
      <c r="C17" s="71" t="s">
        <v>348</v>
      </c>
      <c r="D17" s="70">
        <v>50</v>
      </c>
      <c r="E17" s="70">
        <v>2006</v>
      </c>
      <c r="F17" s="874">
        <v>19.547</v>
      </c>
      <c r="G17" s="874">
        <v>10.146647</v>
      </c>
      <c r="H17" s="874">
        <v>4</v>
      </c>
      <c r="I17" s="874">
        <v>5.400353</v>
      </c>
      <c r="J17" s="888">
        <v>2532.37</v>
      </c>
      <c r="K17" s="874">
        <f t="shared" si="0"/>
        <v>5.400353</v>
      </c>
      <c r="L17" s="899">
        <v>2532.37</v>
      </c>
      <c r="M17" s="161">
        <f t="shared" si="1"/>
        <v>0.0021325292117660532</v>
      </c>
      <c r="N17" s="160">
        <v>307.38</v>
      </c>
      <c r="O17" s="160">
        <f t="shared" si="2"/>
        <v>0.6554968291126494</v>
      </c>
      <c r="P17" s="160">
        <f t="shared" si="3"/>
        <v>127.9517527059632</v>
      </c>
      <c r="Q17" s="162">
        <f t="shared" si="4"/>
        <v>39.32980974675896</v>
      </c>
      <c r="R17" s="97"/>
      <c r="S17" s="97"/>
      <c r="T17" s="97"/>
      <c r="U17" s="14"/>
      <c r="V17" s="12"/>
      <c r="W17" s="12"/>
    </row>
    <row r="18" spans="1:23" ht="12.75" customHeight="1">
      <c r="A18" s="498" t="s">
        <v>46</v>
      </c>
      <c r="B18" s="128">
        <v>1</v>
      </c>
      <c r="C18" s="33" t="s">
        <v>84</v>
      </c>
      <c r="D18" s="34">
        <v>71</v>
      </c>
      <c r="E18" s="34">
        <v>2006</v>
      </c>
      <c r="F18" s="875">
        <v>24.74</v>
      </c>
      <c r="G18" s="875">
        <v>11.781</v>
      </c>
      <c r="H18" s="875">
        <v>4.34213</v>
      </c>
      <c r="I18" s="875">
        <v>8.61687</v>
      </c>
      <c r="J18" s="889">
        <v>3533.18</v>
      </c>
      <c r="K18" s="875">
        <f t="shared" si="0"/>
        <v>8.61687</v>
      </c>
      <c r="L18" s="889">
        <v>3533.18</v>
      </c>
      <c r="M18" s="166">
        <f t="shared" si="1"/>
        <v>0.00243884262901975</v>
      </c>
      <c r="N18" s="165">
        <v>306.181</v>
      </c>
      <c r="O18" s="165">
        <f t="shared" si="2"/>
        <v>0.7467272749958961</v>
      </c>
      <c r="P18" s="165">
        <f t="shared" si="3"/>
        <v>146.330557741185</v>
      </c>
      <c r="Q18" s="167">
        <f t="shared" si="4"/>
        <v>44.803636499753765</v>
      </c>
      <c r="R18" s="97"/>
      <c r="S18" s="97"/>
      <c r="T18" s="97"/>
      <c r="U18" s="14"/>
      <c r="V18" s="12"/>
      <c r="W18" s="12"/>
    </row>
    <row r="19" spans="1:24" s="7" customFormat="1" ht="12.75">
      <c r="A19" s="463"/>
      <c r="B19" s="129">
        <v>2</v>
      </c>
      <c r="C19" s="35" t="s">
        <v>79</v>
      </c>
      <c r="D19" s="36">
        <v>59</v>
      </c>
      <c r="E19" s="36">
        <v>2001</v>
      </c>
      <c r="F19" s="876">
        <v>25.919</v>
      </c>
      <c r="G19" s="876">
        <v>8.310093</v>
      </c>
      <c r="H19" s="876">
        <v>9.12</v>
      </c>
      <c r="I19" s="876">
        <v>8.488905</v>
      </c>
      <c r="J19" s="890">
        <v>3432.83</v>
      </c>
      <c r="K19" s="876">
        <f t="shared" si="0"/>
        <v>8.488905</v>
      </c>
      <c r="L19" s="890">
        <v>3432.83</v>
      </c>
      <c r="M19" s="170">
        <f t="shared" si="1"/>
        <v>0.002472859127891565</v>
      </c>
      <c r="N19" s="169">
        <v>306.181</v>
      </c>
      <c r="O19" s="169">
        <f t="shared" si="2"/>
        <v>0.7571424806369672</v>
      </c>
      <c r="P19" s="169">
        <f t="shared" si="3"/>
        <v>148.3715476734939</v>
      </c>
      <c r="Q19" s="171">
        <f t="shared" si="4"/>
        <v>45.428548838218035</v>
      </c>
      <c r="R19" s="97"/>
      <c r="S19" s="97"/>
      <c r="T19" s="97"/>
      <c r="U19" s="14"/>
      <c r="V19" s="12"/>
      <c r="W19" s="12"/>
      <c r="X19" s="1"/>
    </row>
    <row r="20" spans="1:24" ht="12.75">
      <c r="A20" s="463"/>
      <c r="B20" s="129">
        <v>3</v>
      </c>
      <c r="C20" s="35" t="s">
        <v>82</v>
      </c>
      <c r="D20" s="36">
        <v>42</v>
      </c>
      <c r="E20" s="36">
        <v>2000</v>
      </c>
      <c r="F20" s="876">
        <v>24.5087</v>
      </c>
      <c r="G20" s="876">
        <v>10.945352</v>
      </c>
      <c r="H20" s="876">
        <v>6.64</v>
      </c>
      <c r="I20" s="876">
        <v>6.9233460000000004</v>
      </c>
      <c r="J20" s="890">
        <v>2801.69</v>
      </c>
      <c r="K20" s="876">
        <f t="shared" si="0"/>
        <v>6.9233460000000004</v>
      </c>
      <c r="L20" s="890">
        <v>2759.32</v>
      </c>
      <c r="M20" s="170">
        <f t="shared" si="1"/>
        <v>0.002509076874012438</v>
      </c>
      <c r="N20" s="169">
        <v>306.181</v>
      </c>
      <c r="O20" s="169">
        <f t="shared" si="2"/>
        <v>0.7682316663620021</v>
      </c>
      <c r="P20" s="169">
        <f t="shared" si="3"/>
        <v>150.54461244074628</v>
      </c>
      <c r="Q20" s="171">
        <f t="shared" si="4"/>
        <v>46.09389998172013</v>
      </c>
      <c r="R20" s="97"/>
      <c r="S20" s="97"/>
      <c r="T20" s="97"/>
      <c r="U20" s="14"/>
      <c r="V20" s="13"/>
      <c r="W20" s="13"/>
      <c r="X20" s="8"/>
    </row>
    <row r="21" spans="1:23" ht="12.75">
      <c r="A21" s="463"/>
      <c r="B21" s="129">
        <v>4</v>
      </c>
      <c r="C21" s="35" t="s">
        <v>78</v>
      </c>
      <c r="D21" s="36">
        <v>45</v>
      </c>
      <c r="E21" s="36">
        <v>2001</v>
      </c>
      <c r="F21" s="876">
        <v>23.027</v>
      </c>
      <c r="G21" s="876">
        <v>7.89096</v>
      </c>
      <c r="H21" s="876">
        <v>7.12</v>
      </c>
      <c r="I21" s="876">
        <v>8.01604</v>
      </c>
      <c r="J21" s="890">
        <v>3135.61</v>
      </c>
      <c r="K21" s="876">
        <f t="shared" si="0"/>
        <v>8.01604</v>
      </c>
      <c r="L21" s="890">
        <v>3135.61</v>
      </c>
      <c r="M21" s="170">
        <f t="shared" si="1"/>
        <v>0.002556453130331897</v>
      </c>
      <c r="N21" s="169">
        <v>306.181</v>
      </c>
      <c r="O21" s="169">
        <f t="shared" si="2"/>
        <v>0.7827373758981505</v>
      </c>
      <c r="P21" s="169">
        <f t="shared" si="3"/>
        <v>153.3871878199138</v>
      </c>
      <c r="Q21" s="171">
        <f t="shared" si="4"/>
        <v>46.96424255388903</v>
      </c>
      <c r="R21" s="97"/>
      <c r="S21" s="97"/>
      <c r="T21" s="97"/>
      <c r="U21" s="14"/>
      <c r="V21" s="12"/>
      <c r="W21" s="12"/>
    </row>
    <row r="22" spans="1:24" ht="12.75">
      <c r="A22" s="463"/>
      <c r="B22" s="129">
        <v>5</v>
      </c>
      <c r="C22" s="35" t="s">
        <v>83</v>
      </c>
      <c r="D22" s="36">
        <v>28</v>
      </c>
      <c r="E22" s="36">
        <v>1999</v>
      </c>
      <c r="F22" s="876">
        <v>15.403</v>
      </c>
      <c r="G22" s="876">
        <v>4.386</v>
      </c>
      <c r="H22" s="876">
        <v>4.16</v>
      </c>
      <c r="I22" s="876">
        <v>6.856998</v>
      </c>
      <c r="J22" s="890">
        <v>2189.32</v>
      </c>
      <c r="K22" s="876">
        <f t="shared" si="0"/>
        <v>6.856998</v>
      </c>
      <c r="L22" s="890">
        <v>2189.32</v>
      </c>
      <c r="M22" s="170">
        <f t="shared" si="1"/>
        <v>0.003132021814992783</v>
      </c>
      <c r="N22" s="169">
        <v>306.181</v>
      </c>
      <c r="O22" s="169">
        <f t="shared" si="2"/>
        <v>0.9589655713363052</v>
      </c>
      <c r="P22" s="169">
        <f t="shared" si="3"/>
        <v>187.92130889956698</v>
      </c>
      <c r="Q22" s="171">
        <f t="shared" si="4"/>
        <v>57.53793428017831</v>
      </c>
      <c r="R22" s="97"/>
      <c r="S22" s="97"/>
      <c r="T22" s="97"/>
      <c r="U22" s="14"/>
      <c r="V22" s="12"/>
      <c r="W22" s="12"/>
      <c r="X22" s="7"/>
    </row>
    <row r="23" spans="1:24" ht="12.75">
      <c r="A23" s="463"/>
      <c r="B23" s="129">
        <v>6</v>
      </c>
      <c r="C23" s="35" t="s">
        <v>138</v>
      </c>
      <c r="D23" s="36">
        <v>28</v>
      </c>
      <c r="E23" s="36">
        <v>2000</v>
      </c>
      <c r="F23" s="876">
        <v>14.347</v>
      </c>
      <c r="G23" s="876">
        <v>4.485286</v>
      </c>
      <c r="H23" s="876">
        <v>4.4</v>
      </c>
      <c r="I23" s="876">
        <v>5.461715</v>
      </c>
      <c r="J23" s="890">
        <v>1552.52</v>
      </c>
      <c r="K23" s="876">
        <f t="shared" si="0"/>
        <v>5.461715</v>
      </c>
      <c r="L23" s="890">
        <v>1463.69</v>
      </c>
      <c r="M23" s="170">
        <f t="shared" si="1"/>
        <v>0.003731469778436691</v>
      </c>
      <c r="N23" s="169">
        <v>306.181</v>
      </c>
      <c r="O23" s="169">
        <f t="shared" si="2"/>
        <v>1.1425051482315243</v>
      </c>
      <c r="P23" s="169">
        <f t="shared" si="3"/>
        <v>223.88818670620145</v>
      </c>
      <c r="Q23" s="171">
        <f t="shared" si="4"/>
        <v>68.55030889389145</v>
      </c>
      <c r="R23" s="97"/>
      <c r="S23" s="97"/>
      <c r="T23" s="97"/>
      <c r="U23" s="14"/>
      <c r="V23" s="13"/>
      <c r="W23" s="13"/>
      <c r="X23" s="8"/>
    </row>
    <row r="24" spans="1:23" ht="12.75">
      <c r="A24" s="463"/>
      <c r="B24" s="129">
        <v>7</v>
      </c>
      <c r="C24" s="35" t="s">
        <v>85</v>
      </c>
      <c r="D24" s="36">
        <v>40</v>
      </c>
      <c r="E24" s="36">
        <v>1995</v>
      </c>
      <c r="F24" s="876">
        <v>25.07</v>
      </c>
      <c r="G24" s="876">
        <v>8.165158</v>
      </c>
      <c r="H24" s="876">
        <v>6.4</v>
      </c>
      <c r="I24" s="876">
        <v>10.504842</v>
      </c>
      <c r="J24" s="890">
        <v>2734.01</v>
      </c>
      <c r="K24" s="876">
        <f t="shared" si="0"/>
        <v>10.504842</v>
      </c>
      <c r="L24" s="890">
        <v>2734.01</v>
      </c>
      <c r="M24" s="170">
        <f t="shared" si="1"/>
        <v>0.0038422836785527484</v>
      </c>
      <c r="N24" s="169">
        <v>307.38</v>
      </c>
      <c r="O24" s="169">
        <f t="shared" si="2"/>
        <v>1.1810411571135437</v>
      </c>
      <c r="P24" s="169">
        <f t="shared" si="3"/>
        <v>230.5370207131649</v>
      </c>
      <c r="Q24" s="171">
        <f t="shared" si="4"/>
        <v>70.86246942681262</v>
      </c>
      <c r="R24" s="97"/>
      <c r="S24" s="97"/>
      <c r="T24" s="97"/>
      <c r="U24" s="14"/>
      <c r="V24" s="12"/>
      <c r="W24" s="12"/>
    </row>
    <row r="25" spans="1:24" s="8" customFormat="1" ht="12.75">
      <c r="A25" s="463"/>
      <c r="B25" s="129">
        <v>8</v>
      </c>
      <c r="C25" s="35" t="s">
        <v>349</v>
      </c>
      <c r="D25" s="36">
        <v>39</v>
      </c>
      <c r="E25" s="36">
        <v>1999</v>
      </c>
      <c r="F25" s="876">
        <v>22.015</v>
      </c>
      <c r="G25" s="876">
        <v>5.2734</v>
      </c>
      <c r="H25" s="876">
        <v>6.24</v>
      </c>
      <c r="I25" s="876">
        <v>10.5016</v>
      </c>
      <c r="J25" s="890">
        <v>2296.95</v>
      </c>
      <c r="K25" s="876">
        <f t="shared" si="0"/>
        <v>10.5016</v>
      </c>
      <c r="L25" s="890">
        <v>2296.95</v>
      </c>
      <c r="M25" s="170">
        <f t="shared" si="1"/>
        <v>0.004571975881059666</v>
      </c>
      <c r="N25" s="169">
        <v>306.181</v>
      </c>
      <c r="O25" s="169">
        <f t="shared" si="2"/>
        <v>1.3998521472387295</v>
      </c>
      <c r="P25" s="169">
        <f t="shared" si="3"/>
        <v>274.31855286357995</v>
      </c>
      <c r="Q25" s="171">
        <f t="shared" si="4"/>
        <v>83.99112883432377</v>
      </c>
      <c r="R25" s="97"/>
      <c r="S25" s="97"/>
      <c r="T25" s="97"/>
      <c r="U25" s="14"/>
      <c r="V25" s="12"/>
      <c r="W25" s="12"/>
      <c r="X25" s="1"/>
    </row>
    <row r="26" spans="1:24" s="8" customFormat="1" ht="12.75">
      <c r="A26" s="463"/>
      <c r="B26" s="129">
        <v>9</v>
      </c>
      <c r="C26" s="35" t="s">
        <v>81</v>
      </c>
      <c r="D26" s="36">
        <v>40</v>
      </c>
      <c r="E26" s="36">
        <v>1996</v>
      </c>
      <c r="F26" s="876">
        <v>27.125</v>
      </c>
      <c r="G26" s="876">
        <v>6.693896</v>
      </c>
      <c r="H26" s="876">
        <v>7.19516</v>
      </c>
      <c r="I26" s="876">
        <v>13.235944</v>
      </c>
      <c r="J26" s="890">
        <v>2861.83</v>
      </c>
      <c r="K26" s="876">
        <f t="shared" si="0"/>
        <v>13.235944</v>
      </c>
      <c r="L26" s="890">
        <v>2861.83</v>
      </c>
      <c r="M26" s="170">
        <f t="shared" si="1"/>
        <v>0.004624993098821383</v>
      </c>
      <c r="N26" s="169">
        <v>306.181</v>
      </c>
      <c r="O26" s="169">
        <f t="shared" si="2"/>
        <v>1.41608501199023</v>
      </c>
      <c r="P26" s="169">
        <f t="shared" si="3"/>
        <v>277.499585929283</v>
      </c>
      <c r="Q26" s="171">
        <f t="shared" si="4"/>
        <v>84.9651007194138</v>
      </c>
      <c r="R26" s="97"/>
      <c r="S26" s="97"/>
      <c r="T26" s="97"/>
      <c r="U26" s="14"/>
      <c r="V26" s="12"/>
      <c r="W26" s="12"/>
      <c r="X26" s="1"/>
    </row>
    <row r="27" spans="1:23" ht="13.5" customHeight="1" thickBot="1">
      <c r="A27" s="464"/>
      <c r="B27" s="130">
        <v>10</v>
      </c>
      <c r="C27" s="91" t="s">
        <v>88</v>
      </c>
      <c r="D27" s="39">
        <v>60</v>
      </c>
      <c r="E27" s="39">
        <v>1981</v>
      </c>
      <c r="F27" s="877">
        <v>32.341</v>
      </c>
      <c r="G27" s="877">
        <v>7.069871</v>
      </c>
      <c r="H27" s="877">
        <v>9.6</v>
      </c>
      <c r="I27" s="877">
        <v>15.671135</v>
      </c>
      <c r="J27" s="891">
        <v>3285.91</v>
      </c>
      <c r="K27" s="877">
        <f t="shared" si="0"/>
        <v>15.671135</v>
      </c>
      <c r="L27" s="891">
        <v>3285.91</v>
      </c>
      <c r="M27" s="591">
        <f t="shared" si="1"/>
        <v>0.004769191791619369</v>
      </c>
      <c r="N27" s="590">
        <v>307.38</v>
      </c>
      <c r="O27" s="590">
        <f t="shared" si="2"/>
        <v>1.4659541729079615</v>
      </c>
      <c r="P27" s="590">
        <f t="shared" si="3"/>
        <v>286.15150749716213</v>
      </c>
      <c r="Q27" s="592">
        <f t="shared" si="4"/>
        <v>87.9572503744777</v>
      </c>
      <c r="R27" s="97"/>
      <c r="S27" s="97"/>
      <c r="T27" s="97"/>
      <c r="U27" s="14"/>
      <c r="V27" s="12"/>
      <c r="W27" s="12"/>
    </row>
    <row r="28" spans="1:23" ht="12.75" customHeight="1">
      <c r="A28" s="625" t="s">
        <v>47</v>
      </c>
      <c r="B28" s="626">
        <v>1</v>
      </c>
      <c r="C28" s="627" t="s">
        <v>93</v>
      </c>
      <c r="D28" s="366">
        <v>22</v>
      </c>
      <c r="E28" s="366">
        <v>1989</v>
      </c>
      <c r="F28" s="878">
        <v>12.242</v>
      </c>
      <c r="G28" s="878">
        <v>1.98616</v>
      </c>
      <c r="H28" s="878">
        <v>3.52</v>
      </c>
      <c r="I28" s="878">
        <v>6.73584</v>
      </c>
      <c r="J28" s="892">
        <v>1179.64</v>
      </c>
      <c r="K28" s="878">
        <f t="shared" si="0"/>
        <v>6.73584</v>
      </c>
      <c r="L28" s="892">
        <v>1179.64</v>
      </c>
      <c r="M28" s="629">
        <f t="shared" si="1"/>
        <v>0.00571008104167373</v>
      </c>
      <c r="N28" s="628">
        <v>307.38</v>
      </c>
      <c r="O28" s="628">
        <f t="shared" si="2"/>
        <v>1.755164710589671</v>
      </c>
      <c r="P28" s="628">
        <f t="shared" si="3"/>
        <v>342.60486250042385</v>
      </c>
      <c r="Q28" s="630">
        <f t="shared" si="4"/>
        <v>105.30988263538026</v>
      </c>
      <c r="R28" s="97"/>
      <c r="S28" s="97"/>
      <c r="T28" s="97"/>
      <c r="U28" s="14"/>
      <c r="V28" s="12"/>
      <c r="W28" s="12"/>
    </row>
    <row r="29" spans="1:24" s="7" customFormat="1" ht="12.75">
      <c r="A29" s="631"/>
      <c r="B29" s="632">
        <v>2</v>
      </c>
      <c r="C29" s="633" t="s">
        <v>80</v>
      </c>
      <c r="D29" s="367">
        <v>50</v>
      </c>
      <c r="E29" s="367">
        <v>2000</v>
      </c>
      <c r="F29" s="879">
        <v>28.252</v>
      </c>
      <c r="G29" s="879">
        <v>5.131808</v>
      </c>
      <c r="H29" s="879">
        <v>8</v>
      </c>
      <c r="I29" s="879">
        <v>15.120191</v>
      </c>
      <c r="J29" s="893">
        <v>2639.5</v>
      </c>
      <c r="K29" s="879">
        <f t="shared" si="0"/>
        <v>15.120191</v>
      </c>
      <c r="L29" s="893">
        <v>2639.5</v>
      </c>
      <c r="M29" s="636">
        <f t="shared" si="1"/>
        <v>0.005728430005682895</v>
      </c>
      <c r="N29" s="635">
        <v>306.181</v>
      </c>
      <c r="O29" s="635">
        <f t="shared" si="2"/>
        <v>1.7539364275699942</v>
      </c>
      <c r="P29" s="635">
        <f t="shared" si="3"/>
        <v>343.7058003409737</v>
      </c>
      <c r="Q29" s="637">
        <f t="shared" si="4"/>
        <v>105.23618565419966</v>
      </c>
      <c r="R29" s="97"/>
      <c r="S29" s="97"/>
      <c r="T29" s="97"/>
      <c r="U29" s="14"/>
      <c r="V29" s="12"/>
      <c r="W29" s="12"/>
      <c r="X29" s="1"/>
    </row>
    <row r="30" spans="1:24" ht="12.75">
      <c r="A30" s="631"/>
      <c r="B30" s="632">
        <v>3</v>
      </c>
      <c r="C30" s="633" t="s">
        <v>95</v>
      </c>
      <c r="D30" s="367">
        <v>44</v>
      </c>
      <c r="E30" s="367" t="s">
        <v>73</v>
      </c>
      <c r="F30" s="879">
        <v>27.726</v>
      </c>
      <c r="G30" s="879">
        <v>6.65632</v>
      </c>
      <c r="H30" s="879">
        <v>7.04</v>
      </c>
      <c r="I30" s="879">
        <v>14.029683</v>
      </c>
      <c r="J30" s="893">
        <v>2337.92</v>
      </c>
      <c r="K30" s="879">
        <f t="shared" si="0"/>
        <v>14.029683</v>
      </c>
      <c r="L30" s="893">
        <v>2337.92</v>
      </c>
      <c r="M30" s="636">
        <f t="shared" si="1"/>
        <v>0.006000925181357788</v>
      </c>
      <c r="N30" s="635">
        <v>307.38</v>
      </c>
      <c r="O30" s="635">
        <f t="shared" si="2"/>
        <v>1.844564382245757</v>
      </c>
      <c r="P30" s="635">
        <f t="shared" si="3"/>
        <v>360.0555108814672</v>
      </c>
      <c r="Q30" s="637">
        <f t="shared" si="4"/>
        <v>110.67386293474542</v>
      </c>
      <c r="R30" s="97"/>
      <c r="S30" s="97"/>
      <c r="T30" s="97"/>
      <c r="U30" s="14"/>
      <c r="V30" s="12"/>
      <c r="W30" s="12"/>
      <c r="X30" s="7"/>
    </row>
    <row r="31" spans="1:23" s="7" customFormat="1" ht="12.75">
      <c r="A31" s="631"/>
      <c r="B31" s="632">
        <v>4</v>
      </c>
      <c r="C31" s="633" t="s">
        <v>92</v>
      </c>
      <c r="D31" s="367">
        <v>40</v>
      </c>
      <c r="E31" s="367">
        <v>1985</v>
      </c>
      <c r="F31" s="879">
        <v>25.165</v>
      </c>
      <c r="G31" s="879">
        <v>5.207175</v>
      </c>
      <c r="H31" s="879">
        <v>6.4</v>
      </c>
      <c r="I31" s="879">
        <v>13.55783</v>
      </c>
      <c r="J31" s="893">
        <v>2161.15</v>
      </c>
      <c r="K31" s="879">
        <f t="shared" si="0"/>
        <v>13.55783</v>
      </c>
      <c r="L31" s="893">
        <v>2161.15</v>
      </c>
      <c r="M31" s="636">
        <f t="shared" si="1"/>
        <v>0.006273433125882053</v>
      </c>
      <c r="N31" s="635">
        <v>307.38</v>
      </c>
      <c r="O31" s="635">
        <f t="shared" si="2"/>
        <v>1.9283278742336254</v>
      </c>
      <c r="P31" s="635">
        <f t="shared" si="3"/>
        <v>376.4059875529232</v>
      </c>
      <c r="Q31" s="637">
        <f t="shared" si="4"/>
        <v>115.69967245401753</v>
      </c>
      <c r="R31" s="97"/>
      <c r="S31" s="97"/>
      <c r="T31" s="97"/>
      <c r="U31" s="14"/>
      <c r="V31" s="12"/>
      <c r="W31" s="12"/>
    </row>
    <row r="32" spans="1:23" ht="12.75">
      <c r="A32" s="631"/>
      <c r="B32" s="632">
        <v>5</v>
      </c>
      <c r="C32" s="633" t="s">
        <v>99</v>
      </c>
      <c r="D32" s="367">
        <v>40</v>
      </c>
      <c r="E32" s="367">
        <v>1960</v>
      </c>
      <c r="F32" s="879">
        <v>14.711</v>
      </c>
      <c r="G32" s="879">
        <v>4.554855</v>
      </c>
      <c r="H32" s="879">
        <v>0.4</v>
      </c>
      <c r="I32" s="879">
        <v>9.756148</v>
      </c>
      <c r="J32" s="893">
        <v>1500.19</v>
      </c>
      <c r="K32" s="879">
        <f t="shared" si="0"/>
        <v>9.756148</v>
      </c>
      <c r="L32" s="893">
        <v>1500.19</v>
      </c>
      <c r="M32" s="636">
        <f t="shared" si="1"/>
        <v>0.0065032749185103215</v>
      </c>
      <c r="N32" s="635">
        <v>307.38</v>
      </c>
      <c r="O32" s="635">
        <f t="shared" si="2"/>
        <v>1.9989766444517025</v>
      </c>
      <c r="P32" s="635">
        <f t="shared" si="3"/>
        <v>390.19649511061925</v>
      </c>
      <c r="Q32" s="637">
        <f t="shared" si="4"/>
        <v>119.93859866710216</v>
      </c>
      <c r="R32" s="97"/>
      <c r="S32" s="97"/>
      <c r="T32" s="97"/>
      <c r="U32" s="14"/>
      <c r="V32" s="12"/>
      <c r="W32" s="12"/>
    </row>
    <row r="33" spans="1:23" ht="12.75">
      <c r="A33" s="631"/>
      <c r="B33" s="632">
        <v>6</v>
      </c>
      <c r="C33" s="633" t="s">
        <v>86</v>
      </c>
      <c r="D33" s="367">
        <v>38</v>
      </c>
      <c r="E33" s="367" t="s">
        <v>73</v>
      </c>
      <c r="F33" s="879">
        <v>26.314</v>
      </c>
      <c r="G33" s="879">
        <v>4.637791</v>
      </c>
      <c r="H33" s="879">
        <v>6</v>
      </c>
      <c r="I33" s="879">
        <v>15.676211</v>
      </c>
      <c r="J33" s="893">
        <v>2277.52</v>
      </c>
      <c r="K33" s="879">
        <f t="shared" si="0"/>
        <v>15.676211</v>
      </c>
      <c r="L33" s="893">
        <v>2277.52</v>
      </c>
      <c r="M33" s="636">
        <f t="shared" si="1"/>
        <v>0.006883017931785451</v>
      </c>
      <c r="N33" s="635">
        <v>307.38</v>
      </c>
      <c r="O33" s="635">
        <f t="shared" si="2"/>
        <v>2.115702051872212</v>
      </c>
      <c r="P33" s="635">
        <f t="shared" si="3"/>
        <v>412.9810759071271</v>
      </c>
      <c r="Q33" s="637">
        <f t="shared" si="4"/>
        <v>126.94212311233272</v>
      </c>
      <c r="R33" s="97"/>
      <c r="S33" s="97"/>
      <c r="T33" s="97"/>
      <c r="U33" s="14"/>
      <c r="V33" s="12"/>
      <c r="W33" s="12"/>
    </row>
    <row r="34" spans="1:24" s="7" customFormat="1" ht="12.75">
      <c r="A34" s="631"/>
      <c r="B34" s="632">
        <v>7</v>
      </c>
      <c r="C34" s="633" t="s">
        <v>105</v>
      </c>
      <c r="D34" s="367">
        <v>4</v>
      </c>
      <c r="E34" s="367">
        <v>1963</v>
      </c>
      <c r="F34" s="879">
        <v>2.038</v>
      </c>
      <c r="G34" s="879">
        <v>1.01992</v>
      </c>
      <c r="H34" s="879">
        <v>0</v>
      </c>
      <c r="I34" s="879">
        <v>1.018081</v>
      </c>
      <c r="J34" s="893">
        <v>146.98</v>
      </c>
      <c r="K34" s="879">
        <f t="shared" si="0"/>
        <v>1.018081</v>
      </c>
      <c r="L34" s="893">
        <v>146.98</v>
      </c>
      <c r="M34" s="636">
        <f t="shared" si="1"/>
        <v>0.0069266634916315154</v>
      </c>
      <c r="N34" s="635">
        <v>306.181</v>
      </c>
      <c r="O34" s="635">
        <f t="shared" si="2"/>
        <v>2.120812754531229</v>
      </c>
      <c r="P34" s="635">
        <f t="shared" si="3"/>
        <v>415.59980949789093</v>
      </c>
      <c r="Q34" s="637">
        <f t="shared" si="4"/>
        <v>127.24876527187374</v>
      </c>
      <c r="R34" s="97"/>
      <c r="S34" s="97"/>
      <c r="T34" s="97"/>
      <c r="U34" s="14"/>
      <c r="V34" s="12"/>
      <c r="W34" s="12"/>
      <c r="X34" s="1"/>
    </row>
    <row r="35" spans="1:24" ht="12.75">
      <c r="A35" s="631"/>
      <c r="B35" s="632">
        <v>8</v>
      </c>
      <c r="C35" s="633" t="s">
        <v>87</v>
      </c>
      <c r="D35" s="367">
        <v>60</v>
      </c>
      <c r="E35" s="367">
        <v>1985</v>
      </c>
      <c r="F35" s="879">
        <v>39.632</v>
      </c>
      <c r="G35" s="879">
        <v>8.060804</v>
      </c>
      <c r="H35" s="879">
        <v>9.6</v>
      </c>
      <c r="I35" s="879">
        <v>22.293268</v>
      </c>
      <c r="J35" s="893">
        <v>3189.58</v>
      </c>
      <c r="K35" s="879">
        <f t="shared" si="0"/>
        <v>22.293268</v>
      </c>
      <c r="L35" s="893">
        <v>3189.58</v>
      </c>
      <c r="M35" s="636">
        <f t="shared" si="1"/>
        <v>0.006989405501664796</v>
      </c>
      <c r="N35" s="635">
        <v>307.38</v>
      </c>
      <c r="O35" s="635">
        <f t="shared" si="2"/>
        <v>2.148403463101725</v>
      </c>
      <c r="P35" s="635">
        <f t="shared" si="3"/>
        <v>419.36433009988775</v>
      </c>
      <c r="Q35" s="637">
        <f t="shared" si="4"/>
        <v>128.9042077861035</v>
      </c>
      <c r="R35" s="97"/>
      <c r="S35" s="97"/>
      <c r="T35" s="97"/>
      <c r="U35" s="14"/>
      <c r="V35" s="12"/>
      <c r="W35" s="12"/>
      <c r="X35" s="7"/>
    </row>
    <row r="36" spans="1:23" s="7" customFormat="1" ht="12.75">
      <c r="A36" s="631"/>
      <c r="B36" s="632">
        <v>9</v>
      </c>
      <c r="C36" s="633" t="s">
        <v>89</v>
      </c>
      <c r="D36" s="367">
        <v>145</v>
      </c>
      <c r="E36" s="367">
        <v>1980</v>
      </c>
      <c r="F36" s="879">
        <v>103.03</v>
      </c>
      <c r="G36" s="879">
        <v>20.913513</v>
      </c>
      <c r="H36" s="879">
        <v>22.88</v>
      </c>
      <c r="I36" s="879">
        <v>59.236466</v>
      </c>
      <c r="J36" s="893">
        <v>8328.31</v>
      </c>
      <c r="K36" s="879">
        <f t="shared" si="0"/>
        <v>59.236466</v>
      </c>
      <c r="L36" s="893">
        <v>8328.31</v>
      </c>
      <c r="M36" s="636">
        <f t="shared" si="1"/>
        <v>0.007112663433517725</v>
      </c>
      <c r="N36" s="635">
        <v>307.38</v>
      </c>
      <c r="O36" s="635">
        <f t="shared" si="2"/>
        <v>2.1862904861946784</v>
      </c>
      <c r="P36" s="635">
        <f t="shared" si="3"/>
        <v>426.7598060110635</v>
      </c>
      <c r="Q36" s="637">
        <f t="shared" si="4"/>
        <v>131.1774291716807</v>
      </c>
      <c r="R36" s="97"/>
      <c r="S36" s="97"/>
      <c r="T36" s="97"/>
      <c r="U36" s="14"/>
      <c r="V36" s="12"/>
      <c r="W36" s="12"/>
    </row>
    <row r="37" spans="1:23" ht="13.5" thickBot="1">
      <c r="A37" s="638"/>
      <c r="B37" s="639">
        <v>10</v>
      </c>
      <c r="C37" s="640" t="s">
        <v>101</v>
      </c>
      <c r="D37" s="535">
        <v>24</v>
      </c>
      <c r="E37" s="535">
        <v>1961</v>
      </c>
      <c r="F37" s="880">
        <v>9.508</v>
      </c>
      <c r="G37" s="880">
        <v>2.541855</v>
      </c>
      <c r="H37" s="880">
        <v>0</v>
      </c>
      <c r="I37" s="880">
        <v>6.966143</v>
      </c>
      <c r="J37" s="894">
        <v>911.79</v>
      </c>
      <c r="K37" s="880">
        <f t="shared" si="0"/>
        <v>6.966143</v>
      </c>
      <c r="L37" s="894">
        <v>911.79</v>
      </c>
      <c r="M37" s="643">
        <f t="shared" si="1"/>
        <v>0.007640073920529946</v>
      </c>
      <c r="N37" s="642">
        <v>307.38</v>
      </c>
      <c r="O37" s="642">
        <f t="shared" si="2"/>
        <v>2.348405921692495</v>
      </c>
      <c r="P37" s="642">
        <f t="shared" si="3"/>
        <v>458.4044352317968</v>
      </c>
      <c r="Q37" s="644">
        <f t="shared" si="4"/>
        <v>140.90435530154969</v>
      </c>
      <c r="R37" s="97"/>
      <c r="S37" s="97"/>
      <c r="T37" s="97"/>
      <c r="U37" s="14"/>
      <c r="V37" s="12"/>
      <c r="W37" s="12"/>
    </row>
    <row r="38" spans="1:23" s="7" customFormat="1" ht="12.75" customHeight="1">
      <c r="A38" s="449" t="s">
        <v>52</v>
      </c>
      <c r="B38" s="131">
        <v>1</v>
      </c>
      <c r="C38" s="645" t="s">
        <v>90</v>
      </c>
      <c r="D38" s="40">
        <v>72</v>
      </c>
      <c r="E38" s="40">
        <v>1980</v>
      </c>
      <c r="F38" s="881">
        <v>52.0198</v>
      </c>
      <c r="G38" s="881">
        <v>5.416022</v>
      </c>
      <c r="H38" s="881">
        <v>11.52</v>
      </c>
      <c r="I38" s="881">
        <v>31.931025</v>
      </c>
      <c r="J38" s="895">
        <v>4129.55</v>
      </c>
      <c r="K38" s="881">
        <f t="shared" si="0"/>
        <v>31.931025</v>
      </c>
      <c r="L38" s="895">
        <v>4129.55</v>
      </c>
      <c r="M38" s="173">
        <f t="shared" si="1"/>
        <v>0.007732325556053323</v>
      </c>
      <c r="N38" s="172">
        <v>307.38</v>
      </c>
      <c r="O38" s="172">
        <f t="shared" si="2"/>
        <v>2.3767622294196706</v>
      </c>
      <c r="P38" s="172">
        <f t="shared" si="3"/>
        <v>463.93953336319936</v>
      </c>
      <c r="Q38" s="174">
        <f t="shared" si="4"/>
        <v>142.60573376518025</v>
      </c>
      <c r="R38" s="97"/>
      <c r="S38" s="97"/>
      <c r="T38" s="97"/>
      <c r="U38" s="14"/>
      <c r="V38" s="12"/>
      <c r="W38" s="12"/>
    </row>
    <row r="39" spans="1:24" s="7" customFormat="1" ht="12.75">
      <c r="A39" s="450"/>
      <c r="B39" s="42">
        <v>2</v>
      </c>
      <c r="C39" s="52" t="s">
        <v>103</v>
      </c>
      <c r="D39" s="42">
        <v>108</v>
      </c>
      <c r="E39" s="42" t="s">
        <v>73</v>
      </c>
      <c r="F39" s="882">
        <v>48.046</v>
      </c>
      <c r="G39" s="882">
        <v>9.639538</v>
      </c>
      <c r="H39" s="882">
        <v>17.283099</v>
      </c>
      <c r="I39" s="882">
        <v>21.02962</v>
      </c>
      <c r="J39" s="896">
        <v>2584.79</v>
      </c>
      <c r="K39" s="882">
        <f t="shared" si="0"/>
        <v>21.02962</v>
      </c>
      <c r="L39" s="896">
        <v>2584.79</v>
      </c>
      <c r="M39" s="177">
        <f t="shared" si="1"/>
        <v>0.00813591046081113</v>
      </c>
      <c r="N39" s="176">
        <v>307.38</v>
      </c>
      <c r="O39" s="176">
        <f t="shared" si="2"/>
        <v>2.500816157444125</v>
      </c>
      <c r="P39" s="176">
        <f t="shared" si="3"/>
        <v>488.15462764866777</v>
      </c>
      <c r="Q39" s="178">
        <f t="shared" si="4"/>
        <v>150.0489694466475</v>
      </c>
      <c r="R39" s="97"/>
      <c r="S39" s="97"/>
      <c r="T39" s="97"/>
      <c r="U39" s="14"/>
      <c r="V39" s="12"/>
      <c r="W39" s="12"/>
      <c r="X39" s="1"/>
    </row>
    <row r="40" spans="1:23" ht="12.75">
      <c r="A40" s="450"/>
      <c r="B40" s="132">
        <v>3</v>
      </c>
      <c r="C40" s="52" t="s">
        <v>91</v>
      </c>
      <c r="D40" s="42">
        <v>49</v>
      </c>
      <c r="E40" s="42">
        <v>1986</v>
      </c>
      <c r="F40" s="882">
        <v>37.789</v>
      </c>
      <c r="G40" s="882">
        <v>5.485356</v>
      </c>
      <c r="H40" s="882">
        <v>7.68</v>
      </c>
      <c r="I40" s="882">
        <v>24.623647</v>
      </c>
      <c r="J40" s="896">
        <v>2820.68</v>
      </c>
      <c r="K40" s="882">
        <f t="shared" si="0"/>
        <v>24.623647</v>
      </c>
      <c r="L40" s="896">
        <v>2820.68</v>
      </c>
      <c r="M40" s="177">
        <f t="shared" si="1"/>
        <v>0.00872968468596225</v>
      </c>
      <c r="N40" s="176">
        <v>307.38</v>
      </c>
      <c r="O40" s="176">
        <f t="shared" si="2"/>
        <v>2.6833304787710763</v>
      </c>
      <c r="P40" s="176">
        <f t="shared" si="3"/>
        <v>523.781081157735</v>
      </c>
      <c r="Q40" s="178">
        <f t="shared" si="4"/>
        <v>160.99982872626458</v>
      </c>
      <c r="R40" s="97"/>
      <c r="S40" s="97"/>
      <c r="T40" s="97"/>
      <c r="U40" s="14"/>
      <c r="V40" s="12"/>
      <c r="W40" s="12"/>
    </row>
    <row r="41" spans="1:23" ht="12.75">
      <c r="A41" s="450"/>
      <c r="B41" s="132">
        <v>4</v>
      </c>
      <c r="C41" s="52" t="s">
        <v>104</v>
      </c>
      <c r="D41" s="42">
        <v>7</v>
      </c>
      <c r="E41" s="42" t="s">
        <v>73</v>
      </c>
      <c r="F41" s="882">
        <v>4.444</v>
      </c>
      <c r="G41" s="882">
        <v>1.342</v>
      </c>
      <c r="H41" s="882">
        <v>0</v>
      </c>
      <c r="I41" s="882">
        <v>3.101999</v>
      </c>
      <c r="J41" s="896">
        <v>355.81</v>
      </c>
      <c r="K41" s="882">
        <f t="shared" si="0"/>
        <v>3.101999</v>
      </c>
      <c r="L41" s="896">
        <v>318.95</v>
      </c>
      <c r="M41" s="177">
        <f t="shared" si="1"/>
        <v>0.009725659194231072</v>
      </c>
      <c r="N41" s="176">
        <v>307.38</v>
      </c>
      <c r="O41" s="176">
        <f t="shared" si="2"/>
        <v>2.989473123122747</v>
      </c>
      <c r="P41" s="176">
        <f t="shared" si="3"/>
        <v>583.5395516538642</v>
      </c>
      <c r="Q41" s="178">
        <f t="shared" si="4"/>
        <v>179.3683873873648</v>
      </c>
      <c r="R41" s="97"/>
      <c r="S41" s="97"/>
      <c r="T41" s="97"/>
      <c r="U41" s="14"/>
      <c r="V41" s="12"/>
      <c r="W41" s="12"/>
    </row>
    <row r="42" spans="1:23" ht="12.75">
      <c r="A42" s="450"/>
      <c r="B42" s="132">
        <v>5</v>
      </c>
      <c r="C42" s="52" t="s">
        <v>97</v>
      </c>
      <c r="D42" s="42">
        <v>13</v>
      </c>
      <c r="E42" s="42">
        <v>1961</v>
      </c>
      <c r="F42" s="882">
        <v>5.926</v>
      </c>
      <c r="G42" s="882">
        <v>0.810675</v>
      </c>
      <c r="H42" s="882">
        <v>0.13</v>
      </c>
      <c r="I42" s="882">
        <v>4.985325</v>
      </c>
      <c r="J42" s="896">
        <v>593.01</v>
      </c>
      <c r="K42" s="882">
        <f t="shared" si="0"/>
        <v>4.985325</v>
      </c>
      <c r="L42" s="896">
        <v>496.42</v>
      </c>
      <c r="M42" s="177">
        <f t="shared" si="1"/>
        <v>0.010042554691591796</v>
      </c>
      <c r="N42" s="176">
        <v>307.38</v>
      </c>
      <c r="O42" s="176">
        <f t="shared" si="2"/>
        <v>3.086880461101486</v>
      </c>
      <c r="P42" s="176">
        <f t="shared" si="3"/>
        <v>602.5532814955078</v>
      </c>
      <c r="Q42" s="178">
        <f t="shared" si="4"/>
        <v>185.21282766608917</v>
      </c>
      <c r="R42" s="97"/>
      <c r="S42" s="97"/>
      <c r="T42" s="97"/>
      <c r="U42" s="14"/>
      <c r="V42" s="12"/>
      <c r="W42" s="12"/>
    </row>
    <row r="43" spans="1:23" ht="12.75">
      <c r="A43" s="450"/>
      <c r="B43" s="42">
        <v>6</v>
      </c>
      <c r="C43" s="52" t="s">
        <v>94</v>
      </c>
      <c r="D43" s="42">
        <v>37</v>
      </c>
      <c r="E43" s="42">
        <v>1987</v>
      </c>
      <c r="F43" s="882">
        <v>32.103</v>
      </c>
      <c r="G43" s="882">
        <v>4.584702</v>
      </c>
      <c r="H43" s="882">
        <v>5.76</v>
      </c>
      <c r="I43" s="882">
        <v>21.758301</v>
      </c>
      <c r="J43" s="896">
        <v>2115.27</v>
      </c>
      <c r="K43" s="882">
        <f t="shared" si="0"/>
        <v>21.758301</v>
      </c>
      <c r="L43" s="896">
        <v>2115.27</v>
      </c>
      <c r="M43" s="177">
        <f t="shared" si="1"/>
        <v>0.010286299621324936</v>
      </c>
      <c r="N43" s="176">
        <v>307.38</v>
      </c>
      <c r="O43" s="176">
        <f t="shared" si="2"/>
        <v>3.1618027776028588</v>
      </c>
      <c r="P43" s="176">
        <f t="shared" si="3"/>
        <v>617.1779772794962</v>
      </c>
      <c r="Q43" s="178">
        <f t="shared" si="4"/>
        <v>189.70816665617153</v>
      </c>
      <c r="R43" s="97"/>
      <c r="S43" s="97"/>
      <c r="T43" s="97"/>
      <c r="U43" s="14"/>
      <c r="V43" s="12"/>
      <c r="W43" s="12"/>
    </row>
    <row r="44" spans="1:24" ht="12.75">
      <c r="A44" s="450"/>
      <c r="B44" s="132">
        <v>7</v>
      </c>
      <c r="C44" s="757" t="s">
        <v>100</v>
      </c>
      <c r="D44" s="175">
        <v>35</v>
      </c>
      <c r="E44" s="175">
        <v>1965</v>
      </c>
      <c r="F44" s="882">
        <v>15.768</v>
      </c>
      <c r="G44" s="882">
        <v>7.669745</v>
      </c>
      <c r="H44" s="882">
        <v>0.826</v>
      </c>
      <c r="I44" s="882">
        <v>7.272254</v>
      </c>
      <c r="J44" s="896">
        <v>687.58</v>
      </c>
      <c r="K44" s="882">
        <f t="shared" si="0"/>
        <v>7.272254</v>
      </c>
      <c r="L44" s="896">
        <v>687.58</v>
      </c>
      <c r="M44" s="177">
        <f t="shared" si="1"/>
        <v>0.010576593269146863</v>
      </c>
      <c r="N44" s="176">
        <v>307.38</v>
      </c>
      <c r="O44" s="176">
        <f t="shared" si="2"/>
        <v>3.2510332390703627</v>
      </c>
      <c r="P44" s="176">
        <f t="shared" si="3"/>
        <v>634.5955961488118</v>
      </c>
      <c r="Q44" s="178">
        <f t="shared" si="4"/>
        <v>195.06199434422177</v>
      </c>
      <c r="R44" s="97"/>
      <c r="S44" s="97"/>
      <c r="T44" s="97"/>
      <c r="U44" s="14"/>
      <c r="V44" s="12"/>
      <c r="W44" s="12"/>
      <c r="X44" s="7"/>
    </row>
    <row r="45" spans="1:23" ht="12.75">
      <c r="A45" s="450"/>
      <c r="B45" s="132">
        <v>8</v>
      </c>
      <c r="C45" s="52" t="s">
        <v>102</v>
      </c>
      <c r="D45" s="42">
        <v>108</v>
      </c>
      <c r="E45" s="42">
        <v>1971</v>
      </c>
      <c r="F45" s="882">
        <v>52.586</v>
      </c>
      <c r="G45" s="882">
        <v>7.499096</v>
      </c>
      <c r="H45" s="882">
        <v>17.279947</v>
      </c>
      <c r="I45" s="882">
        <v>27.8069</v>
      </c>
      <c r="J45" s="896">
        <v>2657.8</v>
      </c>
      <c r="K45" s="882">
        <f t="shared" si="0"/>
        <v>27.8069</v>
      </c>
      <c r="L45" s="896">
        <v>2595.4</v>
      </c>
      <c r="M45" s="177">
        <f t="shared" si="1"/>
        <v>0.010713916929952993</v>
      </c>
      <c r="N45" s="176">
        <v>307.38</v>
      </c>
      <c r="O45" s="176">
        <f t="shared" si="2"/>
        <v>3.293243785928951</v>
      </c>
      <c r="P45" s="176">
        <f t="shared" si="3"/>
        <v>642.8350157971796</v>
      </c>
      <c r="Q45" s="178">
        <f t="shared" si="4"/>
        <v>197.59462715573707</v>
      </c>
      <c r="R45" s="97"/>
      <c r="S45" s="97"/>
      <c r="T45" s="97"/>
      <c r="U45" s="14"/>
      <c r="V45" s="12"/>
      <c r="W45" s="12"/>
    </row>
    <row r="46" spans="1:23" s="7" customFormat="1" ht="12.75">
      <c r="A46" s="450"/>
      <c r="B46" s="132">
        <v>9</v>
      </c>
      <c r="C46" s="52" t="s">
        <v>96</v>
      </c>
      <c r="D46" s="42">
        <v>11</v>
      </c>
      <c r="E46" s="42">
        <v>1910</v>
      </c>
      <c r="F46" s="882">
        <v>6.574</v>
      </c>
      <c r="G46" s="882">
        <v>1.334055</v>
      </c>
      <c r="H46" s="882">
        <v>0</v>
      </c>
      <c r="I46" s="882">
        <v>5.239946</v>
      </c>
      <c r="J46" s="896">
        <v>542.57</v>
      </c>
      <c r="K46" s="882">
        <f t="shared" si="0"/>
        <v>5.239946</v>
      </c>
      <c r="L46" s="896">
        <v>450.66</v>
      </c>
      <c r="M46" s="177">
        <f t="shared" si="1"/>
        <v>0.011627271113478008</v>
      </c>
      <c r="N46" s="176">
        <v>307.38</v>
      </c>
      <c r="O46" s="176">
        <f t="shared" si="2"/>
        <v>3.57399059486087</v>
      </c>
      <c r="P46" s="176">
        <f t="shared" si="3"/>
        <v>697.6362668086805</v>
      </c>
      <c r="Q46" s="178">
        <f t="shared" si="4"/>
        <v>214.4394356916522</v>
      </c>
      <c r="R46" s="97"/>
      <c r="S46" s="97"/>
      <c r="T46" s="97"/>
      <c r="U46" s="14"/>
      <c r="V46" s="12"/>
      <c r="W46" s="12"/>
    </row>
    <row r="47" spans="1:23" ht="12.75">
      <c r="A47" s="450"/>
      <c r="B47" s="42">
        <v>10</v>
      </c>
      <c r="C47" s="52" t="s">
        <v>106</v>
      </c>
      <c r="D47" s="42">
        <v>4</v>
      </c>
      <c r="E47" s="42">
        <v>1963</v>
      </c>
      <c r="F47" s="882">
        <v>2.3272</v>
      </c>
      <c r="G47" s="882">
        <v>0.32208</v>
      </c>
      <c r="H47" s="882">
        <v>0.039784</v>
      </c>
      <c r="I47" s="882">
        <v>1.965336</v>
      </c>
      <c r="J47" s="896">
        <v>150.99</v>
      </c>
      <c r="K47" s="882">
        <f t="shared" si="0"/>
        <v>1.965336</v>
      </c>
      <c r="L47" s="896">
        <v>150.99</v>
      </c>
      <c r="M47" s="177">
        <f t="shared" si="1"/>
        <v>0.013016332207430955</v>
      </c>
      <c r="N47" s="176">
        <v>307.38</v>
      </c>
      <c r="O47" s="176">
        <f t="shared" si="2"/>
        <v>4.000960193920127</v>
      </c>
      <c r="P47" s="176">
        <f t="shared" si="3"/>
        <v>780.9799324458572</v>
      </c>
      <c r="Q47" s="178">
        <f t="shared" si="4"/>
        <v>240.05761163520762</v>
      </c>
      <c r="R47" s="97"/>
      <c r="S47" s="97"/>
      <c r="T47" s="97"/>
      <c r="U47" s="14"/>
      <c r="V47" s="12"/>
      <c r="W47" s="12"/>
    </row>
    <row r="48" spans="1:20" ht="13.5" customHeight="1" thickBot="1">
      <c r="A48" s="451"/>
      <c r="B48" s="47">
        <v>11</v>
      </c>
      <c r="C48" s="56" t="s">
        <v>98</v>
      </c>
      <c r="D48" s="47">
        <v>6</v>
      </c>
      <c r="E48" s="47">
        <v>1958</v>
      </c>
      <c r="F48" s="883">
        <v>5.115</v>
      </c>
      <c r="G48" s="883">
        <v>0.64416</v>
      </c>
      <c r="H48" s="883">
        <v>0.06</v>
      </c>
      <c r="I48" s="883">
        <v>4.410839</v>
      </c>
      <c r="J48" s="897">
        <v>310.34</v>
      </c>
      <c r="K48" s="883">
        <f t="shared" si="0"/>
        <v>4.410839</v>
      </c>
      <c r="L48" s="897">
        <v>310.34</v>
      </c>
      <c r="M48" s="181">
        <f t="shared" si="1"/>
        <v>0.014212924534381648</v>
      </c>
      <c r="N48" s="180">
        <v>307.38</v>
      </c>
      <c r="O48" s="180">
        <f t="shared" si="2"/>
        <v>4.368768743378231</v>
      </c>
      <c r="P48" s="180">
        <f t="shared" si="3"/>
        <v>852.775472062899</v>
      </c>
      <c r="Q48" s="182">
        <f t="shared" si="4"/>
        <v>262.1261246026939</v>
      </c>
      <c r="S48" s="97"/>
      <c r="T48" s="97"/>
    </row>
    <row r="49" spans="1:20" ht="15">
      <c r="A49" s="452" t="s">
        <v>35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S49" s="97"/>
      <c r="T49" s="97"/>
    </row>
    <row r="50" spans="1:20" ht="13.5" thickBot="1">
      <c r="A50" s="420" t="s">
        <v>351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S50" s="97"/>
      <c r="T50" s="97"/>
    </row>
    <row r="51" spans="1:20" ht="12.75" customHeight="1">
      <c r="A51" s="395" t="s">
        <v>1</v>
      </c>
      <c r="B51" s="397" t="s">
        <v>0</v>
      </c>
      <c r="C51" s="384" t="s">
        <v>2</v>
      </c>
      <c r="D51" s="384" t="s">
        <v>3</v>
      </c>
      <c r="E51" s="384" t="s">
        <v>13</v>
      </c>
      <c r="F51" s="386" t="s">
        <v>14</v>
      </c>
      <c r="G51" s="387"/>
      <c r="H51" s="387"/>
      <c r="I51" s="388"/>
      <c r="J51" s="384" t="s">
        <v>4</v>
      </c>
      <c r="K51" s="384" t="s">
        <v>15</v>
      </c>
      <c r="L51" s="384" t="s">
        <v>5</v>
      </c>
      <c r="M51" s="384" t="s">
        <v>6</v>
      </c>
      <c r="N51" s="384" t="s">
        <v>16</v>
      </c>
      <c r="O51" s="384" t="s">
        <v>17</v>
      </c>
      <c r="P51" s="384" t="s">
        <v>25</v>
      </c>
      <c r="Q51" s="475" t="s">
        <v>26</v>
      </c>
      <c r="S51" s="97"/>
      <c r="T51" s="97"/>
    </row>
    <row r="52" spans="1:20" ht="55.5" customHeight="1">
      <c r="A52" s="479"/>
      <c r="B52" s="430"/>
      <c r="C52" s="385"/>
      <c r="D52" s="385"/>
      <c r="E52" s="385"/>
      <c r="F52" s="204" t="s">
        <v>18</v>
      </c>
      <c r="G52" s="205" t="s">
        <v>19</v>
      </c>
      <c r="H52" s="205" t="s">
        <v>32</v>
      </c>
      <c r="I52" s="204" t="s">
        <v>21</v>
      </c>
      <c r="J52" s="385"/>
      <c r="K52" s="385"/>
      <c r="L52" s="385"/>
      <c r="M52" s="385"/>
      <c r="N52" s="385"/>
      <c r="O52" s="385"/>
      <c r="P52" s="385"/>
      <c r="Q52" s="476"/>
      <c r="S52" s="97"/>
      <c r="T52" s="97"/>
    </row>
    <row r="53" spans="1:20" ht="13.5" customHeight="1" thickBot="1">
      <c r="A53" s="324"/>
      <c r="B53" s="325"/>
      <c r="C53" s="326"/>
      <c r="D53" s="65" t="s">
        <v>7</v>
      </c>
      <c r="E53" s="321" t="s">
        <v>8</v>
      </c>
      <c r="F53" s="321" t="s">
        <v>9</v>
      </c>
      <c r="G53" s="321" t="s">
        <v>9</v>
      </c>
      <c r="H53" s="321" t="s">
        <v>9</v>
      </c>
      <c r="I53" s="321" t="s">
        <v>9</v>
      </c>
      <c r="J53" s="321" t="s">
        <v>22</v>
      </c>
      <c r="K53" s="321" t="s">
        <v>9</v>
      </c>
      <c r="L53" s="321" t="s">
        <v>22</v>
      </c>
      <c r="M53" s="321" t="s">
        <v>136</v>
      </c>
      <c r="N53" s="322" t="s">
        <v>10</v>
      </c>
      <c r="O53" s="321" t="s">
        <v>137</v>
      </c>
      <c r="P53" s="322" t="s">
        <v>27</v>
      </c>
      <c r="Q53" s="323" t="s">
        <v>28</v>
      </c>
      <c r="S53" s="97"/>
      <c r="T53" s="97"/>
    </row>
    <row r="54" spans="1:20" ht="12.75">
      <c r="A54" s="444" t="s">
        <v>51</v>
      </c>
      <c r="B54" s="32">
        <v>1</v>
      </c>
      <c r="C54" s="546" t="s">
        <v>111</v>
      </c>
      <c r="D54" s="547">
        <v>118</v>
      </c>
      <c r="E54" s="547">
        <v>2007</v>
      </c>
      <c r="F54" s="548">
        <v>43.68</v>
      </c>
      <c r="G54" s="548">
        <v>18.87</v>
      </c>
      <c r="H54" s="900">
        <v>18.2</v>
      </c>
      <c r="I54" s="548">
        <f>F54-G54-H54</f>
        <v>6.609999999999999</v>
      </c>
      <c r="J54" s="913">
        <v>7738</v>
      </c>
      <c r="K54" s="548">
        <f aca="true" t="shared" si="5" ref="K54:K93">I54/J54*L54</f>
        <v>5.965059446885499</v>
      </c>
      <c r="L54" s="547">
        <v>6983</v>
      </c>
      <c r="M54" s="549">
        <f aca="true" t="shared" si="6" ref="M54:M93">K54/L54</f>
        <v>0.0008542258981649004</v>
      </c>
      <c r="N54" s="550">
        <v>332.56</v>
      </c>
      <c r="O54" s="914">
        <f aca="true" t="shared" si="7" ref="O54:O93">M54*N54</f>
        <v>0.2840813646937193</v>
      </c>
      <c r="P54" s="588">
        <f aca="true" t="shared" si="8" ref="P54:P93">M54*60*1000</f>
        <v>51.25355388989403</v>
      </c>
      <c r="Q54" s="576">
        <f aca="true" t="shared" si="9" ref="Q54:Q93">P54*N54/1000</f>
        <v>17.04488188162316</v>
      </c>
      <c r="S54" s="97"/>
      <c r="T54" s="97"/>
    </row>
    <row r="55" spans="1:20" ht="12.75">
      <c r="A55" s="444"/>
      <c r="B55" s="32">
        <v>2</v>
      </c>
      <c r="C55" s="551" t="s">
        <v>352</v>
      </c>
      <c r="D55" s="552">
        <v>64</v>
      </c>
      <c r="E55" s="552" t="s">
        <v>73</v>
      </c>
      <c r="F55" s="553">
        <v>18.4</v>
      </c>
      <c r="G55" s="553">
        <v>7.23</v>
      </c>
      <c r="H55" s="901">
        <v>8.88</v>
      </c>
      <c r="I55" s="553">
        <v>2.29</v>
      </c>
      <c r="J55" s="265">
        <v>2419.35</v>
      </c>
      <c r="K55" s="553">
        <f t="shared" si="5"/>
        <v>2.2603261206522416</v>
      </c>
      <c r="L55" s="552">
        <v>2388</v>
      </c>
      <c r="M55" s="554">
        <f t="shared" si="6"/>
        <v>0.0009465352264037862</v>
      </c>
      <c r="N55" s="555">
        <v>332.56</v>
      </c>
      <c r="O55" s="575">
        <f t="shared" si="7"/>
        <v>0.31477975489284316</v>
      </c>
      <c r="P55" s="157">
        <f t="shared" si="8"/>
        <v>56.792113584227174</v>
      </c>
      <c r="Q55" s="159">
        <f t="shared" si="9"/>
        <v>18.88678529357059</v>
      </c>
      <c r="S55" s="97"/>
      <c r="T55" s="97"/>
    </row>
    <row r="56" spans="1:20" ht="12.75">
      <c r="A56" s="444"/>
      <c r="B56" s="32">
        <v>3</v>
      </c>
      <c r="C56" s="551" t="s">
        <v>107</v>
      </c>
      <c r="D56" s="552">
        <v>86</v>
      </c>
      <c r="E56" s="552">
        <v>2006</v>
      </c>
      <c r="F56" s="553">
        <v>19.28</v>
      </c>
      <c r="G56" s="553">
        <v>13.21</v>
      </c>
      <c r="H56" s="901">
        <v>0.54</v>
      </c>
      <c r="I56" s="553">
        <f aca="true" t="shared" si="10" ref="I56:I61">F56-G56-H56</f>
        <v>5.53</v>
      </c>
      <c r="J56" s="265">
        <v>5060</v>
      </c>
      <c r="K56" s="553">
        <f t="shared" si="5"/>
        <v>5.53</v>
      </c>
      <c r="L56" s="552">
        <v>5060</v>
      </c>
      <c r="M56" s="554">
        <f t="shared" si="6"/>
        <v>0.0010928853754940712</v>
      </c>
      <c r="N56" s="555">
        <v>332.56</v>
      </c>
      <c r="O56" s="575">
        <f t="shared" si="7"/>
        <v>0.36344996047430833</v>
      </c>
      <c r="P56" s="157">
        <f t="shared" si="8"/>
        <v>65.57312252964427</v>
      </c>
      <c r="Q56" s="159">
        <f t="shared" si="9"/>
        <v>21.806997628458497</v>
      </c>
      <c r="S56" s="97"/>
      <c r="T56" s="97"/>
    </row>
    <row r="57" spans="1:20" ht="12.75">
      <c r="A57" s="444"/>
      <c r="B57" s="32">
        <v>4</v>
      </c>
      <c r="C57" s="551" t="s">
        <v>109</v>
      </c>
      <c r="D57" s="552">
        <v>60</v>
      </c>
      <c r="E57" s="552">
        <v>2005</v>
      </c>
      <c r="F57" s="553">
        <v>19.44</v>
      </c>
      <c r="G57" s="553">
        <v>11.7</v>
      </c>
      <c r="H57" s="901">
        <v>1.64</v>
      </c>
      <c r="I57" s="553">
        <f t="shared" si="10"/>
        <v>6.100000000000002</v>
      </c>
      <c r="J57" s="265">
        <v>4933</v>
      </c>
      <c r="K57" s="553">
        <f t="shared" si="5"/>
        <v>5.91946077437665</v>
      </c>
      <c r="L57" s="552">
        <v>4787</v>
      </c>
      <c r="M57" s="554">
        <f t="shared" si="6"/>
        <v>0.0012365700385161165</v>
      </c>
      <c r="N57" s="555">
        <v>332.56</v>
      </c>
      <c r="O57" s="575">
        <f t="shared" si="7"/>
        <v>0.4112337320089197</v>
      </c>
      <c r="P57" s="157">
        <f t="shared" si="8"/>
        <v>74.19420231096699</v>
      </c>
      <c r="Q57" s="159">
        <f t="shared" si="9"/>
        <v>24.674023920535184</v>
      </c>
      <c r="S57" s="97"/>
      <c r="T57" s="97"/>
    </row>
    <row r="58" spans="1:20" ht="12.75">
      <c r="A58" s="444"/>
      <c r="B58" s="32">
        <v>5</v>
      </c>
      <c r="C58" s="551" t="s">
        <v>108</v>
      </c>
      <c r="D58" s="552">
        <v>51</v>
      </c>
      <c r="E58" s="552">
        <v>2005</v>
      </c>
      <c r="F58" s="553">
        <v>12.05</v>
      </c>
      <c r="G58" s="553">
        <v>5.97</v>
      </c>
      <c r="H58" s="901">
        <v>2.11</v>
      </c>
      <c r="I58" s="553">
        <f t="shared" si="10"/>
        <v>3.970000000000001</v>
      </c>
      <c r="J58" s="265">
        <v>3073.9</v>
      </c>
      <c r="K58" s="553">
        <f t="shared" si="5"/>
        <v>3.8771397898435223</v>
      </c>
      <c r="L58" s="556">
        <v>3002</v>
      </c>
      <c r="M58" s="554">
        <f t="shared" si="6"/>
        <v>0.0012915189173362833</v>
      </c>
      <c r="N58" s="555">
        <v>332.56</v>
      </c>
      <c r="O58" s="575">
        <f t="shared" si="7"/>
        <v>0.42950753114935436</v>
      </c>
      <c r="P58" s="157">
        <f t="shared" si="8"/>
        <v>77.491135040177</v>
      </c>
      <c r="Q58" s="159">
        <f t="shared" si="9"/>
        <v>25.770451868961263</v>
      </c>
      <c r="S58" s="97"/>
      <c r="T58" s="97"/>
    </row>
    <row r="59" spans="1:20" s="110" customFormat="1" ht="12.75" customHeight="1">
      <c r="A59" s="444"/>
      <c r="B59" s="109">
        <v>6</v>
      </c>
      <c r="C59" s="551" t="s">
        <v>112</v>
      </c>
      <c r="D59" s="552">
        <v>39</v>
      </c>
      <c r="E59" s="552">
        <v>2007</v>
      </c>
      <c r="F59" s="553">
        <v>11.3</v>
      </c>
      <c r="G59" s="553">
        <v>7.9</v>
      </c>
      <c r="H59" s="901"/>
      <c r="I59" s="553">
        <f t="shared" si="10"/>
        <v>3.4000000000000004</v>
      </c>
      <c r="J59" s="265">
        <v>2368.8</v>
      </c>
      <c r="K59" s="553">
        <f t="shared" si="5"/>
        <v>3.4002870651806822</v>
      </c>
      <c r="L59" s="552">
        <v>2369</v>
      </c>
      <c r="M59" s="554">
        <f t="shared" si="6"/>
        <v>0.0014353259034110097</v>
      </c>
      <c r="N59" s="555">
        <v>332.56</v>
      </c>
      <c r="O59" s="575">
        <f t="shared" si="7"/>
        <v>0.4773319824383654</v>
      </c>
      <c r="P59" s="157">
        <f t="shared" si="8"/>
        <v>86.11955420466059</v>
      </c>
      <c r="Q59" s="159">
        <f t="shared" si="9"/>
        <v>28.639918946301925</v>
      </c>
      <c r="S59" s="97"/>
      <c r="T59" s="97"/>
    </row>
    <row r="60" spans="1:20" ht="12.75">
      <c r="A60" s="444"/>
      <c r="B60" s="32">
        <v>7</v>
      </c>
      <c r="C60" s="551" t="s">
        <v>113</v>
      </c>
      <c r="D60" s="552">
        <v>18</v>
      </c>
      <c r="E60" s="552">
        <v>2006</v>
      </c>
      <c r="F60" s="553">
        <v>6.52</v>
      </c>
      <c r="G60" s="553">
        <v>2.56</v>
      </c>
      <c r="H60" s="901">
        <v>0.58</v>
      </c>
      <c r="I60" s="553">
        <f t="shared" si="10"/>
        <v>3.3799999999999994</v>
      </c>
      <c r="J60" s="265">
        <v>1988.3</v>
      </c>
      <c r="K60" s="553">
        <f t="shared" si="5"/>
        <v>2.5737162400040234</v>
      </c>
      <c r="L60" s="552">
        <v>1514</v>
      </c>
      <c r="M60" s="554">
        <f t="shared" si="6"/>
        <v>0.0016999446763566865</v>
      </c>
      <c r="N60" s="555">
        <v>332.56</v>
      </c>
      <c r="O60" s="575">
        <f t="shared" si="7"/>
        <v>0.5653336015691797</v>
      </c>
      <c r="P60" s="157">
        <f t="shared" si="8"/>
        <v>101.99668058140118</v>
      </c>
      <c r="Q60" s="159">
        <f t="shared" si="9"/>
        <v>33.92001609415078</v>
      </c>
      <c r="S60" s="97"/>
      <c r="T60" s="97"/>
    </row>
    <row r="61" spans="1:20" ht="12.75">
      <c r="A61" s="444"/>
      <c r="B61" s="32">
        <v>8</v>
      </c>
      <c r="C61" s="551" t="s">
        <v>146</v>
      </c>
      <c r="D61" s="552">
        <v>60</v>
      </c>
      <c r="E61" s="552">
        <v>1965</v>
      </c>
      <c r="F61" s="553">
        <v>20.96</v>
      </c>
      <c r="G61" s="553">
        <v>6.48</v>
      </c>
      <c r="H61" s="901">
        <v>9.52</v>
      </c>
      <c r="I61" s="553">
        <f t="shared" si="10"/>
        <v>4.960000000000001</v>
      </c>
      <c r="J61" s="265">
        <v>2708.9</v>
      </c>
      <c r="K61" s="553">
        <f t="shared" si="5"/>
        <v>4.960000000000001</v>
      </c>
      <c r="L61" s="265">
        <v>2708.9</v>
      </c>
      <c r="M61" s="554">
        <f t="shared" si="6"/>
        <v>0.0018310015135294773</v>
      </c>
      <c r="N61" s="555">
        <v>332.56</v>
      </c>
      <c r="O61" s="575">
        <f t="shared" si="7"/>
        <v>0.6089178633393629</v>
      </c>
      <c r="P61" s="157">
        <f t="shared" si="8"/>
        <v>109.86009081176863</v>
      </c>
      <c r="Q61" s="159">
        <f t="shared" si="9"/>
        <v>36.53507180036177</v>
      </c>
      <c r="S61" s="97"/>
      <c r="T61" s="97"/>
    </row>
    <row r="62" spans="1:20" ht="12.75">
      <c r="A62" s="444"/>
      <c r="B62" s="104">
        <v>9</v>
      </c>
      <c r="C62" s="551" t="s">
        <v>139</v>
      </c>
      <c r="D62" s="552">
        <v>72</v>
      </c>
      <c r="E62" s="552">
        <v>2005</v>
      </c>
      <c r="F62" s="553">
        <v>26.18</v>
      </c>
      <c r="G62" s="553">
        <v>15.4</v>
      </c>
      <c r="H62" s="901">
        <v>0.83</v>
      </c>
      <c r="I62" s="553">
        <v>9.95</v>
      </c>
      <c r="J62" s="265">
        <v>5350</v>
      </c>
      <c r="K62" s="553">
        <f t="shared" si="5"/>
        <v>9.95</v>
      </c>
      <c r="L62" s="552">
        <v>5350</v>
      </c>
      <c r="M62" s="554">
        <f t="shared" si="6"/>
        <v>0.0018598130841121494</v>
      </c>
      <c r="N62" s="555">
        <v>332.56</v>
      </c>
      <c r="O62" s="575">
        <f t="shared" si="7"/>
        <v>0.6184994392523364</v>
      </c>
      <c r="P62" s="157">
        <f t="shared" si="8"/>
        <v>111.58878504672896</v>
      </c>
      <c r="Q62" s="159">
        <f t="shared" si="9"/>
        <v>37.10996635514018</v>
      </c>
      <c r="S62" s="97"/>
      <c r="T62" s="97"/>
    </row>
    <row r="63" spans="1:20" ht="12.75" customHeight="1" thickBot="1">
      <c r="A63" s="474"/>
      <c r="B63" s="32">
        <v>10</v>
      </c>
      <c r="C63" s="557" t="s">
        <v>110</v>
      </c>
      <c r="D63" s="558">
        <v>38</v>
      </c>
      <c r="E63" s="558">
        <v>2004</v>
      </c>
      <c r="F63" s="559">
        <v>10.43</v>
      </c>
      <c r="G63" s="559">
        <v>5.15</v>
      </c>
      <c r="H63" s="902">
        <v>0.55</v>
      </c>
      <c r="I63" s="559">
        <f>F63-G63-H63</f>
        <v>4.7299999999999995</v>
      </c>
      <c r="J63" s="817">
        <v>2372</v>
      </c>
      <c r="K63" s="559">
        <f t="shared" si="5"/>
        <v>4.73</v>
      </c>
      <c r="L63" s="558">
        <v>2372</v>
      </c>
      <c r="M63" s="560">
        <f t="shared" si="6"/>
        <v>0.001994097807757167</v>
      </c>
      <c r="N63" s="561">
        <v>332.56</v>
      </c>
      <c r="O63" s="915">
        <f t="shared" si="7"/>
        <v>0.6631571669477234</v>
      </c>
      <c r="P63" s="160">
        <f t="shared" si="8"/>
        <v>119.64586846543001</v>
      </c>
      <c r="Q63" s="162">
        <f t="shared" si="9"/>
        <v>39.789430016863406</v>
      </c>
      <c r="S63" s="97"/>
      <c r="T63" s="97"/>
    </row>
    <row r="64" spans="1:20" ht="14.25" customHeight="1">
      <c r="A64" s="459" t="s">
        <v>345</v>
      </c>
      <c r="B64" s="73">
        <v>1</v>
      </c>
      <c r="C64" s="593" t="s">
        <v>115</v>
      </c>
      <c r="D64" s="594">
        <v>22</v>
      </c>
      <c r="E64" s="594">
        <v>2006</v>
      </c>
      <c r="F64" s="595">
        <v>8.98</v>
      </c>
      <c r="G64" s="595">
        <v>5.12</v>
      </c>
      <c r="H64" s="903"/>
      <c r="I64" s="595">
        <f>F64-G64-H64</f>
        <v>3.8600000000000003</v>
      </c>
      <c r="J64" s="138">
        <v>1698.2</v>
      </c>
      <c r="K64" s="595">
        <f t="shared" si="5"/>
        <v>3.859545401012837</v>
      </c>
      <c r="L64" s="594">
        <v>1698</v>
      </c>
      <c r="M64" s="596">
        <f t="shared" si="6"/>
        <v>0.0022729949358143917</v>
      </c>
      <c r="N64" s="597">
        <v>332.56</v>
      </c>
      <c r="O64" s="916">
        <f t="shared" si="7"/>
        <v>0.7559071958544341</v>
      </c>
      <c r="P64" s="185">
        <f t="shared" si="8"/>
        <v>136.3796961488635</v>
      </c>
      <c r="Q64" s="259">
        <f t="shared" si="9"/>
        <v>45.35443175126605</v>
      </c>
      <c r="S64" s="97"/>
      <c r="T64" s="97"/>
    </row>
    <row r="65" spans="1:20" ht="12.75">
      <c r="A65" s="789"/>
      <c r="B65" s="36">
        <v>2</v>
      </c>
      <c r="C65" s="598" t="s">
        <v>142</v>
      </c>
      <c r="D65" s="599">
        <v>60</v>
      </c>
      <c r="E65" s="599">
        <v>1968</v>
      </c>
      <c r="F65" s="600">
        <v>18.09</v>
      </c>
      <c r="G65" s="600">
        <v>7.62</v>
      </c>
      <c r="H65" s="904">
        <v>4.18</v>
      </c>
      <c r="I65" s="600">
        <v>6.29</v>
      </c>
      <c r="J65" s="135">
        <v>2715.4</v>
      </c>
      <c r="K65" s="600">
        <f t="shared" si="5"/>
        <v>6.289073433011711</v>
      </c>
      <c r="L65" s="599">
        <v>2715</v>
      </c>
      <c r="M65" s="601">
        <f t="shared" si="6"/>
        <v>0.0023164174707225454</v>
      </c>
      <c r="N65" s="602">
        <v>332.56</v>
      </c>
      <c r="O65" s="916">
        <f t="shared" si="7"/>
        <v>0.7703477940634897</v>
      </c>
      <c r="P65" s="163">
        <f t="shared" si="8"/>
        <v>138.98504824335274</v>
      </c>
      <c r="Q65" s="251">
        <f t="shared" si="9"/>
        <v>46.22086764380939</v>
      </c>
      <c r="S65" s="97"/>
      <c r="T65" s="97"/>
    </row>
    <row r="66" spans="1:20" ht="12.75">
      <c r="A66" s="789"/>
      <c r="B66" s="36">
        <v>3</v>
      </c>
      <c r="C66" s="598" t="s">
        <v>145</v>
      </c>
      <c r="D66" s="599">
        <v>54</v>
      </c>
      <c r="E66" s="599">
        <v>1980</v>
      </c>
      <c r="F66" s="600">
        <v>28.28</v>
      </c>
      <c r="G66" s="600">
        <v>7.76</v>
      </c>
      <c r="H66" s="904">
        <v>12.2</v>
      </c>
      <c r="I66" s="600">
        <v>8.32</v>
      </c>
      <c r="J66" s="135">
        <v>3508.9</v>
      </c>
      <c r="K66" s="600">
        <f t="shared" si="5"/>
        <v>8.32</v>
      </c>
      <c r="L66" s="135">
        <v>3508.9</v>
      </c>
      <c r="M66" s="601">
        <f t="shared" si="6"/>
        <v>0.0023711134543589157</v>
      </c>
      <c r="N66" s="602">
        <v>332.56</v>
      </c>
      <c r="O66" s="916">
        <f t="shared" si="7"/>
        <v>0.788537490381601</v>
      </c>
      <c r="P66" s="163">
        <f t="shared" si="8"/>
        <v>142.26680726153495</v>
      </c>
      <c r="Q66" s="251">
        <f t="shared" si="9"/>
        <v>47.312249422896066</v>
      </c>
      <c r="S66" s="97"/>
      <c r="T66" s="97"/>
    </row>
    <row r="67" spans="1:20" ht="12.75">
      <c r="A67" s="789"/>
      <c r="B67" s="36">
        <v>4</v>
      </c>
      <c r="C67" s="598" t="s">
        <v>141</v>
      </c>
      <c r="D67" s="599">
        <v>61</v>
      </c>
      <c r="E67" s="599">
        <v>1973</v>
      </c>
      <c r="F67" s="600">
        <v>20.52</v>
      </c>
      <c r="G67" s="600">
        <v>7.62</v>
      </c>
      <c r="H67" s="904">
        <v>5.47</v>
      </c>
      <c r="I67" s="600">
        <v>7.43</v>
      </c>
      <c r="J67" s="135">
        <v>2678.3</v>
      </c>
      <c r="K67" s="600">
        <f t="shared" si="5"/>
        <v>7.429167755665906</v>
      </c>
      <c r="L67" s="599">
        <v>2678</v>
      </c>
      <c r="M67" s="601">
        <f t="shared" si="6"/>
        <v>0.002774147780308404</v>
      </c>
      <c r="N67" s="602">
        <v>332.56</v>
      </c>
      <c r="O67" s="916">
        <f t="shared" si="7"/>
        <v>0.9225705858193629</v>
      </c>
      <c r="P67" s="163">
        <f t="shared" si="8"/>
        <v>166.44886681850423</v>
      </c>
      <c r="Q67" s="251">
        <f t="shared" si="9"/>
        <v>55.35423514916177</v>
      </c>
      <c r="S67" s="97"/>
      <c r="T67" s="97"/>
    </row>
    <row r="68" spans="1:20" ht="12.75">
      <c r="A68" s="789"/>
      <c r="B68" s="36">
        <v>5</v>
      </c>
      <c r="C68" s="598" t="s">
        <v>140</v>
      </c>
      <c r="D68" s="599">
        <v>100</v>
      </c>
      <c r="E68" s="599">
        <v>1972</v>
      </c>
      <c r="F68" s="600">
        <v>35.25</v>
      </c>
      <c r="G68" s="600">
        <v>13.09</v>
      </c>
      <c r="H68" s="904">
        <v>9.78</v>
      </c>
      <c r="I68" s="600">
        <v>12.38</v>
      </c>
      <c r="J68" s="135">
        <v>4426.6</v>
      </c>
      <c r="K68" s="600">
        <f t="shared" si="5"/>
        <v>12.381118691546558</v>
      </c>
      <c r="L68" s="599">
        <v>4427</v>
      </c>
      <c r="M68" s="601">
        <f t="shared" si="6"/>
        <v>0.00279672886639859</v>
      </c>
      <c r="N68" s="602">
        <v>332.56</v>
      </c>
      <c r="O68" s="916">
        <f t="shared" si="7"/>
        <v>0.9300801518095151</v>
      </c>
      <c r="P68" s="163">
        <f t="shared" si="8"/>
        <v>167.8037319839154</v>
      </c>
      <c r="Q68" s="251">
        <f t="shared" si="9"/>
        <v>55.80480910857091</v>
      </c>
      <c r="S68" s="97"/>
      <c r="T68" s="97"/>
    </row>
    <row r="69" spans="1:20" ht="12.75">
      <c r="A69" s="789"/>
      <c r="B69" s="36">
        <v>6</v>
      </c>
      <c r="C69" s="598" t="s">
        <v>144</v>
      </c>
      <c r="D69" s="599">
        <v>61</v>
      </c>
      <c r="E69" s="599">
        <v>1975</v>
      </c>
      <c r="F69" s="600">
        <v>27.91</v>
      </c>
      <c r="G69" s="600">
        <v>7.97</v>
      </c>
      <c r="H69" s="904">
        <v>9.6</v>
      </c>
      <c r="I69" s="600">
        <f aca="true" t="shared" si="11" ref="I69:I89">F69-G69-H69</f>
        <v>10.340000000000002</v>
      </c>
      <c r="J69" s="135">
        <v>3635</v>
      </c>
      <c r="K69" s="600">
        <f t="shared" si="5"/>
        <v>10.340000000000002</v>
      </c>
      <c r="L69" s="599">
        <v>3635</v>
      </c>
      <c r="M69" s="601">
        <f t="shared" si="6"/>
        <v>0.0028445667125171943</v>
      </c>
      <c r="N69" s="602">
        <v>332.56</v>
      </c>
      <c r="O69" s="916">
        <f t="shared" si="7"/>
        <v>0.9459891059147182</v>
      </c>
      <c r="P69" s="163">
        <f t="shared" si="8"/>
        <v>170.67400275103168</v>
      </c>
      <c r="Q69" s="251">
        <f t="shared" si="9"/>
        <v>56.7593463548831</v>
      </c>
      <c r="S69" s="97"/>
      <c r="T69" s="97"/>
    </row>
    <row r="70" spans="1:20" ht="12.75">
      <c r="A70" s="789"/>
      <c r="B70" s="36">
        <v>7</v>
      </c>
      <c r="C70" s="598" t="s">
        <v>143</v>
      </c>
      <c r="D70" s="599">
        <v>72</v>
      </c>
      <c r="E70" s="599">
        <v>1973</v>
      </c>
      <c r="F70" s="600">
        <v>32.67</v>
      </c>
      <c r="G70" s="600">
        <v>8.85</v>
      </c>
      <c r="H70" s="904">
        <v>11.52</v>
      </c>
      <c r="I70" s="600">
        <f t="shared" si="11"/>
        <v>12.3</v>
      </c>
      <c r="J70" s="135">
        <v>3785.4</v>
      </c>
      <c r="K70" s="600">
        <f t="shared" si="5"/>
        <v>12.3</v>
      </c>
      <c r="L70" s="135">
        <v>3785.4</v>
      </c>
      <c r="M70" s="601">
        <f t="shared" si="6"/>
        <v>0.0032493263591694406</v>
      </c>
      <c r="N70" s="602">
        <v>332.56</v>
      </c>
      <c r="O70" s="916">
        <f t="shared" si="7"/>
        <v>1.0805959740053892</v>
      </c>
      <c r="P70" s="163">
        <f t="shared" si="8"/>
        <v>194.95958155016643</v>
      </c>
      <c r="Q70" s="251">
        <f t="shared" si="9"/>
        <v>64.83575844032335</v>
      </c>
      <c r="S70" s="97"/>
      <c r="T70" s="97"/>
    </row>
    <row r="71" spans="1:20" ht="12.75">
      <c r="A71" s="789"/>
      <c r="B71" s="36">
        <v>8</v>
      </c>
      <c r="C71" s="598" t="s">
        <v>114</v>
      </c>
      <c r="D71" s="599">
        <v>50</v>
      </c>
      <c r="E71" s="599">
        <v>1988</v>
      </c>
      <c r="F71" s="600">
        <v>29.15</v>
      </c>
      <c r="G71" s="600">
        <v>8.36</v>
      </c>
      <c r="H71" s="904">
        <v>8</v>
      </c>
      <c r="I71" s="600">
        <f t="shared" si="11"/>
        <v>12.79</v>
      </c>
      <c r="J71" s="135">
        <v>3582.3</v>
      </c>
      <c r="K71" s="600">
        <f t="shared" si="5"/>
        <v>12.79</v>
      </c>
      <c r="L71" s="135">
        <v>3582.3</v>
      </c>
      <c r="M71" s="601">
        <f t="shared" si="6"/>
        <v>0.003570331909666973</v>
      </c>
      <c r="N71" s="602">
        <v>332.56</v>
      </c>
      <c r="O71" s="916">
        <f t="shared" si="7"/>
        <v>1.1873495798788487</v>
      </c>
      <c r="P71" s="163">
        <f t="shared" si="8"/>
        <v>214.21991458001838</v>
      </c>
      <c r="Q71" s="251">
        <f t="shared" si="9"/>
        <v>71.24097479273091</v>
      </c>
      <c r="S71" s="97"/>
      <c r="T71" s="97"/>
    </row>
    <row r="72" spans="1:20" ht="12.75">
      <c r="A72" s="789"/>
      <c r="B72" s="73">
        <v>9</v>
      </c>
      <c r="C72" s="598" t="s">
        <v>147</v>
      </c>
      <c r="D72" s="599">
        <v>54</v>
      </c>
      <c r="E72" s="599">
        <v>1985</v>
      </c>
      <c r="F72" s="600">
        <v>29.41</v>
      </c>
      <c r="G72" s="600">
        <v>7.7</v>
      </c>
      <c r="H72" s="904">
        <v>8.48</v>
      </c>
      <c r="I72" s="600">
        <f t="shared" si="11"/>
        <v>13.23</v>
      </c>
      <c r="J72" s="135">
        <v>3480</v>
      </c>
      <c r="K72" s="600">
        <f t="shared" si="5"/>
        <v>13.23</v>
      </c>
      <c r="L72" s="599">
        <v>3480</v>
      </c>
      <c r="M72" s="601">
        <f t="shared" si="6"/>
        <v>0.0038017241379310345</v>
      </c>
      <c r="N72" s="602">
        <v>332.56</v>
      </c>
      <c r="O72" s="916">
        <f t="shared" si="7"/>
        <v>1.2643013793103448</v>
      </c>
      <c r="P72" s="163">
        <f t="shared" si="8"/>
        <v>228.10344827586206</v>
      </c>
      <c r="Q72" s="251">
        <f t="shared" si="9"/>
        <v>75.85808275862068</v>
      </c>
      <c r="S72" s="97"/>
      <c r="T72" s="97"/>
    </row>
    <row r="73" spans="1:20" ht="13.5" thickBot="1">
      <c r="A73" s="790"/>
      <c r="B73" s="39">
        <v>10</v>
      </c>
      <c r="C73" s="787" t="s">
        <v>149</v>
      </c>
      <c r="D73" s="788">
        <v>47</v>
      </c>
      <c r="E73" s="788">
        <v>1981</v>
      </c>
      <c r="F73" s="905">
        <v>32.32</v>
      </c>
      <c r="G73" s="905">
        <v>8.11</v>
      </c>
      <c r="H73" s="906">
        <v>11.36</v>
      </c>
      <c r="I73" s="905">
        <f t="shared" si="11"/>
        <v>12.850000000000001</v>
      </c>
      <c r="J73" s="276">
        <v>2980.6</v>
      </c>
      <c r="K73" s="905">
        <f t="shared" si="5"/>
        <v>12.304200496544322</v>
      </c>
      <c r="L73" s="788">
        <v>2854</v>
      </c>
      <c r="M73" s="604">
        <f t="shared" si="6"/>
        <v>0.004311212507548816</v>
      </c>
      <c r="N73" s="603">
        <v>332.56</v>
      </c>
      <c r="O73" s="917">
        <f t="shared" si="7"/>
        <v>1.4337368315104344</v>
      </c>
      <c r="P73" s="711">
        <f t="shared" si="8"/>
        <v>258.672750452929</v>
      </c>
      <c r="Q73" s="712">
        <f t="shared" si="9"/>
        <v>86.02420989062607</v>
      </c>
      <c r="S73" s="97"/>
      <c r="T73" s="97"/>
    </row>
    <row r="74" spans="1:20" ht="12.75">
      <c r="A74" s="794" t="s">
        <v>47</v>
      </c>
      <c r="B74" s="759">
        <v>1</v>
      </c>
      <c r="C74" s="785" t="s">
        <v>148</v>
      </c>
      <c r="D74" s="786">
        <v>41</v>
      </c>
      <c r="E74" s="786">
        <v>1987</v>
      </c>
      <c r="F74" s="907">
        <v>21.78</v>
      </c>
      <c r="G74" s="907">
        <v>5.09</v>
      </c>
      <c r="H74" s="907">
        <v>6.08</v>
      </c>
      <c r="I74" s="907">
        <f t="shared" si="11"/>
        <v>10.610000000000001</v>
      </c>
      <c r="J74" s="918">
        <v>2315.8</v>
      </c>
      <c r="K74" s="907">
        <f t="shared" si="5"/>
        <v>7.564172208308144</v>
      </c>
      <c r="L74" s="786">
        <v>1651</v>
      </c>
      <c r="M74" s="647">
        <f t="shared" si="6"/>
        <v>0.004581570083772347</v>
      </c>
      <c r="N74" s="646">
        <v>332.56</v>
      </c>
      <c r="O74" s="919">
        <f t="shared" si="7"/>
        <v>1.5236469470593317</v>
      </c>
      <c r="P74" s="673">
        <f t="shared" si="8"/>
        <v>274.89420502634084</v>
      </c>
      <c r="Q74" s="707">
        <f t="shared" si="9"/>
        <v>91.41881682355992</v>
      </c>
      <c r="S74" s="97"/>
      <c r="T74" s="97"/>
    </row>
    <row r="75" spans="1:20" ht="12.75" customHeight="1">
      <c r="A75" s="794"/>
      <c r="B75" s="664">
        <v>2</v>
      </c>
      <c r="C75" s="762" t="s">
        <v>120</v>
      </c>
      <c r="D75" s="648">
        <v>107</v>
      </c>
      <c r="E75" s="648">
        <v>1974</v>
      </c>
      <c r="F75" s="654">
        <v>40.3</v>
      </c>
      <c r="G75" s="654">
        <v>8.75</v>
      </c>
      <c r="H75" s="654">
        <v>17.04</v>
      </c>
      <c r="I75" s="654">
        <f t="shared" si="11"/>
        <v>14.509999999999998</v>
      </c>
      <c r="J75" s="652">
        <v>2560</v>
      </c>
      <c r="K75" s="654">
        <f t="shared" si="5"/>
        <v>14.186925781249998</v>
      </c>
      <c r="L75" s="648">
        <v>2503</v>
      </c>
      <c r="M75" s="650">
        <f t="shared" si="6"/>
        <v>0.005667968749999999</v>
      </c>
      <c r="N75" s="649">
        <v>332.56</v>
      </c>
      <c r="O75" s="920">
        <f t="shared" si="7"/>
        <v>1.8849396874999997</v>
      </c>
      <c r="P75" s="678">
        <f t="shared" si="8"/>
        <v>340.07812499999994</v>
      </c>
      <c r="Q75" s="680">
        <f t="shared" si="9"/>
        <v>113.09638124999998</v>
      </c>
      <c r="S75" s="97"/>
      <c r="T75" s="97"/>
    </row>
    <row r="76" spans="1:20" ht="12.75" customHeight="1">
      <c r="A76" s="794"/>
      <c r="B76" s="664">
        <v>3</v>
      </c>
      <c r="C76" s="762" t="s">
        <v>118</v>
      </c>
      <c r="D76" s="648">
        <v>47</v>
      </c>
      <c r="E76" s="648">
        <v>1979</v>
      </c>
      <c r="F76" s="654">
        <v>32.48</v>
      </c>
      <c r="G76" s="654">
        <v>6.88</v>
      </c>
      <c r="H76" s="654">
        <v>7.6</v>
      </c>
      <c r="I76" s="654">
        <f t="shared" si="11"/>
        <v>18</v>
      </c>
      <c r="J76" s="652">
        <v>2974.6</v>
      </c>
      <c r="K76" s="654">
        <f t="shared" si="5"/>
        <v>17.65750016808983</v>
      </c>
      <c r="L76" s="648">
        <v>2918</v>
      </c>
      <c r="M76" s="650">
        <f t="shared" si="6"/>
        <v>0.006051233779331675</v>
      </c>
      <c r="N76" s="649">
        <v>332.56</v>
      </c>
      <c r="O76" s="920">
        <f t="shared" si="7"/>
        <v>2.012398305654542</v>
      </c>
      <c r="P76" s="678">
        <f t="shared" si="8"/>
        <v>363.0740267599005</v>
      </c>
      <c r="Q76" s="680">
        <f t="shared" si="9"/>
        <v>120.7438983392725</v>
      </c>
      <c r="S76" s="97"/>
      <c r="T76" s="97"/>
    </row>
    <row r="77" spans="1:20" ht="12.75" customHeight="1">
      <c r="A77" s="794"/>
      <c r="B77" s="664">
        <v>4</v>
      </c>
      <c r="C77" s="762" t="s">
        <v>117</v>
      </c>
      <c r="D77" s="648">
        <v>59</v>
      </c>
      <c r="E77" s="648">
        <v>1981</v>
      </c>
      <c r="F77" s="654">
        <v>39.32</v>
      </c>
      <c r="G77" s="654">
        <v>8.53</v>
      </c>
      <c r="H77" s="654">
        <v>9.6</v>
      </c>
      <c r="I77" s="654">
        <f t="shared" si="11"/>
        <v>21.189999999999998</v>
      </c>
      <c r="J77" s="652">
        <v>3418.8</v>
      </c>
      <c r="K77" s="654">
        <f t="shared" si="5"/>
        <v>20.800760500760497</v>
      </c>
      <c r="L77" s="648">
        <v>3356</v>
      </c>
      <c r="M77" s="650">
        <f t="shared" si="6"/>
        <v>0.006198081198081197</v>
      </c>
      <c r="N77" s="649">
        <v>332.56</v>
      </c>
      <c r="O77" s="920">
        <f t="shared" si="7"/>
        <v>2.0612338832338826</v>
      </c>
      <c r="P77" s="678">
        <f t="shared" si="8"/>
        <v>371.8848718848718</v>
      </c>
      <c r="Q77" s="680">
        <f t="shared" si="9"/>
        <v>123.67403299403297</v>
      </c>
      <c r="S77" s="97"/>
      <c r="T77" s="97"/>
    </row>
    <row r="78" spans="1:20" ht="12.75" customHeight="1">
      <c r="A78" s="794"/>
      <c r="B78" s="664">
        <v>5</v>
      </c>
      <c r="C78" s="762" t="s">
        <v>121</v>
      </c>
      <c r="D78" s="648">
        <v>118</v>
      </c>
      <c r="E78" s="648">
        <v>1961</v>
      </c>
      <c r="F78" s="654">
        <v>27.32</v>
      </c>
      <c r="G78" s="654">
        <v>10.28</v>
      </c>
      <c r="H78" s="654"/>
      <c r="I78" s="654">
        <f t="shared" si="11"/>
        <v>17.04</v>
      </c>
      <c r="J78" s="652">
        <v>2622</v>
      </c>
      <c r="K78" s="654">
        <f t="shared" si="5"/>
        <v>16.299130434782608</v>
      </c>
      <c r="L78" s="648">
        <v>2508</v>
      </c>
      <c r="M78" s="650">
        <f t="shared" si="6"/>
        <v>0.006498855835240274</v>
      </c>
      <c r="N78" s="649">
        <v>332.56</v>
      </c>
      <c r="O78" s="920">
        <f t="shared" si="7"/>
        <v>2.1612594965675056</v>
      </c>
      <c r="P78" s="678">
        <f t="shared" si="8"/>
        <v>389.93135011441643</v>
      </c>
      <c r="Q78" s="680">
        <f t="shared" si="9"/>
        <v>129.67556979405032</v>
      </c>
      <c r="S78" s="97"/>
      <c r="T78" s="97"/>
    </row>
    <row r="79" spans="1:20" ht="12.75" customHeight="1">
      <c r="A79" s="794"/>
      <c r="B79" s="664">
        <v>6</v>
      </c>
      <c r="C79" s="762" t="s">
        <v>124</v>
      </c>
      <c r="D79" s="648">
        <v>92</v>
      </c>
      <c r="E79" s="648">
        <v>1991</v>
      </c>
      <c r="F79" s="654">
        <v>48.82</v>
      </c>
      <c r="G79" s="654">
        <v>9</v>
      </c>
      <c r="H79" s="654">
        <v>15.12</v>
      </c>
      <c r="I79" s="654">
        <f t="shared" si="11"/>
        <v>24.700000000000003</v>
      </c>
      <c r="J79" s="652">
        <v>3720.6</v>
      </c>
      <c r="K79" s="654">
        <f t="shared" si="5"/>
        <v>23.540880503144656</v>
      </c>
      <c r="L79" s="648">
        <v>3546</v>
      </c>
      <c r="M79" s="650">
        <f t="shared" si="6"/>
        <v>0.006638714185883998</v>
      </c>
      <c r="N79" s="649">
        <v>332.56</v>
      </c>
      <c r="O79" s="920">
        <f t="shared" si="7"/>
        <v>2.2077707896575824</v>
      </c>
      <c r="P79" s="678">
        <f t="shared" si="8"/>
        <v>398.3228511530399</v>
      </c>
      <c r="Q79" s="680">
        <f t="shared" si="9"/>
        <v>132.46624737945496</v>
      </c>
      <c r="S79" s="97"/>
      <c r="T79" s="97"/>
    </row>
    <row r="80" spans="1:20" s="110" customFormat="1" ht="12.75" customHeight="1">
      <c r="A80" s="794"/>
      <c r="B80" s="758">
        <v>7</v>
      </c>
      <c r="C80" s="762" t="s">
        <v>129</v>
      </c>
      <c r="D80" s="648">
        <v>19</v>
      </c>
      <c r="E80" s="648">
        <v>1959</v>
      </c>
      <c r="F80" s="654">
        <v>9.92</v>
      </c>
      <c r="G80" s="654">
        <v>3.2</v>
      </c>
      <c r="H80" s="654"/>
      <c r="I80" s="654">
        <f t="shared" si="11"/>
        <v>6.72</v>
      </c>
      <c r="J80" s="652">
        <v>1005.8</v>
      </c>
      <c r="K80" s="654">
        <f t="shared" si="5"/>
        <v>6.72</v>
      </c>
      <c r="L80" s="652">
        <v>1005.8</v>
      </c>
      <c r="M80" s="650">
        <f t="shared" si="6"/>
        <v>0.006681248757208193</v>
      </c>
      <c r="N80" s="649">
        <v>332.56</v>
      </c>
      <c r="O80" s="920">
        <f t="shared" si="7"/>
        <v>2.221916086697157</v>
      </c>
      <c r="P80" s="678">
        <f t="shared" si="8"/>
        <v>400.8749254324916</v>
      </c>
      <c r="Q80" s="680">
        <f t="shared" si="9"/>
        <v>133.3149652018294</v>
      </c>
      <c r="S80" s="97"/>
      <c r="T80" s="97"/>
    </row>
    <row r="81" spans="1:20" ht="12.75" customHeight="1">
      <c r="A81" s="794"/>
      <c r="B81" s="759">
        <v>8</v>
      </c>
      <c r="C81" s="762" t="s">
        <v>116</v>
      </c>
      <c r="D81" s="648">
        <v>57</v>
      </c>
      <c r="E81" s="648">
        <v>1982</v>
      </c>
      <c r="F81" s="654">
        <v>42.57</v>
      </c>
      <c r="G81" s="654">
        <v>7.71</v>
      </c>
      <c r="H81" s="654">
        <v>8.64</v>
      </c>
      <c r="I81" s="654">
        <f t="shared" si="11"/>
        <v>26.22</v>
      </c>
      <c r="J81" s="652">
        <v>3486.1</v>
      </c>
      <c r="K81" s="654">
        <f t="shared" si="5"/>
        <v>25.88831071971544</v>
      </c>
      <c r="L81" s="652">
        <v>3442</v>
      </c>
      <c r="M81" s="650">
        <f t="shared" si="6"/>
        <v>0.00752129887266573</v>
      </c>
      <c r="N81" s="649">
        <v>332.56</v>
      </c>
      <c r="O81" s="920">
        <f t="shared" si="7"/>
        <v>2.501283153093715</v>
      </c>
      <c r="P81" s="678">
        <f t="shared" si="8"/>
        <v>451.2779323599438</v>
      </c>
      <c r="Q81" s="680">
        <f t="shared" si="9"/>
        <v>150.07698918562292</v>
      </c>
      <c r="S81" s="97"/>
      <c r="T81" s="97"/>
    </row>
    <row r="82" spans="1:20" s="110" customFormat="1" ht="12.75" customHeight="1">
      <c r="A82" s="794"/>
      <c r="B82" s="758">
        <v>9</v>
      </c>
      <c r="C82" s="762" t="s">
        <v>119</v>
      </c>
      <c r="D82" s="648">
        <v>54</v>
      </c>
      <c r="E82" s="648">
        <v>1987</v>
      </c>
      <c r="F82" s="654">
        <v>29.16</v>
      </c>
      <c r="G82" s="654">
        <v>4.23</v>
      </c>
      <c r="H82" s="654">
        <v>8.4</v>
      </c>
      <c r="I82" s="654">
        <f t="shared" si="11"/>
        <v>16.53</v>
      </c>
      <c r="J82" s="652">
        <v>2177.6</v>
      </c>
      <c r="K82" s="654">
        <f t="shared" si="5"/>
        <v>16.53</v>
      </c>
      <c r="L82" s="652">
        <v>2177.6</v>
      </c>
      <c r="M82" s="650">
        <f t="shared" si="6"/>
        <v>0.007590925789860398</v>
      </c>
      <c r="N82" s="649">
        <v>332.56</v>
      </c>
      <c r="O82" s="920">
        <f t="shared" si="7"/>
        <v>2.524438280675974</v>
      </c>
      <c r="P82" s="678">
        <f t="shared" si="8"/>
        <v>455.45554739162384</v>
      </c>
      <c r="Q82" s="680">
        <f t="shared" si="9"/>
        <v>151.4662968405584</v>
      </c>
      <c r="S82" s="97"/>
      <c r="T82" s="97"/>
    </row>
    <row r="83" spans="1:20" ht="12.75" customHeight="1" thickBot="1">
      <c r="A83" s="795"/>
      <c r="B83" s="667">
        <v>10</v>
      </c>
      <c r="C83" s="793" t="s">
        <v>353</v>
      </c>
      <c r="D83" s="655">
        <v>28</v>
      </c>
      <c r="E83" s="655">
        <v>1957</v>
      </c>
      <c r="F83" s="908">
        <v>11.41</v>
      </c>
      <c r="G83" s="908"/>
      <c r="H83" s="908"/>
      <c r="I83" s="908">
        <f t="shared" si="11"/>
        <v>11.41</v>
      </c>
      <c r="J83" s="658">
        <v>1461.6</v>
      </c>
      <c r="K83" s="908">
        <f t="shared" si="5"/>
        <v>10.149560344827588</v>
      </c>
      <c r="L83" s="658">
        <v>1300.14</v>
      </c>
      <c r="M83" s="659">
        <f t="shared" si="6"/>
        <v>0.007806513409961686</v>
      </c>
      <c r="N83" s="656">
        <v>332.56</v>
      </c>
      <c r="O83" s="921">
        <f t="shared" si="7"/>
        <v>2.5961340996168585</v>
      </c>
      <c r="P83" s="683">
        <f t="shared" si="8"/>
        <v>468.39080459770116</v>
      </c>
      <c r="Q83" s="685">
        <f t="shared" si="9"/>
        <v>155.7680459770115</v>
      </c>
      <c r="S83" s="97"/>
      <c r="T83" s="97"/>
    </row>
    <row r="84" spans="1:20" ht="12.75">
      <c r="A84" s="450" t="s">
        <v>52</v>
      </c>
      <c r="B84" s="760">
        <v>1</v>
      </c>
      <c r="C84" s="791" t="s">
        <v>126</v>
      </c>
      <c r="D84" s="792">
        <v>103</v>
      </c>
      <c r="E84" s="792">
        <v>1972</v>
      </c>
      <c r="F84" s="909">
        <v>43.45</v>
      </c>
      <c r="G84" s="909">
        <v>7.29</v>
      </c>
      <c r="H84" s="909">
        <v>15.9</v>
      </c>
      <c r="I84" s="909">
        <f t="shared" si="11"/>
        <v>20.260000000000005</v>
      </c>
      <c r="J84" s="922">
        <v>2557</v>
      </c>
      <c r="K84" s="909">
        <f t="shared" si="5"/>
        <v>19.35673836527181</v>
      </c>
      <c r="L84" s="746">
        <v>2443</v>
      </c>
      <c r="M84" s="748">
        <f t="shared" si="6"/>
        <v>0.007923347673054363</v>
      </c>
      <c r="N84" s="747">
        <v>332.56</v>
      </c>
      <c r="O84" s="923">
        <f t="shared" si="7"/>
        <v>2.634988502150959</v>
      </c>
      <c r="P84" s="734">
        <f t="shared" si="8"/>
        <v>475.4008603832618</v>
      </c>
      <c r="Q84" s="924">
        <f t="shared" si="9"/>
        <v>158.09931012905753</v>
      </c>
      <c r="S84" s="97"/>
      <c r="T84" s="97"/>
    </row>
    <row r="85" spans="1:20" ht="12.75" customHeight="1">
      <c r="A85" s="450"/>
      <c r="B85" s="41">
        <v>2</v>
      </c>
      <c r="C85" s="763" t="s">
        <v>122</v>
      </c>
      <c r="D85" s="749">
        <v>38</v>
      </c>
      <c r="E85" s="749">
        <v>1990</v>
      </c>
      <c r="F85" s="910">
        <v>27.37</v>
      </c>
      <c r="G85" s="910">
        <v>4.73</v>
      </c>
      <c r="H85" s="910">
        <v>5.84</v>
      </c>
      <c r="I85" s="910">
        <f t="shared" si="11"/>
        <v>16.8</v>
      </c>
      <c r="J85" s="751">
        <v>2119.3</v>
      </c>
      <c r="K85" s="910">
        <f t="shared" si="5"/>
        <v>16.8</v>
      </c>
      <c r="L85" s="751">
        <v>2119.3</v>
      </c>
      <c r="M85" s="752">
        <f t="shared" si="6"/>
        <v>0.007927145755674042</v>
      </c>
      <c r="N85" s="750">
        <v>332.56</v>
      </c>
      <c r="O85" s="925">
        <f t="shared" si="7"/>
        <v>2.6362515925069596</v>
      </c>
      <c r="P85" s="722">
        <f t="shared" si="8"/>
        <v>475.62874534044255</v>
      </c>
      <c r="Q85" s="723">
        <f t="shared" si="9"/>
        <v>158.17509555041758</v>
      </c>
      <c r="S85" s="97"/>
      <c r="T85" s="97"/>
    </row>
    <row r="86" spans="1:20" ht="12.75" customHeight="1">
      <c r="A86" s="450"/>
      <c r="B86" s="41">
        <v>3</v>
      </c>
      <c r="C86" s="763" t="s">
        <v>127</v>
      </c>
      <c r="D86" s="749">
        <v>55</v>
      </c>
      <c r="E86" s="749">
        <v>1977</v>
      </c>
      <c r="F86" s="910">
        <v>31.5</v>
      </c>
      <c r="G86" s="910">
        <v>4.91</v>
      </c>
      <c r="H86" s="910">
        <v>8.56</v>
      </c>
      <c r="I86" s="910">
        <f t="shared" si="11"/>
        <v>18.03</v>
      </c>
      <c r="J86" s="751">
        <v>2217.3</v>
      </c>
      <c r="K86" s="910">
        <f t="shared" si="5"/>
        <v>18.03</v>
      </c>
      <c r="L86" s="751">
        <v>2217.3</v>
      </c>
      <c r="M86" s="752">
        <f t="shared" si="6"/>
        <v>0.008131511297524015</v>
      </c>
      <c r="N86" s="750">
        <v>332.56</v>
      </c>
      <c r="O86" s="925">
        <f t="shared" si="7"/>
        <v>2.7042153971045866</v>
      </c>
      <c r="P86" s="722">
        <f t="shared" si="8"/>
        <v>487.8906778514409</v>
      </c>
      <c r="Q86" s="723">
        <f t="shared" si="9"/>
        <v>162.25292382627518</v>
      </c>
      <c r="S86" s="97"/>
      <c r="T86" s="97"/>
    </row>
    <row r="87" spans="1:20" ht="12.75" customHeight="1">
      <c r="A87" s="450"/>
      <c r="B87" s="41">
        <v>4</v>
      </c>
      <c r="C87" s="763" t="s">
        <v>123</v>
      </c>
      <c r="D87" s="749">
        <v>108</v>
      </c>
      <c r="E87" s="749">
        <v>1968</v>
      </c>
      <c r="F87" s="910">
        <v>46.78</v>
      </c>
      <c r="G87" s="910">
        <v>7.85</v>
      </c>
      <c r="H87" s="910">
        <v>17.2</v>
      </c>
      <c r="I87" s="910">
        <f t="shared" si="11"/>
        <v>21.73</v>
      </c>
      <c r="J87" s="751">
        <v>2558.4</v>
      </c>
      <c r="K87" s="910">
        <f t="shared" si="5"/>
        <v>21.73</v>
      </c>
      <c r="L87" s="751">
        <v>2558.4</v>
      </c>
      <c r="M87" s="752">
        <f t="shared" si="6"/>
        <v>0.008493589743589743</v>
      </c>
      <c r="N87" s="750">
        <v>332.56</v>
      </c>
      <c r="O87" s="925">
        <f t="shared" si="7"/>
        <v>2.824628205128205</v>
      </c>
      <c r="P87" s="722">
        <f t="shared" si="8"/>
        <v>509.6153846153846</v>
      </c>
      <c r="Q87" s="723">
        <f t="shared" si="9"/>
        <v>169.4776923076923</v>
      </c>
      <c r="S87" s="97"/>
      <c r="T87" s="97"/>
    </row>
    <row r="88" spans="1:20" ht="12.75" customHeight="1">
      <c r="A88" s="450"/>
      <c r="B88" s="41">
        <v>5</v>
      </c>
      <c r="C88" s="763" t="s">
        <v>125</v>
      </c>
      <c r="D88" s="749">
        <v>77</v>
      </c>
      <c r="E88" s="749">
        <v>1960</v>
      </c>
      <c r="F88" s="910">
        <v>17.48</v>
      </c>
      <c r="G88" s="910">
        <v>5.45</v>
      </c>
      <c r="H88" s="910">
        <v>1.16</v>
      </c>
      <c r="I88" s="910">
        <f t="shared" si="11"/>
        <v>10.870000000000001</v>
      </c>
      <c r="J88" s="751">
        <v>1264.2</v>
      </c>
      <c r="K88" s="910">
        <f t="shared" si="5"/>
        <v>10.739305489637717</v>
      </c>
      <c r="L88" s="749">
        <v>1249</v>
      </c>
      <c r="M88" s="752">
        <f t="shared" si="6"/>
        <v>0.008598323050150293</v>
      </c>
      <c r="N88" s="750">
        <v>332.56</v>
      </c>
      <c r="O88" s="925">
        <f t="shared" si="7"/>
        <v>2.8594583135579814</v>
      </c>
      <c r="P88" s="722">
        <f t="shared" si="8"/>
        <v>515.8993830090176</v>
      </c>
      <c r="Q88" s="723">
        <f t="shared" si="9"/>
        <v>171.5674988134789</v>
      </c>
      <c r="S88" s="97"/>
      <c r="T88" s="97"/>
    </row>
    <row r="89" spans="1:20" ht="12.75" customHeight="1">
      <c r="A89" s="450"/>
      <c r="B89" s="41">
        <v>6</v>
      </c>
      <c r="C89" s="763" t="s">
        <v>354</v>
      </c>
      <c r="D89" s="749">
        <v>18</v>
      </c>
      <c r="E89" s="749">
        <v>1959</v>
      </c>
      <c r="F89" s="910">
        <v>9.82</v>
      </c>
      <c r="G89" s="910">
        <v>1.41</v>
      </c>
      <c r="H89" s="910"/>
      <c r="I89" s="910">
        <f t="shared" si="11"/>
        <v>8.41</v>
      </c>
      <c r="J89" s="751">
        <v>963.8</v>
      </c>
      <c r="K89" s="910">
        <f t="shared" si="5"/>
        <v>8.41</v>
      </c>
      <c r="L89" s="751">
        <v>963.8</v>
      </c>
      <c r="M89" s="752">
        <f t="shared" si="6"/>
        <v>0.008725876737912431</v>
      </c>
      <c r="N89" s="750">
        <v>332.56</v>
      </c>
      <c r="O89" s="925">
        <f t="shared" si="7"/>
        <v>2.9018775679601583</v>
      </c>
      <c r="P89" s="722">
        <f t="shared" si="8"/>
        <v>523.5526042747459</v>
      </c>
      <c r="Q89" s="723">
        <f t="shared" si="9"/>
        <v>174.1126540776095</v>
      </c>
      <c r="S89" s="97"/>
      <c r="T89" s="97"/>
    </row>
    <row r="90" spans="1:20" ht="12.75" customHeight="1">
      <c r="A90" s="450"/>
      <c r="B90" s="41">
        <v>7</v>
      </c>
      <c r="C90" s="763" t="s">
        <v>128</v>
      </c>
      <c r="D90" s="749">
        <v>25</v>
      </c>
      <c r="E90" s="749">
        <v>1957</v>
      </c>
      <c r="F90" s="910">
        <v>14.58</v>
      </c>
      <c r="G90" s="910"/>
      <c r="H90" s="910"/>
      <c r="I90" s="910">
        <v>14.58</v>
      </c>
      <c r="J90" s="751">
        <v>1561.5</v>
      </c>
      <c r="K90" s="910">
        <f t="shared" si="5"/>
        <v>14.580000000000002</v>
      </c>
      <c r="L90" s="751">
        <v>1561.5</v>
      </c>
      <c r="M90" s="752">
        <f t="shared" si="6"/>
        <v>0.009337175792507205</v>
      </c>
      <c r="N90" s="750">
        <v>332.56</v>
      </c>
      <c r="O90" s="925">
        <f t="shared" si="7"/>
        <v>3.105171181556196</v>
      </c>
      <c r="P90" s="722">
        <f t="shared" si="8"/>
        <v>560.2305475504323</v>
      </c>
      <c r="Q90" s="723">
        <f t="shared" si="9"/>
        <v>186.31027089337178</v>
      </c>
      <c r="S90" s="97"/>
      <c r="T90" s="97"/>
    </row>
    <row r="91" spans="1:20" ht="13.5" customHeight="1">
      <c r="A91" s="450"/>
      <c r="B91" s="761">
        <v>8</v>
      </c>
      <c r="C91" s="763" t="s">
        <v>355</v>
      </c>
      <c r="D91" s="749">
        <v>20</v>
      </c>
      <c r="E91" s="749">
        <v>1959</v>
      </c>
      <c r="F91" s="910">
        <v>12.8</v>
      </c>
      <c r="G91" s="910">
        <v>3.14</v>
      </c>
      <c r="H91" s="910"/>
      <c r="I91" s="910">
        <f>F91-G91-H91</f>
        <v>9.66</v>
      </c>
      <c r="J91" s="751">
        <v>985.4</v>
      </c>
      <c r="K91" s="910">
        <f t="shared" si="5"/>
        <v>9.66</v>
      </c>
      <c r="L91" s="751">
        <v>985.4</v>
      </c>
      <c r="M91" s="752">
        <f t="shared" si="6"/>
        <v>0.0098031256342602</v>
      </c>
      <c r="N91" s="750">
        <v>332.56</v>
      </c>
      <c r="O91" s="925">
        <f t="shared" si="7"/>
        <v>3.260127460929572</v>
      </c>
      <c r="P91" s="722">
        <f t="shared" si="8"/>
        <v>588.187538055612</v>
      </c>
      <c r="Q91" s="723">
        <f t="shared" si="9"/>
        <v>195.60764765577431</v>
      </c>
      <c r="S91" s="97"/>
      <c r="T91" s="97"/>
    </row>
    <row r="92" spans="1:20" ht="12.75" customHeight="1">
      <c r="A92" s="450"/>
      <c r="B92" s="41">
        <v>9</v>
      </c>
      <c r="C92" s="763" t="s">
        <v>356</v>
      </c>
      <c r="D92" s="753">
        <v>8</v>
      </c>
      <c r="E92" s="749">
        <v>1901</v>
      </c>
      <c r="F92" s="911">
        <v>3.5</v>
      </c>
      <c r="G92" s="911"/>
      <c r="H92" s="911"/>
      <c r="I92" s="910">
        <f>F92-G92-H92</f>
        <v>3.5</v>
      </c>
      <c r="J92" s="751">
        <v>330</v>
      </c>
      <c r="K92" s="910">
        <f t="shared" si="5"/>
        <v>3.5</v>
      </c>
      <c r="L92" s="753">
        <v>330</v>
      </c>
      <c r="M92" s="752">
        <f t="shared" si="6"/>
        <v>0.010606060606060607</v>
      </c>
      <c r="N92" s="750">
        <v>332.56</v>
      </c>
      <c r="O92" s="925">
        <f t="shared" si="7"/>
        <v>3.5271515151515156</v>
      </c>
      <c r="P92" s="722">
        <f t="shared" si="8"/>
        <v>636.3636363636364</v>
      </c>
      <c r="Q92" s="723">
        <f t="shared" si="9"/>
        <v>211.6290909090909</v>
      </c>
      <c r="S92" s="97"/>
      <c r="T92" s="97"/>
    </row>
    <row r="93" spans="1:20" ht="12.75" customHeight="1" thickBot="1">
      <c r="A93" s="451"/>
      <c r="B93" s="150">
        <v>10</v>
      </c>
      <c r="C93" s="796" t="s">
        <v>130</v>
      </c>
      <c r="D93" s="754">
        <v>63</v>
      </c>
      <c r="E93" s="754">
        <v>1960</v>
      </c>
      <c r="F93" s="912">
        <v>16.94</v>
      </c>
      <c r="G93" s="912">
        <v>4.27</v>
      </c>
      <c r="H93" s="912"/>
      <c r="I93" s="912">
        <f>F93-G93-H93</f>
        <v>12.670000000000002</v>
      </c>
      <c r="J93" s="926">
        <v>924</v>
      </c>
      <c r="K93" s="912">
        <f t="shared" si="5"/>
        <v>12.478030303030305</v>
      </c>
      <c r="L93" s="754">
        <v>910</v>
      </c>
      <c r="M93" s="756">
        <f t="shared" si="6"/>
        <v>0.013712121212121215</v>
      </c>
      <c r="N93" s="755">
        <v>332.56</v>
      </c>
      <c r="O93" s="927">
        <f t="shared" si="7"/>
        <v>4.560103030303031</v>
      </c>
      <c r="P93" s="718">
        <f t="shared" si="8"/>
        <v>822.727272727273</v>
      </c>
      <c r="Q93" s="719">
        <f t="shared" si="9"/>
        <v>273.6061818181819</v>
      </c>
      <c r="S93" s="97"/>
      <c r="T93" s="97"/>
    </row>
    <row r="94" spans="3:20" ht="12.75">
      <c r="C94" s="1"/>
      <c r="S94" s="97"/>
      <c r="T94" s="97"/>
    </row>
    <row r="95" spans="1:20" ht="15">
      <c r="A95" s="452" t="s">
        <v>59</v>
      </c>
      <c r="B95" s="452"/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S95" s="97"/>
      <c r="T95" s="97"/>
    </row>
    <row r="96" spans="1:20" ht="13.5" thickBot="1">
      <c r="A96" s="420" t="s">
        <v>357</v>
      </c>
      <c r="B96" s="420"/>
      <c r="C96" s="420"/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S96" s="97"/>
      <c r="T96" s="97"/>
    </row>
    <row r="97" spans="1:20" ht="12.75" customHeight="1">
      <c r="A97" s="395" t="s">
        <v>1</v>
      </c>
      <c r="B97" s="397" t="s">
        <v>0</v>
      </c>
      <c r="C97" s="384" t="s">
        <v>2</v>
      </c>
      <c r="D97" s="384" t="s">
        <v>3</v>
      </c>
      <c r="E97" s="384" t="s">
        <v>13</v>
      </c>
      <c r="F97" s="386" t="s">
        <v>14</v>
      </c>
      <c r="G97" s="387"/>
      <c r="H97" s="387"/>
      <c r="I97" s="388"/>
      <c r="J97" s="384" t="s">
        <v>4</v>
      </c>
      <c r="K97" s="384" t="s">
        <v>15</v>
      </c>
      <c r="L97" s="384" t="s">
        <v>5</v>
      </c>
      <c r="M97" s="384" t="s">
        <v>6</v>
      </c>
      <c r="N97" s="384" t="s">
        <v>16</v>
      </c>
      <c r="O97" s="384" t="s">
        <v>17</v>
      </c>
      <c r="P97" s="384" t="s">
        <v>25</v>
      </c>
      <c r="Q97" s="477" t="s">
        <v>26</v>
      </c>
      <c r="S97" s="97"/>
      <c r="T97" s="97"/>
    </row>
    <row r="98" spans="1:20" ht="55.5" customHeight="1" thickBot="1">
      <c r="A98" s="414"/>
      <c r="B98" s="415"/>
      <c r="C98" s="416"/>
      <c r="D98" s="416"/>
      <c r="E98" s="416"/>
      <c r="F98" s="21" t="s">
        <v>18</v>
      </c>
      <c r="G98" s="22" t="s">
        <v>19</v>
      </c>
      <c r="H98" s="22" t="s">
        <v>32</v>
      </c>
      <c r="I98" s="21" t="s">
        <v>21</v>
      </c>
      <c r="J98" s="416"/>
      <c r="K98" s="416"/>
      <c r="L98" s="416"/>
      <c r="M98" s="416"/>
      <c r="N98" s="416"/>
      <c r="O98" s="416"/>
      <c r="P98" s="416"/>
      <c r="Q98" s="478"/>
      <c r="S98" s="97"/>
      <c r="T98" s="97"/>
    </row>
    <row r="99" spans="1:20" ht="13.5" customHeight="1" thickBot="1">
      <c r="A99" s="23"/>
      <c r="B99" s="24"/>
      <c r="C99" s="25"/>
      <c r="D99" s="26" t="s">
        <v>7</v>
      </c>
      <c r="E99" s="27" t="s">
        <v>8</v>
      </c>
      <c r="F99" s="27" t="s">
        <v>9</v>
      </c>
      <c r="G99" s="27" t="s">
        <v>9</v>
      </c>
      <c r="H99" s="27" t="s">
        <v>9</v>
      </c>
      <c r="I99" s="27" t="s">
        <v>9</v>
      </c>
      <c r="J99" s="27" t="s">
        <v>22</v>
      </c>
      <c r="K99" s="27" t="s">
        <v>9</v>
      </c>
      <c r="L99" s="27" t="s">
        <v>22</v>
      </c>
      <c r="M99" s="27" t="s">
        <v>150</v>
      </c>
      <c r="N99" s="28" t="s">
        <v>10</v>
      </c>
      <c r="O99" s="27" t="s">
        <v>151</v>
      </c>
      <c r="P99" s="28" t="s">
        <v>27</v>
      </c>
      <c r="Q99" s="29" t="s">
        <v>28</v>
      </c>
      <c r="S99" s="97"/>
      <c r="T99" s="97"/>
    </row>
    <row r="100" spans="1:20" ht="12.75" customHeight="1">
      <c r="A100" s="443" t="s">
        <v>346</v>
      </c>
      <c r="B100" s="142">
        <v>1</v>
      </c>
      <c r="C100" s="69" t="s">
        <v>358</v>
      </c>
      <c r="D100" s="68">
        <v>50</v>
      </c>
      <c r="E100" s="68">
        <v>2005</v>
      </c>
      <c r="F100" s="929">
        <v>10.9</v>
      </c>
      <c r="G100" s="929">
        <v>6.528</v>
      </c>
      <c r="H100" s="929">
        <v>4.08</v>
      </c>
      <c r="I100" s="929">
        <f aca="true" t="shared" si="12" ref="I100:I137">F100-G100-H100</f>
        <v>0.2920000000000007</v>
      </c>
      <c r="J100" s="106">
        <v>2638.84</v>
      </c>
      <c r="K100" s="572">
        <f aca="true" t="shared" si="13" ref="K100:K137">I100</f>
        <v>0.2920000000000007</v>
      </c>
      <c r="L100" s="106">
        <f aca="true" t="shared" si="14" ref="L100:L137">J100</f>
        <v>2638.84</v>
      </c>
      <c r="M100" s="574">
        <f aca="true" t="shared" si="15" ref="M100:M137">K100/L100</f>
        <v>0.00011065468160252258</v>
      </c>
      <c r="N100" s="573">
        <v>288.2</v>
      </c>
      <c r="O100" s="573">
        <f aca="true" t="shared" si="16" ref="O100:O137">M100*N100</f>
        <v>0.031890679237847004</v>
      </c>
      <c r="P100" s="573">
        <f aca="true" t="shared" si="17" ref="P100:P137">M100*60*1000</f>
        <v>6.639280896151354</v>
      </c>
      <c r="Q100" s="576">
        <f aca="true" t="shared" si="18" ref="Q100:Q137">P100*N100/1000</f>
        <v>1.9134407542708203</v>
      </c>
      <c r="S100" s="97"/>
      <c r="T100" s="97"/>
    </row>
    <row r="101" spans="1:20" ht="12.75">
      <c r="A101" s="444"/>
      <c r="B101" s="143">
        <v>2</v>
      </c>
      <c r="C101" s="16" t="s">
        <v>359</v>
      </c>
      <c r="D101" s="32">
        <v>34</v>
      </c>
      <c r="E101" s="32">
        <v>2002</v>
      </c>
      <c r="F101" s="872">
        <v>8.297</v>
      </c>
      <c r="G101" s="872">
        <v>6.426</v>
      </c>
      <c r="H101" s="872">
        <v>1.152</v>
      </c>
      <c r="I101" s="872">
        <f t="shared" si="12"/>
        <v>0.7190000000000005</v>
      </c>
      <c r="J101" s="265">
        <v>3219.59</v>
      </c>
      <c r="K101" s="578">
        <f t="shared" si="13"/>
        <v>0.7190000000000005</v>
      </c>
      <c r="L101" s="265">
        <f t="shared" si="14"/>
        <v>3219.59</v>
      </c>
      <c r="M101" s="158">
        <f t="shared" si="15"/>
        <v>0.0002233203606670416</v>
      </c>
      <c r="N101" s="157">
        <v>288.2</v>
      </c>
      <c r="O101" s="157">
        <f t="shared" si="16"/>
        <v>0.06436092794424139</v>
      </c>
      <c r="P101" s="157">
        <f t="shared" si="17"/>
        <v>13.399221640022496</v>
      </c>
      <c r="Q101" s="159">
        <f t="shared" si="18"/>
        <v>3.861655676654483</v>
      </c>
      <c r="S101" s="97"/>
      <c r="T101" s="97"/>
    </row>
    <row r="102" spans="1:20" ht="12.75">
      <c r="A102" s="444"/>
      <c r="B102" s="143">
        <v>3</v>
      </c>
      <c r="C102" s="16" t="s">
        <v>360</v>
      </c>
      <c r="D102" s="32">
        <v>39</v>
      </c>
      <c r="E102" s="32">
        <v>1991</v>
      </c>
      <c r="F102" s="872">
        <v>10</v>
      </c>
      <c r="G102" s="872">
        <v>5.3</v>
      </c>
      <c r="H102" s="872">
        <v>3.87</v>
      </c>
      <c r="I102" s="872">
        <f t="shared" si="12"/>
        <v>0.8300000000000001</v>
      </c>
      <c r="J102" s="265">
        <v>2176.55</v>
      </c>
      <c r="K102" s="578">
        <f t="shared" si="13"/>
        <v>0.8300000000000001</v>
      </c>
      <c r="L102" s="265">
        <f t="shared" si="14"/>
        <v>2176.55</v>
      </c>
      <c r="M102" s="158">
        <f t="shared" si="15"/>
        <v>0.00038133743768808433</v>
      </c>
      <c r="N102" s="157">
        <v>288.2</v>
      </c>
      <c r="O102" s="157">
        <f t="shared" si="16"/>
        <v>0.1099014495417059</v>
      </c>
      <c r="P102" s="157">
        <f t="shared" si="17"/>
        <v>22.88024626128506</v>
      </c>
      <c r="Q102" s="159">
        <f t="shared" si="18"/>
        <v>6.594086972502354</v>
      </c>
      <c r="S102" s="97"/>
      <c r="T102" s="97"/>
    </row>
    <row r="103" spans="1:20" ht="12.75">
      <c r="A103" s="444"/>
      <c r="B103" s="143">
        <v>4</v>
      </c>
      <c r="C103" s="16" t="s">
        <v>361</v>
      </c>
      <c r="D103" s="32">
        <v>40</v>
      </c>
      <c r="E103" s="32">
        <v>2004</v>
      </c>
      <c r="F103" s="872">
        <v>7.904</v>
      </c>
      <c r="G103" s="872">
        <v>6.018</v>
      </c>
      <c r="H103" s="872">
        <v>0.296</v>
      </c>
      <c r="I103" s="872">
        <f t="shared" si="12"/>
        <v>1.59</v>
      </c>
      <c r="J103" s="265">
        <v>3180.7</v>
      </c>
      <c r="K103" s="578">
        <f t="shared" si="13"/>
        <v>1.59</v>
      </c>
      <c r="L103" s="265">
        <f t="shared" si="14"/>
        <v>3180.7</v>
      </c>
      <c r="M103" s="158">
        <f t="shared" si="15"/>
        <v>0.0004998899613292672</v>
      </c>
      <c r="N103" s="157">
        <v>288.2</v>
      </c>
      <c r="O103" s="157">
        <f t="shared" si="16"/>
        <v>0.1440682868550948</v>
      </c>
      <c r="P103" s="157">
        <f t="shared" si="17"/>
        <v>29.99339767975603</v>
      </c>
      <c r="Q103" s="159">
        <f t="shared" si="18"/>
        <v>8.644097211305686</v>
      </c>
      <c r="S103" s="97"/>
      <c r="T103" s="97"/>
    </row>
    <row r="104" spans="1:20" ht="12.75">
      <c r="A104" s="444"/>
      <c r="B104" s="143">
        <v>5</v>
      </c>
      <c r="C104" s="16" t="s">
        <v>362</v>
      </c>
      <c r="D104" s="32">
        <v>60</v>
      </c>
      <c r="E104" s="32">
        <v>1970</v>
      </c>
      <c r="F104" s="872">
        <v>13.7</v>
      </c>
      <c r="G104" s="872">
        <v>5.255</v>
      </c>
      <c r="H104" s="872">
        <v>5.97</v>
      </c>
      <c r="I104" s="872">
        <f t="shared" si="12"/>
        <v>2.4750000000000005</v>
      </c>
      <c r="J104" s="265">
        <v>3171</v>
      </c>
      <c r="K104" s="578">
        <f t="shared" si="13"/>
        <v>2.4750000000000005</v>
      </c>
      <c r="L104" s="265">
        <f t="shared" si="14"/>
        <v>3171</v>
      </c>
      <c r="M104" s="158">
        <f t="shared" si="15"/>
        <v>0.0007805108798486284</v>
      </c>
      <c r="N104" s="157">
        <v>288.2</v>
      </c>
      <c r="O104" s="157">
        <f t="shared" si="16"/>
        <v>0.2249432355723747</v>
      </c>
      <c r="P104" s="157">
        <f t="shared" si="17"/>
        <v>46.8306527909177</v>
      </c>
      <c r="Q104" s="159">
        <f t="shared" si="18"/>
        <v>13.496594134342482</v>
      </c>
      <c r="S104" s="97"/>
      <c r="T104" s="97"/>
    </row>
    <row r="105" spans="1:20" ht="12.75">
      <c r="A105" s="444"/>
      <c r="B105" s="143">
        <v>6</v>
      </c>
      <c r="C105" s="16" t="s">
        <v>363</v>
      </c>
      <c r="D105" s="32">
        <v>80</v>
      </c>
      <c r="E105" s="32">
        <v>2007</v>
      </c>
      <c r="F105" s="872">
        <v>14.397</v>
      </c>
      <c r="G105" s="872">
        <v>8.818</v>
      </c>
      <c r="H105" s="872"/>
      <c r="I105" s="872">
        <f t="shared" si="12"/>
        <v>5.579000000000001</v>
      </c>
      <c r="J105" s="265">
        <v>5493.23</v>
      </c>
      <c r="K105" s="578">
        <f t="shared" si="13"/>
        <v>5.579000000000001</v>
      </c>
      <c r="L105" s="265">
        <f t="shared" si="14"/>
        <v>5493.23</v>
      </c>
      <c r="M105" s="158">
        <f t="shared" si="15"/>
        <v>0.0010156137645793096</v>
      </c>
      <c r="N105" s="157">
        <v>288.2</v>
      </c>
      <c r="O105" s="157">
        <f t="shared" si="16"/>
        <v>0.292699886951757</v>
      </c>
      <c r="P105" s="157">
        <f t="shared" si="17"/>
        <v>60.936825874758576</v>
      </c>
      <c r="Q105" s="159">
        <f t="shared" si="18"/>
        <v>17.56199321710542</v>
      </c>
      <c r="S105" s="97"/>
      <c r="T105" s="97"/>
    </row>
    <row r="106" spans="1:20" ht="12.75">
      <c r="A106" s="444"/>
      <c r="B106" s="143">
        <v>7</v>
      </c>
      <c r="C106" s="16" t="s">
        <v>364</v>
      </c>
      <c r="D106" s="32">
        <v>60</v>
      </c>
      <c r="E106" s="32">
        <v>1984</v>
      </c>
      <c r="F106" s="872">
        <v>23.82</v>
      </c>
      <c r="G106" s="872">
        <v>12.36139</v>
      </c>
      <c r="H106" s="872">
        <v>6</v>
      </c>
      <c r="I106" s="872">
        <f t="shared" si="12"/>
        <v>5.45861</v>
      </c>
      <c r="J106" s="265">
        <v>3958.12</v>
      </c>
      <c r="K106" s="578">
        <f t="shared" si="13"/>
        <v>5.45861</v>
      </c>
      <c r="L106" s="265">
        <f t="shared" si="14"/>
        <v>3958.12</v>
      </c>
      <c r="M106" s="158">
        <f t="shared" si="15"/>
        <v>0.0013790915889361616</v>
      </c>
      <c r="N106" s="157">
        <v>288.2</v>
      </c>
      <c r="O106" s="157">
        <f t="shared" si="16"/>
        <v>0.39745419593140174</v>
      </c>
      <c r="P106" s="157">
        <f t="shared" si="17"/>
        <v>82.7454953361697</v>
      </c>
      <c r="Q106" s="159">
        <f t="shared" si="18"/>
        <v>23.847251755884106</v>
      </c>
      <c r="S106" s="97"/>
      <c r="T106" s="97"/>
    </row>
    <row r="107" spans="1:20" ht="12.75">
      <c r="A107" s="444"/>
      <c r="B107" s="143">
        <v>8</v>
      </c>
      <c r="C107" s="16" t="s">
        <v>365</v>
      </c>
      <c r="D107" s="32">
        <v>40</v>
      </c>
      <c r="E107" s="32">
        <v>1994</v>
      </c>
      <c r="F107" s="872">
        <v>19.546</v>
      </c>
      <c r="G107" s="872">
        <v>9.835</v>
      </c>
      <c r="H107" s="872">
        <v>5.6</v>
      </c>
      <c r="I107" s="872">
        <f t="shared" si="12"/>
        <v>4.110999999999999</v>
      </c>
      <c r="J107" s="265">
        <v>2417.41</v>
      </c>
      <c r="K107" s="578">
        <f t="shared" si="13"/>
        <v>4.110999999999999</v>
      </c>
      <c r="L107" s="265">
        <f t="shared" si="14"/>
        <v>2417.41</v>
      </c>
      <c r="M107" s="158">
        <f t="shared" si="15"/>
        <v>0.0017005803732093436</v>
      </c>
      <c r="N107" s="157">
        <v>288.2</v>
      </c>
      <c r="O107" s="157">
        <f t="shared" si="16"/>
        <v>0.4901072635589328</v>
      </c>
      <c r="P107" s="157">
        <f t="shared" si="17"/>
        <v>102.03482239256061</v>
      </c>
      <c r="Q107" s="159">
        <f t="shared" si="18"/>
        <v>29.406435813535968</v>
      </c>
      <c r="S107" s="97"/>
      <c r="T107" s="97"/>
    </row>
    <row r="108" spans="1:20" ht="12.75">
      <c r="A108" s="444"/>
      <c r="B108" s="143">
        <v>9</v>
      </c>
      <c r="C108" s="16" t="s">
        <v>366</v>
      </c>
      <c r="D108" s="32">
        <v>48</v>
      </c>
      <c r="E108" s="32">
        <v>1991</v>
      </c>
      <c r="F108" s="872">
        <v>21.35912</v>
      </c>
      <c r="G108" s="872">
        <v>8.39354</v>
      </c>
      <c r="H108" s="872">
        <v>6.3</v>
      </c>
      <c r="I108" s="872">
        <f t="shared" si="12"/>
        <v>6.665580000000001</v>
      </c>
      <c r="J108" s="265">
        <v>2916.03</v>
      </c>
      <c r="K108" s="578">
        <f t="shared" si="13"/>
        <v>6.665580000000001</v>
      </c>
      <c r="L108" s="265">
        <f t="shared" si="14"/>
        <v>2916.03</v>
      </c>
      <c r="M108" s="158">
        <f t="shared" si="15"/>
        <v>0.002285840680651434</v>
      </c>
      <c r="N108" s="157">
        <v>288.2</v>
      </c>
      <c r="O108" s="157">
        <f t="shared" si="16"/>
        <v>0.6587792841637432</v>
      </c>
      <c r="P108" s="157">
        <f t="shared" si="17"/>
        <v>137.15044083908603</v>
      </c>
      <c r="Q108" s="159">
        <f t="shared" si="18"/>
        <v>39.52675704982459</v>
      </c>
      <c r="S108" s="97"/>
      <c r="T108" s="97"/>
    </row>
    <row r="109" spans="1:20" ht="12.75" customHeight="1" thickBot="1">
      <c r="A109" s="445"/>
      <c r="B109" s="764">
        <v>10</v>
      </c>
      <c r="C109" s="71" t="s">
        <v>367</v>
      </c>
      <c r="D109" s="70">
        <v>60</v>
      </c>
      <c r="E109" s="70">
        <v>1970</v>
      </c>
      <c r="F109" s="874">
        <v>20</v>
      </c>
      <c r="G109" s="874">
        <v>6.21928</v>
      </c>
      <c r="H109" s="874">
        <v>5.97</v>
      </c>
      <c r="I109" s="874">
        <f t="shared" si="12"/>
        <v>7.810719999999999</v>
      </c>
      <c r="J109" s="817">
        <v>3132.9</v>
      </c>
      <c r="K109" s="328">
        <f t="shared" si="13"/>
        <v>7.810719999999999</v>
      </c>
      <c r="L109" s="817">
        <f t="shared" si="14"/>
        <v>3132.9</v>
      </c>
      <c r="M109" s="161">
        <f t="shared" si="15"/>
        <v>0.0024931277729898812</v>
      </c>
      <c r="N109" s="160">
        <v>288.2</v>
      </c>
      <c r="O109" s="160">
        <f t="shared" si="16"/>
        <v>0.7185194241756837</v>
      </c>
      <c r="P109" s="160">
        <f t="shared" si="17"/>
        <v>149.58766637939289</v>
      </c>
      <c r="Q109" s="162">
        <f t="shared" si="18"/>
        <v>43.11116545054102</v>
      </c>
      <c r="S109" s="97"/>
      <c r="T109" s="97"/>
    </row>
    <row r="110" spans="1:20" ht="12.75" customHeight="1">
      <c r="A110" s="446" t="s">
        <v>33</v>
      </c>
      <c r="B110" s="146">
        <v>1</v>
      </c>
      <c r="C110" s="797" t="s">
        <v>368</v>
      </c>
      <c r="D110" s="798">
        <v>145</v>
      </c>
      <c r="E110" s="798">
        <v>1979</v>
      </c>
      <c r="F110" s="930">
        <v>59.112</v>
      </c>
      <c r="G110" s="930">
        <v>25.63551</v>
      </c>
      <c r="H110" s="930">
        <v>14.4</v>
      </c>
      <c r="I110" s="930">
        <f t="shared" si="12"/>
        <v>19.07649</v>
      </c>
      <c r="J110" s="138">
        <v>7579.44</v>
      </c>
      <c r="K110" s="622">
        <f t="shared" si="13"/>
        <v>19.07649</v>
      </c>
      <c r="L110" s="138">
        <f t="shared" si="14"/>
        <v>7579.44</v>
      </c>
      <c r="M110" s="184">
        <f t="shared" si="15"/>
        <v>0.0025168732782369146</v>
      </c>
      <c r="N110" s="185">
        <v>288.2</v>
      </c>
      <c r="O110" s="185">
        <f t="shared" si="16"/>
        <v>0.7253628787878788</v>
      </c>
      <c r="P110" s="185">
        <f t="shared" si="17"/>
        <v>151.01239669421489</v>
      </c>
      <c r="Q110" s="259">
        <f t="shared" si="18"/>
        <v>43.521772727272726</v>
      </c>
      <c r="S110" s="97"/>
      <c r="T110" s="97"/>
    </row>
    <row r="111" spans="1:20" ht="12.75">
      <c r="A111" s="447"/>
      <c r="B111" s="147">
        <v>2</v>
      </c>
      <c r="C111" s="605" t="s">
        <v>369</v>
      </c>
      <c r="D111" s="606">
        <v>55</v>
      </c>
      <c r="E111" s="606">
        <v>1965</v>
      </c>
      <c r="F111" s="876">
        <v>18.3</v>
      </c>
      <c r="G111" s="876">
        <v>5.7868</v>
      </c>
      <c r="H111" s="876">
        <v>5.5</v>
      </c>
      <c r="I111" s="876">
        <f t="shared" si="12"/>
        <v>7.013200000000001</v>
      </c>
      <c r="J111" s="135">
        <v>2553.64</v>
      </c>
      <c r="K111" s="609">
        <f t="shared" si="13"/>
        <v>7.013200000000001</v>
      </c>
      <c r="L111" s="135">
        <f t="shared" si="14"/>
        <v>2553.64</v>
      </c>
      <c r="M111" s="164">
        <f t="shared" si="15"/>
        <v>0.002746354223774691</v>
      </c>
      <c r="N111" s="163">
        <v>288.2</v>
      </c>
      <c r="O111" s="163">
        <f t="shared" si="16"/>
        <v>0.7914992872918659</v>
      </c>
      <c r="P111" s="163">
        <f t="shared" si="17"/>
        <v>164.78125342648144</v>
      </c>
      <c r="Q111" s="251">
        <f t="shared" si="18"/>
        <v>47.489957237511945</v>
      </c>
      <c r="S111" s="97"/>
      <c r="T111" s="97"/>
    </row>
    <row r="112" spans="1:20" ht="12.75">
      <c r="A112" s="447"/>
      <c r="B112" s="147">
        <v>3</v>
      </c>
      <c r="C112" s="35" t="s">
        <v>370</v>
      </c>
      <c r="D112" s="36">
        <v>25</v>
      </c>
      <c r="E112" s="36">
        <v>1972</v>
      </c>
      <c r="F112" s="876">
        <v>11.1</v>
      </c>
      <c r="G112" s="876">
        <v>4.709</v>
      </c>
      <c r="H112" s="876">
        <v>2.5</v>
      </c>
      <c r="I112" s="876">
        <f t="shared" si="12"/>
        <v>3.891</v>
      </c>
      <c r="J112" s="135">
        <v>1301.76</v>
      </c>
      <c r="K112" s="609">
        <f t="shared" si="13"/>
        <v>3.891</v>
      </c>
      <c r="L112" s="135">
        <f t="shared" si="14"/>
        <v>1301.76</v>
      </c>
      <c r="M112" s="164">
        <f t="shared" si="15"/>
        <v>0.0029890302359882005</v>
      </c>
      <c r="N112" s="163">
        <v>288.2</v>
      </c>
      <c r="O112" s="163">
        <f t="shared" si="16"/>
        <v>0.8614385140117994</v>
      </c>
      <c r="P112" s="163">
        <f t="shared" si="17"/>
        <v>179.34181415929203</v>
      </c>
      <c r="Q112" s="251">
        <f t="shared" si="18"/>
        <v>51.68631084070796</v>
      </c>
      <c r="S112" s="97"/>
      <c r="T112" s="97"/>
    </row>
    <row r="113" spans="1:20" ht="12.75">
      <c r="A113" s="447"/>
      <c r="B113" s="147">
        <v>4</v>
      </c>
      <c r="C113" s="35" t="s">
        <v>371</v>
      </c>
      <c r="D113" s="36">
        <v>85</v>
      </c>
      <c r="E113" s="36">
        <v>1967</v>
      </c>
      <c r="F113" s="876">
        <v>36.604</v>
      </c>
      <c r="G113" s="876">
        <v>15.509</v>
      </c>
      <c r="H113" s="876">
        <v>8.5</v>
      </c>
      <c r="I113" s="876">
        <f t="shared" si="12"/>
        <v>12.594999999999999</v>
      </c>
      <c r="J113" s="135">
        <v>3870.76</v>
      </c>
      <c r="K113" s="609">
        <f t="shared" si="13"/>
        <v>12.594999999999999</v>
      </c>
      <c r="L113" s="135">
        <f t="shared" si="14"/>
        <v>3870.76</v>
      </c>
      <c r="M113" s="164">
        <f t="shared" si="15"/>
        <v>0.0032538829583854327</v>
      </c>
      <c r="N113" s="163">
        <v>288.2</v>
      </c>
      <c r="O113" s="163">
        <f t="shared" si="16"/>
        <v>0.9377690686066816</v>
      </c>
      <c r="P113" s="163">
        <f t="shared" si="17"/>
        <v>195.23297750312597</v>
      </c>
      <c r="Q113" s="251">
        <f t="shared" si="18"/>
        <v>56.2661441164009</v>
      </c>
      <c r="S113" s="97"/>
      <c r="T113" s="97"/>
    </row>
    <row r="114" spans="1:20" ht="12.75">
      <c r="A114" s="447"/>
      <c r="B114" s="147">
        <v>5</v>
      </c>
      <c r="C114" s="35" t="s">
        <v>372</v>
      </c>
      <c r="D114" s="36">
        <v>40</v>
      </c>
      <c r="E114" s="36">
        <v>1993</v>
      </c>
      <c r="F114" s="876">
        <v>19.787</v>
      </c>
      <c r="G114" s="876">
        <v>7.998</v>
      </c>
      <c r="H114" s="876">
        <v>4</v>
      </c>
      <c r="I114" s="876">
        <f t="shared" si="12"/>
        <v>7.788999999999998</v>
      </c>
      <c r="J114" s="135">
        <v>2225.69</v>
      </c>
      <c r="K114" s="609">
        <f t="shared" si="13"/>
        <v>7.788999999999998</v>
      </c>
      <c r="L114" s="135">
        <f t="shared" si="14"/>
        <v>2225.69</v>
      </c>
      <c r="M114" s="164">
        <f t="shared" si="15"/>
        <v>0.003499588891534759</v>
      </c>
      <c r="N114" s="163">
        <v>288.2</v>
      </c>
      <c r="O114" s="163">
        <f t="shared" si="16"/>
        <v>1.0085815185403175</v>
      </c>
      <c r="P114" s="163">
        <f t="shared" si="17"/>
        <v>209.97533349208553</v>
      </c>
      <c r="Q114" s="251">
        <f t="shared" si="18"/>
        <v>60.51489111241905</v>
      </c>
      <c r="S114" s="97"/>
      <c r="T114" s="97"/>
    </row>
    <row r="115" spans="1:20" ht="12.75">
      <c r="A115" s="447"/>
      <c r="B115" s="147">
        <v>6</v>
      </c>
      <c r="C115" s="35" t="s">
        <v>373</v>
      </c>
      <c r="D115" s="36">
        <v>40</v>
      </c>
      <c r="E115" s="36">
        <v>1965</v>
      </c>
      <c r="F115" s="876">
        <v>12.123</v>
      </c>
      <c r="G115" s="876">
        <v>5.029</v>
      </c>
      <c r="H115" s="876">
        <v>0.4</v>
      </c>
      <c r="I115" s="876">
        <f t="shared" si="12"/>
        <v>6.693999999999999</v>
      </c>
      <c r="J115" s="135">
        <v>1785.92</v>
      </c>
      <c r="K115" s="609">
        <f t="shared" si="13"/>
        <v>6.693999999999999</v>
      </c>
      <c r="L115" s="135">
        <f t="shared" si="14"/>
        <v>1785.92</v>
      </c>
      <c r="M115" s="164">
        <f t="shared" si="15"/>
        <v>0.0037482082064146205</v>
      </c>
      <c r="N115" s="163">
        <v>288.2</v>
      </c>
      <c r="O115" s="163">
        <f t="shared" si="16"/>
        <v>1.0802336050886936</v>
      </c>
      <c r="P115" s="163">
        <f t="shared" si="17"/>
        <v>224.89249238487724</v>
      </c>
      <c r="Q115" s="251">
        <f t="shared" si="18"/>
        <v>64.81401630532162</v>
      </c>
      <c r="S115" s="97"/>
      <c r="T115" s="97"/>
    </row>
    <row r="116" spans="1:20" ht="12.75">
      <c r="A116" s="447"/>
      <c r="B116" s="147">
        <v>7</v>
      </c>
      <c r="C116" s="35" t="s">
        <v>374</v>
      </c>
      <c r="D116" s="36">
        <v>104</v>
      </c>
      <c r="E116" s="36">
        <v>1971</v>
      </c>
      <c r="F116" s="876">
        <v>48.402</v>
      </c>
      <c r="G116" s="876">
        <v>17.692</v>
      </c>
      <c r="H116" s="876">
        <v>10</v>
      </c>
      <c r="I116" s="876">
        <f t="shared" si="12"/>
        <v>20.71</v>
      </c>
      <c r="J116" s="135">
        <v>5182.17</v>
      </c>
      <c r="K116" s="609">
        <f t="shared" si="13"/>
        <v>20.71</v>
      </c>
      <c r="L116" s="135">
        <f t="shared" si="14"/>
        <v>5182.17</v>
      </c>
      <c r="M116" s="164">
        <f t="shared" si="15"/>
        <v>0.0039963953324572525</v>
      </c>
      <c r="N116" s="163">
        <v>288.2</v>
      </c>
      <c r="O116" s="163">
        <f t="shared" si="16"/>
        <v>1.15176113481418</v>
      </c>
      <c r="P116" s="163">
        <f t="shared" si="17"/>
        <v>239.78371994743515</v>
      </c>
      <c r="Q116" s="251">
        <f t="shared" si="18"/>
        <v>69.10566808885082</v>
      </c>
      <c r="S116" s="97"/>
      <c r="T116" s="97"/>
    </row>
    <row r="117" spans="1:20" ht="12.75">
      <c r="A117" s="447"/>
      <c r="B117" s="147">
        <v>8</v>
      </c>
      <c r="C117" s="35" t="s">
        <v>375</v>
      </c>
      <c r="D117" s="36">
        <v>70</v>
      </c>
      <c r="E117" s="36">
        <v>1965</v>
      </c>
      <c r="F117" s="876">
        <v>23.58</v>
      </c>
      <c r="G117" s="876">
        <v>9.98259</v>
      </c>
      <c r="H117" s="876">
        <v>0.7</v>
      </c>
      <c r="I117" s="876">
        <f t="shared" si="12"/>
        <v>12.897409999999999</v>
      </c>
      <c r="J117" s="135">
        <v>3041.95</v>
      </c>
      <c r="K117" s="609">
        <f t="shared" si="13"/>
        <v>12.897409999999999</v>
      </c>
      <c r="L117" s="135">
        <f t="shared" si="14"/>
        <v>3041.95</v>
      </c>
      <c r="M117" s="164">
        <f t="shared" si="15"/>
        <v>0.004239849438682424</v>
      </c>
      <c r="N117" s="163">
        <v>288.2</v>
      </c>
      <c r="O117" s="163">
        <f t="shared" si="16"/>
        <v>1.2219246082282746</v>
      </c>
      <c r="P117" s="163">
        <f t="shared" si="17"/>
        <v>254.39096632094544</v>
      </c>
      <c r="Q117" s="251">
        <f t="shared" si="18"/>
        <v>73.31547649369648</v>
      </c>
      <c r="S117" s="97"/>
      <c r="T117" s="97"/>
    </row>
    <row r="118" spans="1:20" ht="12.75">
      <c r="A118" s="447"/>
      <c r="B118" s="765">
        <v>9</v>
      </c>
      <c r="C118" s="35" t="s">
        <v>376</v>
      </c>
      <c r="D118" s="36">
        <v>6</v>
      </c>
      <c r="E118" s="36">
        <v>1910</v>
      </c>
      <c r="F118" s="876">
        <v>1.51387</v>
      </c>
      <c r="G118" s="876">
        <v>0.349</v>
      </c>
      <c r="H118" s="876"/>
      <c r="I118" s="876">
        <f t="shared" si="12"/>
        <v>1.16487</v>
      </c>
      <c r="J118" s="135">
        <v>258.62</v>
      </c>
      <c r="K118" s="609">
        <f t="shared" si="13"/>
        <v>1.16487</v>
      </c>
      <c r="L118" s="135">
        <f t="shared" si="14"/>
        <v>258.62</v>
      </c>
      <c r="M118" s="164">
        <f t="shared" si="15"/>
        <v>0.00450417601113603</v>
      </c>
      <c r="N118" s="163">
        <v>288.2</v>
      </c>
      <c r="O118" s="163">
        <f t="shared" si="16"/>
        <v>1.2981035264094039</v>
      </c>
      <c r="P118" s="163">
        <f t="shared" si="17"/>
        <v>270.25056066816177</v>
      </c>
      <c r="Q118" s="251">
        <f t="shared" si="18"/>
        <v>77.88621158456422</v>
      </c>
      <c r="S118" s="97"/>
      <c r="T118" s="97"/>
    </row>
    <row r="119" spans="1:20" ht="13.5" thickBot="1">
      <c r="A119" s="448"/>
      <c r="B119" s="766">
        <v>10</v>
      </c>
      <c r="C119" s="91" t="s">
        <v>377</v>
      </c>
      <c r="D119" s="39">
        <v>40</v>
      </c>
      <c r="E119" s="39">
        <v>1980</v>
      </c>
      <c r="F119" s="877">
        <v>12.48965</v>
      </c>
      <c r="G119" s="877">
        <v>3.2299</v>
      </c>
      <c r="H119" s="877">
        <v>0.4</v>
      </c>
      <c r="I119" s="877">
        <f t="shared" si="12"/>
        <v>8.859749999999998</v>
      </c>
      <c r="J119" s="276">
        <v>1774.94</v>
      </c>
      <c r="K119" s="613">
        <f t="shared" si="13"/>
        <v>8.859749999999998</v>
      </c>
      <c r="L119" s="276">
        <f t="shared" si="14"/>
        <v>1774.94</v>
      </c>
      <c r="M119" s="332">
        <f t="shared" si="15"/>
        <v>0.004991577180073692</v>
      </c>
      <c r="N119" s="260">
        <v>288.2</v>
      </c>
      <c r="O119" s="260">
        <f t="shared" si="16"/>
        <v>1.4385725432972378</v>
      </c>
      <c r="P119" s="260">
        <f t="shared" si="17"/>
        <v>299.4946308044215</v>
      </c>
      <c r="Q119" s="261">
        <f t="shared" si="18"/>
        <v>86.31435259783427</v>
      </c>
      <c r="S119" s="97"/>
      <c r="T119" s="97"/>
    </row>
    <row r="120" spans="1:20" ht="12.75">
      <c r="A120" s="660" t="s">
        <v>47</v>
      </c>
      <c r="B120" s="663">
        <v>1</v>
      </c>
      <c r="C120" s="698" t="s">
        <v>378</v>
      </c>
      <c r="D120" s="653">
        <v>143</v>
      </c>
      <c r="E120" s="653">
        <v>1980</v>
      </c>
      <c r="F120" s="931">
        <v>74.785</v>
      </c>
      <c r="G120" s="931">
        <v>23</v>
      </c>
      <c r="H120" s="931">
        <v>14</v>
      </c>
      <c r="I120" s="931">
        <f t="shared" si="12"/>
        <v>37.785</v>
      </c>
      <c r="J120" s="918">
        <v>7547</v>
      </c>
      <c r="K120" s="850">
        <f t="shared" si="13"/>
        <v>37.785</v>
      </c>
      <c r="L120" s="918">
        <f t="shared" si="14"/>
        <v>7547</v>
      </c>
      <c r="M120" s="675">
        <f t="shared" si="15"/>
        <v>0.005006625149065853</v>
      </c>
      <c r="N120" s="674">
        <v>288.2</v>
      </c>
      <c r="O120" s="674">
        <f t="shared" si="16"/>
        <v>1.4429093679607787</v>
      </c>
      <c r="P120" s="674">
        <f t="shared" si="17"/>
        <v>300.39750894395115</v>
      </c>
      <c r="Q120" s="676">
        <f t="shared" si="18"/>
        <v>86.57456207764673</v>
      </c>
      <c r="S120" s="97"/>
      <c r="T120" s="97"/>
    </row>
    <row r="121" spans="1:20" ht="12.75" customHeight="1">
      <c r="A121" s="661"/>
      <c r="B121" s="664">
        <v>2</v>
      </c>
      <c r="C121" s="633" t="s">
        <v>379</v>
      </c>
      <c r="D121" s="367">
        <v>71</v>
      </c>
      <c r="E121" s="367">
        <v>1978</v>
      </c>
      <c r="F121" s="879">
        <v>17.1</v>
      </c>
      <c r="G121" s="879">
        <v>6.19295</v>
      </c>
      <c r="H121" s="879"/>
      <c r="I121" s="879">
        <f t="shared" si="12"/>
        <v>10.907050000000002</v>
      </c>
      <c r="J121" s="652">
        <v>2078.1</v>
      </c>
      <c r="K121" s="677">
        <f t="shared" si="13"/>
        <v>10.907050000000002</v>
      </c>
      <c r="L121" s="652">
        <f t="shared" si="14"/>
        <v>2078.1</v>
      </c>
      <c r="M121" s="679">
        <f t="shared" si="15"/>
        <v>0.005248568403830423</v>
      </c>
      <c r="N121" s="678">
        <v>288.2</v>
      </c>
      <c r="O121" s="678">
        <f t="shared" si="16"/>
        <v>1.512637413983928</v>
      </c>
      <c r="P121" s="678">
        <f t="shared" si="17"/>
        <v>314.9141042298254</v>
      </c>
      <c r="Q121" s="680">
        <f t="shared" si="18"/>
        <v>90.75824483903567</v>
      </c>
      <c r="S121" s="97"/>
      <c r="T121" s="97"/>
    </row>
    <row r="122" spans="1:20" ht="12.75" customHeight="1">
      <c r="A122" s="661"/>
      <c r="B122" s="664">
        <v>3</v>
      </c>
      <c r="C122" s="633" t="s">
        <v>132</v>
      </c>
      <c r="D122" s="367">
        <v>80</v>
      </c>
      <c r="E122" s="367">
        <v>1994</v>
      </c>
      <c r="F122" s="879">
        <v>56.3111</v>
      </c>
      <c r="G122" s="879">
        <v>15.86</v>
      </c>
      <c r="H122" s="879">
        <v>11.2</v>
      </c>
      <c r="I122" s="879">
        <f t="shared" si="12"/>
        <v>29.251100000000005</v>
      </c>
      <c r="J122" s="652">
        <v>5321.3</v>
      </c>
      <c r="K122" s="677">
        <f t="shared" si="13"/>
        <v>29.251100000000005</v>
      </c>
      <c r="L122" s="652">
        <f t="shared" si="14"/>
        <v>5321.3</v>
      </c>
      <c r="M122" s="679">
        <f t="shared" si="15"/>
        <v>0.005496983819743296</v>
      </c>
      <c r="N122" s="678">
        <v>288.2</v>
      </c>
      <c r="O122" s="678">
        <f t="shared" si="16"/>
        <v>1.584230736850018</v>
      </c>
      <c r="P122" s="678">
        <f t="shared" si="17"/>
        <v>329.81902918459775</v>
      </c>
      <c r="Q122" s="680">
        <f t="shared" si="18"/>
        <v>95.05384421100106</v>
      </c>
      <c r="S122" s="97"/>
      <c r="T122" s="97"/>
    </row>
    <row r="123" spans="1:20" ht="12.75" customHeight="1">
      <c r="A123" s="661"/>
      <c r="B123" s="664">
        <v>4</v>
      </c>
      <c r="C123" s="633" t="s">
        <v>380</v>
      </c>
      <c r="D123" s="367">
        <v>17</v>
      </c>
      <c r="E123" s="367">
        <v>1937</v>
      </c>
      <c r="F123" s="879">
        <v>4.73343</v>
      </c>
      <c r="G123" s="879">
        <v>1.11946</v>
      </c>
      <c r="H123" s="879">
        <v>0.168</v>
      </c>
      <c r="I123" s="879">
        <f t="shared" si="12"/>
        <v>3.44597</v>
      </c>
      <c r="J123" s="652">
        <v>599.81</v>
      </c>
      <c r="K123" s="677">
        <f t="shared" si="13"/>
        <v>3.44597</v>
      </c>
      <c r="L123" s="652">
        <f t="shared" si="14"/>
        <v>599.81</v>
      </c>
      <c r="M123" s="679">
        <f t="shared" si="15"/>
        <v>0.005745102615828346</v>
      </c>
      <c r="N123" s="678">
        <v>288.2</v>
      </c>
      <c r="O123" s="678">
        <f t="shared" si="16"/>
        <v>1.6557385738817292</v>
      </c>
      <c r="P123" s="678">
        <f t="shared" si="17"/>
        <v>344.70615694970076</v>
      </c>
      <c r="Q123" s="680">
        <f t="shared" si="18"/>
        <v>99.34431443290376</v>
      </c>
      <c r="S123" s="97"/>
      <c r="T123" s="97"/>
    </row>
    <row r="124" spans="1:20" ht="12.75" customHeight="1">
      <c r="A124" s="661"/>
      <c r="B124" s="664">
        <v>5</v>
      </c>
      <c r="C124" s="633" t="s">
        <v>381</v>
      </c>
      <c r="D124" s="367">
        <v>100</v>
      </c>
      <c r="E124" s="367">
        <v>1981</v>
      </c>
      <c r="F124" s="879">
        <v>47.75</v>
      </c>
      <c r="G124" s="879">
        <v>15.619</v>
      </c>
      <c r="H124" s="879">
        <v>10</v>
      </c>
      <c r="I124" s="879">
        <f t="shared" si="12"/>
        <v>22.131</v>
      </c>
      <c r="J124" s="652">
        <v>3691.27</v>
      </c>
      <c r="K124" s="677">
        <f t="shared" si="13"/>
        <v>22.131</v>
      </c>
      <c r="L124" s="652">
        <f t="shared" si="14"/>
        <v>3691.27</v>
      </c>
      <c r="M124" s="679">
        <f t="shared" si="15"/>
        <v>0.005995497484605569</v>
      </c>
      <c r="N124" s="678">
        <v>288.2</v>
      </c>
      <c r="O124" s="678">
        <f t="shared" si="16"/>
        <v>1.727902375063325</v>
      </c>
      <c r="P124" s="678">
        <f t="shared" si="17"/>
        <v>359.7298490763342</v>
      </c>
      <c r="Q124" s="680">
        <f t="shared" si="18"/>
        <v>103.6741425037995</v>
      </c>
      <c r="S124" s="97"/>
      <c r="T124" s="97"/>
    </row>
    <row r="125" spans="1:20" ht="12.75" customHeight="1">
      <c r="A125" s="661"/>
      <c r="B125" s="664">
        <v>6</v>
      </c>
      <c r="C125" s="633" t="s">
        <v>382</v>
      </c>
      <c r="D125" s="367">
        <v>30</v>
      </c>
      <c r="E125" s="367">
        <v>1980</v>
      </c>
      <c r="F125" s="879">
        <v>18.681</v>
      </c>
      <c r="G125" s="879">
        <v>5.05432</v>
      </c>
      <c r="H125" s="879">
        <v>3</v>
      </c>
      <c r="I125" s="879">
        <f t="shared" si="12"/>
        <v>10.62668</v>
      </c>
      <c r="J125" s="652">
        <v>1710.41</v>
      </c>
      <c r="K125" s="677">
        <f t="shared" si="13"/>
        <v>10.62668</v>
      </c>
      <c r="L125" s="652">
        <f t="shared" si="14"/>
        <v>1710.41</v>
      </c>
      <c r="M125" s="679">
        <f t="shared" si="15"/>
        <v>0.00621294309551511</v>
      </c>
      <c r="N125" s="678">
        <v>288.2</v>
      </c>
      <c r="O125" s="678">
        <f t="shared" si="16"/>
        <v>1.7905702001274546</v>
      </c>
      <c r="P125" s="678">
        <f t="shared" si="17"/>
        <v>372.7765857309066</v>
      </c>
      <c r="Q125" s="680">
        <f t="shared" si="18"/>
        <v>107.43421200764728</v>
      </c>
      <c r="S125" s="97"/>
      <c r="T125" s="97"/>
    </row>
    <row r="126" spans="1:20" ht="13.5" customHeight="1">
      <c r="A126" s="661"/>
      <c r="B126" s="664">
        <v>7</v>
      </c>
      <c r="C126" s="633" t="s">
        <v>383</v>
      </c>
      <c r="D126" s="367">
        <v>6</v>
      </c>
      <c r="E126" s="367">
        <v>1932</v>
      </c>
      <c r="F126" s="879">
        <v>3.261</v>
      </c>
      <c r="G126" s="879">
        <v>0.841</v>
      </c>
      <c r="H126" s="879"/>
      <c r="I126" s="879">
        <f t="shared" si="12"/>
        <v>2.42</v>
      </c>
      <c r="J126" s="652">
        <v>373.58</v>
      </c>
      <c r="K126" s="677">
        <f t="shared" si="13"/>
        <v>2.42</v>
      </c>
      <c r="L126" s="652">
        <f t="shared" si="14"/>
        <v>373.58</v>
      </c>
      <c r="M126" s="679">
        <f t="shared" si="15"/>
        <v>0.00647786284062316</v>
      </c>
      <c r="N126" s="678">
        <v>288.2</v>
      </c>
      <c r="O126" s="678">
        <f t="shared" si="16"/>
        <v>1.8669200706675946</v>
      </c>
      <c r="P126" s="678">
        <f t="shared" si="17"/>
        <v>388.67177043738957</v>
      </c>
      <c r="Q126" s="680">
        <f t="shared" si="18"/>
        <v>112.01520424005567</v>
      </c>
      <c r="S126" s="97"/>
      <c r="T126" s="97"/>
    </row>
    <row r="127" spans="1:20" ht="12.75" customHeight="1">
      <c r="A127" s="661"/>
      <c r="B127" s="759">
        <v>8</v>
      </c>
      <c r="C127" s="633" t="s">
        <v>384</v>
      </c>
      <c r="D127" s="367">
        <v>20</v>
      </c>
      <c r="E127" s="367">
        <v>2001</v>
      </c>
      <c r="F127" s="879">
        <v>12.01</v>
      </c>
      <c r="G127" s="879">
        <v>3.04592</v>
      </c>
      <c r="H127" s="879">
        <v>1.9428</v>
      </c>
      <c r="I127" s="879">
        <f t="shared" si="12"/>
        <v>7.021279999999999</v>
      </c>
      <c r="J127" s="652">
        <v>1040.25</v>
      </c>
      <c r="K127" s="677">
        <f t="shared" si="13"/>
        <v>7.021279999999999</v>
      </c>
      <c r="L127" s="652">
        <f t="shared" si="14"/>
        <v>1040.25</v>
      </c>
      <c r="M127" s="679">
        <f t="shared" si="15"/>
        <v>0.00674960826724345</v>
      </c>
      <c r="N127" s="678">
        <v>288.2</v>
      </c>
      <c r="O127" s="678">
        <f t="shared" si="16"/>
        <v>1.9452371026195623</v>
      </c>
      <c r="P127" s="678">
        <f t="shared" si="17"/>
        <v>404.976496034607</v>
      </c>
      <c r="Q127" s="680">
        <f t="shared" si="18"/>
        <v>116.71422615717373</v>
      </c>
      <c r="S127" s="97"/>
      <c r="T127" s="97"/>
    </row>
    <row r="128" spans="1:20" ht="12.75" customHeight="1">
      <c r="A128" s="661"/>
      <c r="B128" s="664">
        <v>9</v>
      </c>
      <c r="C128" s="633" t="s">
        <v>385</v>
      </c>
      <c r="D128" s="367">
        <v>14</v>
      </c>
      <c r="E128" s="367">
        <v>1959</v>
      </c>
      <c r="F128" s="879">
        <v>5.11806</v>
      </c>
      <c r="G128" s="879">
        <v>1.402</v>
      </c>
      <c r="H128" s="879"/>
      <c r="I128" s="879">
        <f t="shared" si="12"/>
        <v>3.7160599999999997</v>
      </c>
      <c r="J128" s="652">
        <v>533.41</v>
      </c>
      <c r="K128" s="677">
        <f t="shared" si="13"/>
        <v>3.7160599999999997</v>
      </c>
      <c r="L128" s="652">
        <f t="shared" si="14"/>
        <v>533.41</v>
      </c>
      <c r="M128" s="679">
        <f t="shared" si="15"/>
        <v>0.006966611049661611</v>
      </c>
      <c r="N128" s="678">
        <v>288.2</v>
      </c>
      <c r="O128" s="678">
        <f t="shared" si="16"/>
        <v>2.007777304512476</v>
      </c>
      <c r="P128" s="678">
        <f t="shared" si="17"/>
        <v>417.9966629796967</v>
      </c>
      <c r="Q128" s="680">
        <f t="shared" si="18"/>
        <v>120.46663827074858</v>
      </c>
      <c r="S128" s="97"/>
      <c r="T128" s="97"/>
    </row>
    <row r="129" spans="1:20" ht="12.75" customHeight="1" thickBot="1">
      <c r="A129" s="662"/>
      <c r="B129" s="667">
        <v>10</v>
      </c>
      <c r="C129" s="640" t="s">
        <v>386</v>
      </c>
      <c r="D129" s="535">
        <v>31</v>
      </c>
      <c r="E129" s="535">
        <v>1988</v>
      </c>
      <c r="F129" s="880">
        <v>22.265</v>
      </c>
      <c r="G129" s="880">
        <v>5.312</v>
      </c>
      <c r="H129" s="880">
        <v>3</v>
      </c>
      <c r="I129" s="880">
        <f t="shared" si="12"/>
        <v>13.953</v>
      </c>
      <c r="J129" s="658">
        <v>1987.96</v>
      </c>
      <c r="K129" s="681">
        <f t="shared" si="13"/>
        <v>13.953</v>
      </c>
      <c r="L129" s="658">
        <f t="shared" si="14"/>
        <v>1987.96</v>
      </c>
      <c r="M129" s="684">
        <f t="shared" si="15"/>
        <v>0.007018752892412322</v>
      </c>
      <c r="N129" s="683">
        <v>288.2</v>
      </c>
      <c r="O129" s="683">
        <f t="shared" si="16"/>
        <v>2.022804583593231</v>
      </c>
      <c r="P129" s="683">
        <f t="shared" si="17"/>
        <v>421.12517354473925</v>
      </c>
      <c r="Q129" s="685">
        <f t="shared" si="18"/>
        <v>121.36827501559385</v>
      </c>
      <c r="S129" s="97"/>
      <c r="T129" s="97"/>
    </row>
    <row r="130" spans="1:20" ht="12.75">
      <c r="A130" s="449" t="s">
        <v>52</v>
      </c>
      <c r="B130" s="149">
        <v>1</v>
      </c>
      <c r="C130" s="725" t="s">
        <v>387</v>
      </c>
      <c r="D130" s="88">
        <v>14</v>
      </c>
      <c r="E130" s="88">
        <v>1960</v>
      </c>
      <c r="F130" s="932">
        <v>5.20784</v>
      </c>
      <c r="G130" s="932">
        <v>1.98</v>
      </c>
      <c r="H130" s="932"/>
      <c r="I130" s="932">
        <f t="shared" si="12"/>
        <v>3.22784</v>
      </c>
      <c r="J130" s="922">
        <v>444.73</v>
      </c>
      <c r="K130" s="726">
        <f t="shared" si="13"/>
        <v>3.22784</v>
      </c>
      <c r="L130" s="922">
        <f t="shared" si="14"/>
        <v>444.73</v>
      </c>
      <c r="M130" s="714">
        <f t="shared" si="15"/>
        <v>0.007257976749938165</v>
      </c>
      <c r="N130" s="715">
        <v>288.2</v>
      </c>
      <c r="O130" s="715">
        <f t="shared" si="16"/>
        <v>2.091748899332179</v>
      </c>
      <c r="P130" s="715">
        <f t="shared" si="17"/>
        <v>435.4786049962899</v>
      </c>
      <c r="Q130" s="716">
        <f t="shared" si="18"/>
        <v>125.50493395993074</v>
      </c>
      <c r="S130" s="97"/>
      <c r="T130" s="97"/>
    </row>
    <row r="131" spans="1:20" ht="12.75" customHeight="1">
      <c r="A131" s="450"/>
      <c r="B131" s="41">
        <v>2</v>
      </c>
      <c r="C131" s="52" t="s">
        <v>388</v>
      </c>
      <c r="D131" s="42">
        <v>6</v>
      </c>
      <c r="E131" s="42">
        <v>1930</v>
      </c>
      <c r="F131" s="882">
        <v>4.24838</v>
      </c>
      <c r="G131" s="882">
        <v>0.91</v>
      </c>
      <c r="H131" s="882"/>
      <c r="I131" s="882">
        <f t="shared" si="12"/>
        <v>3.33838</v>
      </c>
      <c r="J131" s="751">
        <v>459.14</v>
      </c>
      <c r="K131" s="727">
        <f t="shared" si="13"/>
        <v>3.33838</v>
      </c>
      <c r="L131" s="751">
        <f t="shared" si="14"/>
        <v>459.14</v>
      </c>
      <c r="M131" s="721">
        <f t="shared" si="15"/>
        <v>0.0072709413250860305</v>
      </c>
      <c r="N131" s="722">
        <v>288.2</v>
      </c>
      <c r="O131" s="722">
        <f t="shared" si="16"/>
        <v>2.095485289889794</v>
      </c>
      <c r="P131" s="722">
        <f t="shared" si="17"/>
        <v>436.25647950516185</v>
      </c>
      <c r="Q131" s="723">
        <f t="shared" si="18"/>
        <v>125.72911739338764</v>
      </c>
      <c r="S131" s="97"/>
      <c r="T131" s="97"/>
    </row>
    <row r="132" spans="1:20" ht="12.75" customHeight="1">
      <c r="A132" s="450"/>
      <c r="B132" s="41">
        <v>3</v>
      </c>
      <c r="C132" s="52" t="s">
        <v>389</v>
      </c>
      <c r="D132" s="42">
        <v>6</v>
      </c>
      <c r="E132" s="42">
        <v>1935</v>
      </c>
      <c r="F132" s="882">
        <v>2.89692</v>
      </c>
      <c r="G132" s="882">
        <v>0.596</v>
      </c>
      <c r="H132" s="882">
        <v>0.005</v>
      </c>
      <c r="I132" s="882">
        <f t="shared" si="12"/>
        <v>2.29592</v>
      </c>
      <c r="J132" s="751">
        <v>302.59</v>
      </c>
      <c r="K132" s="727">
        <f t="shared" si="13"/>
        <v>2.29592</v>
      </c>
      <c r="L132" s="751">
        <f t="shared" si="14"/>
        <v>302.59</v>
      </c>
      <c r="M132" s="721">
        <f t="shared" si="15"/>
        <v>0.0075875607257344935</v>
      </c>
      <c r="N132" s="722">
        <v>288.2</v>
      </c>
      <c r="O132" s="722">
        <f t="shared" si="16"/>
        <v>2.186735001156681</v>
      </c>
      <c r="P132" s="722">
        <f t="shared" si="17"/>
        <v>455.25364354406963</v>
      </c>
      <c r="Q132" s="723">
        <f t="shared" si="18"/>
        <v>131.20410006940085</v>
      </c>
      <c r="S132" s="97"/>
      <c r="T132" s="97"/>
    </row>
    <row r="133" spans="1:20" ht="12.75" customHeight="1">
      <c r="A133" s="450"/>
      <c r="B133" s="41">
        <v>4</v>
      </c>
      <c r="C133" s="52" t="s">
        <v>390</v>
      </c>
      <c r="D133" s="42">
        <v>52</v>
      </c>
      <c r="E133" s="42">
        <v>1988</v>
      </c>
      <c r="F133" s="882">
        <v>42.47</v>
      </c>
      <c r="G133" s="882">
        <v>10.385</v>
      </c>
      <c r="H133" s="882">
        <v>6.54</v>
      </c>
      <c r="I133" s="882">
        <f t="shared" si="12"/>
        <v>25.545</v>
      </c>
      <c r="J133" s="751">
        <v>3304</v>
      </c>
      <c r="K133" s="727">
        <f t="shared" si="13"/>
        <v>25.545</v>
      </c>
      <c r="L133" s="751">
        <f t="shared" si="14"/>
        <v>3304</v>
      </c>
      <c r="M133" s="721">
        <f t="shared" si="15"/>
        <v>0.007731537530266344</v>
      </c>
      <c r="N133" s="722">
        <v>288.2</v>
      </c>
      <c r="O133" s="722">
        <f t="shared" si="16"/>
        <v>2.22822911622276</v>
      </c>
      <c r="P133" s="722">
        <f t="shared" si="17"/>
        <v>463.89225181598067</v>
      </c>
      <c r="Q133" s="723">
        <f t="shared" si="18"/>
        <v>133.69374697336562</v>
      </c>
      <c r="S133" s="97"/>
      <c r="T133" s="97"/>
    </row>
    <row r="134" spans="1:20" ht="12.75" customHeight="1">
      <c r="A134" s="450"/>
      <c r="B134" s="41">
        <v>5</v>
      </c>
      <c r="C134" s="52" t="s">
        <v>391</v>
      </c>
      <c r="D134" s="42">
        <v>103</v>
      </c>
      <c r="E134" s="42">
        <v>1995</v>
      </c>
      <c r="F134" s="882">
        <v>57.048</v>
      </c>
      <c r="G134" s="882">
        <v>10.753</v>
      </c>
      <c r="H134" s="882">
        <v>14.42</v>
      </c>
      <c r="I134" s="882">
        <f t="shared" si="12"/>
        <v>31.875</v>
      </c>
      <c r="J134" s="751">
        <v>3861.68</v>
      </c>
      <c r="K134" s="727">
        <f t="shared" si="13"/>
        <v>31.875</v>
      </c>
      <c r="L134" s="751">
        <f t="shared" si="14"/>
        <v>3861.68</v>
      </c>
      <c r="M134" s="721">
        <f t="shared" si="15"/>
        <v>0.008254179528081043</v>
      </c>
      <c r="N134" s="722">
        <v>288.2</v>
      </c>
      <c r="O134" s="722">
        <f t="shared" si="16"/>
        <v>2.3788545399929566</v>
      </c>
      <c r="P134" s="722">
        <f t="shared" si="17"/>
        <v>495.25077168486257</v>
      </c>
      <c r="Q134" s="723">
        <f t="shared" si="18"/>
        <v>142.7312723995774</v>
      </c>
      <c r="S134" s="97"/>
      <c r="T134" s="97"/>
    </row>
    <row r="135" spans="1:20" ht="12.75" customHeight="1">
      <c r="A135" s="450"/>
      <c r="B135" s="41">
        <v>6</v>
      </c>
      <c r="C135" s="52" t="s">
        <v>392</v>
      </c>
      <c r="D135" s="42">
        <v>33</v>
      </c>
      <c r="E135" s="42">
        <v>1959</v>
      </c>
      <c r="F135" s="882">
        <v>13.68206</v>
      </c>
      <c r="G135" s="882">
        <v>2.62397</v>
      </c>
      <c r="H135" s="882">
        <v>0.32</v>
      </c>
      <c r="I135" s="882">
        <f t="shared" si="12"/>
        <v>10.73809</v>
      </c>
      <c r="J135" s="751">
        <v>1257.02</v>
      </c>
      <c r="K135" s="727">
        <f t="shared" si="13"/>
        <v>10.73809</v>
      </c>
      <c r="L135" s="751">
        <f t="shared" si="14"/>
        <v>1257.02</v>
      </c>
      <c r="M135" s="721">
        <f t="shared" si="15"/>
        <v>0.008542497334966826</v>
      </c>
      <c r="N135" s="722">
        <v>288.2</v>
      </c>
      <c r="O135" s="722">
        <f t="shared" si="16"/>
        <v>2.4619477319374394</v>
      </c>
      <c r="P135" s="722">
        <f t="shared" si="17"/>
        <v>512.5498400980097</v>
      </c>
      <c r="Q135" s="723">
        <f t="shared" si="18"/>
        <v>147.71686391624635</v>
      </c>
      <c r="S135" s="97"/>
      <c r="T135" s="97"/>
    </row>
    <row r="136" spans="1:20" ht="12.75" customHeight="1">
      <c r="A136" s="450"/>
      <c r="B136" s="41">
        <v>7</v>
      </c>
      <c r="C136" s="52" t="s">
        <v>393</v>
      </c>
      <c r="D136" s="42">
        <v>7</v>
      </c>
      <c r="E136" s="42">
        <v>1915</v>
      </c>
      <c r="F136" s="882">
        <v>6.57647</v>
      </c>
      <c r="G136" s="882">
        <v>2.29817</v>
      </c>
      <c r="H136" s="882">
        <v>0.7</v>
      </c>
      <c r="I136" s="882">
        <f t="shared" si="12"/>
        <v>3.5782999999999996</v>
      </c>
      <c r="J136" s="751">
        <v>392.4</v>
      </c>
      <c r="K136" s="727">
        <f t="shared" si="13"/>
        <v>3.5782999999999996</v>
      </c>
      <c r="L136" s="751">
        <f t="shared" si="14"/>
        <v>392.4</v>
      </c>
      <c r="M136" s="721">
        <f t="shared" si="15"/>
        <v>0.009119011213047909</v>
      </c>
      <c r="N136" s="722">
        <v>288.2</v>
      </c>
      <c r="O136" s="722">
        <f t="shared" si="16"/>
        <v>2.6280990316004074</v>
      </c>
      <c r="P136" s="722">
        <f t="shared" si="17"/>
        <v>547.1406727828745</v>
      </c>
      <c r="Q136" s="723">
        <f t="shared" si="18"/>
        <v>157.68594189602442</v>
      </c>
      <c r="S136" s="97"/>
      <c r="T136" s="97"/>
    </row>
    <row r="137" spans="1:20" ht="13.5" customHeight="1">
      <c r="A137" s="450"/>
      <c r="B137" s="761">
        <v>8</v>
      </c>
      <c r="C137" s="90" t="s">
        <v>394</v>
      </c>
      <c r="D137" s="42">
        <v>31</v>
      </c>
      <c r="E137" s="42">
        <v>1967</v>
      </c>
      <c r="F137" s="882">
        <v>30.011</v>
      </c>
      <c r="G137" s="882">
        <v>10.675</v>
      </c>
      <c r="H137" s="882">
        <v>5.77</v>
      </c>
      <c r="I137" s="882">
        <f t="shared" si="12"/>
        <v>13.565999999999999</v>
      </c>
      <c r="J137" s="751">
        <v>1363.17</v>
      </c>
      <c r="K137" s="727">
        <f t="shared" si="13"/>
        <v>13.565999999999999</v>
      </c>
      <c r="L137" s="751">
        <f t="shared" si="14"/>
        <v>1363.17</v>
      </c>
      <c r="M137" s="721">
        <f t="shared" si="15"/>
        <v>0.009951803516802745</v>
      </c>
      <c r="N137" s="722">
        <v>288.2</v>
      </c>
      <c r="O137" s="722">
        <f t="shared" si="16"/>
        <v>2.868109773542551</v>
      </c>
      <c r="P137" s="722">
        <f t="shared" si="17"/>
        <v>597.1082110081647</v>
      </c>
      <c r="Q137" s="723">
        <f t="shared" si="18"/>
        <v>172.08658641255306</v>
      </c>
      <c r="S137" s="97"/>
      <c r="T137" s="97"/>
    </row>
    <row r="138" spans="1:20" ht="12.75" customHeight="1">
      <c r="A138" s="450"/>
      <c r="B138" s="41">
        <v>9</v>
      </c>
      <c r="C138" s="282"/>
      <c r="D138" s="283"/>
      <c r="E138" s="283"/>
      <c r="F138" s="736"/>
      <c r="G138" s="736"/>
      <c r="H138" s="736"/>
      <c r="I138" s="736"/>
      <c r="J138" s="737"/>
      <c r="K138" s="736"/>
      <c r="L138" s="737"/>
      <c r="M138" s="738"/>
      <c r="N138" s="736"/>
      <c r="O138" s="739"/>
      <c r="P138" s="739"/>
      <c r="Q138" s="740"/>
      <c r="S138" s="97"/>
      <c r="T138" s="97"/>
    </row>
    <row r="139" spans="1:20" ht="12.75" customHeight="1" thickBot="1">
      <c r="A139" s="451"/>
      <c r="B139" s="150">
        <v>10</v>
      </c>
      <c r="C139" s="526"/>
      <c r="D139" s="527"/>
      <c r="E139" s="527"/>
      <c r="F139" s="741"/>
      <c r="G139" s="741"/>
      <c r="H139" s="741"/>
      <c r="I139" s="741"/>
      <c r="J139" s="742"/>
      <c r="K139" s="741"/>
      <c r="L139" s="742"/>
      <c r="M139" s="743"/>
      <c r="N139" s="741"/>
      <c r="O139" s="744"/>
      <c r="P139" s="744"/>
      <c r="Q139" s="745"/>
      <c r="S139" s="97"/>
      <c r="T139" s="97"/>
    </row>
    <row r="140" spans="19:20" ht="12.75">
      <c r="S140" s="97"/>
      <c r="T140" s="97"/>
    </row>
    <row r="141" spans="1:20" s="17" customFormat="1" ht="16.5" customHeight="1">
      <c r="A141" s="393" t="s">
        <v>133</v>
      </c>
      <c r="B141" s="393"/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S141" s="97"/>
      <c r="T141" s="97"/>
    </row>
    <row r="142" spans="1:20" s="17" customFormat="1" ht="14.25" customHeight="1" thickBot="1">
      <c r="A142" s="394" t="s">
        <v>395</v>
      </c>
      <c r="B142" s="394"/>
      <c r="C142" s="394"/>
      <c r="D142" s="394"/>
      <c r="E142" s="394"/>
      <c r="F142" s="394"/>
      <c r="G142" s="394"/>
      <c r="H142" s="394"/>
      <c r="I142" s="394"/>
      <c r="J142" s="394"/>
      <c r="K142" s="394"/>
      <c r="L142" s="394"/>
      <c r="M142" s="394"/>
      <c r="N142" s="394"/>
      <c r="O142" s="394"/>
      <c r="P142" s="394"/>
      <c r="Q142" s="394"/>
      <c r="S142" s="97"/>
      <c r="T142" s="97"/>
    </row>
    <row r="143" spans="1:20" ht="12.75" customHeight="1">
      <c r="A143" s="395" t="s">
        <v>1</v>
      </c>
      <c r="B143" s="397" t="s">
        <v>0</v>
      </c>
      <c r="C143" s="384" t="s">
        <v>2</v>
      </c>
      <c r="D143" s="384" t="s">
        <v>3</v>
      </c>
      <c r="E143" s="384" t="s">
        <v>13</v>
      </c>
      <c r="F143" s="386" t="s">
        <v>14</v>
      </c>
      <c r="G143" s="387"/>
      <c r="H143" s="387"/>
      <c r="I143" s="388"/>
      <c r="J143" s="384" t="s">
        <v>4</v>
      </c>
      <c r="K143" s="384" t="s">
        <v>15</v>
      </c>
      <c r="L143" s="384" t="s">
        <v>5</v>
      </c>
      <c r="M143" s="384" t="s">
        <v>6</v>
      </c>
      <c r="N143" s="384" t="s">
        <v>16</v>
      </c>
      <c r="O143" s="389" t="s">
        <v>17</v>
      </c>
      <c r="P143" s="384" t="s">
        <v>25</v>
      </c>
      <c r="Q143" s="391" t="s">
        <v>26</v>
      </c>
      <c r="S143" s="97"/>
      <c r="T143" s="97"/>
    </row>
    <row r="144" spans="1:20" s="2" customFormat="1" ht="33.75">
      <c r="A144" s="396"/>
      <c r="B144" s="398"/>
      <c r="C144" s="399"/>
      <c r="D144" s="385"/>
      <c r="E144" s="385"/>
      <c r="F144" s="37" t="s">
        <v>18</v>
      </c>
      <c r="G144" s="37" t="s">
        <v>19</v>
      </c>
      <c r="H144" s="37" t="s">
        <v>20</v>
      </c>
      <c r="I144" s="37" t="s">
        <v>21</v>
      </c>
      <c r="J144" s="385"/>
      <c r="K144" s="385"/>
      <c r="L144" s="385"/>
      <c r="M144" s="385"/>
      <c r="N144" s="385"/>
      <c r="O144" s="390"/>
      <c r="P144" s="385"/>
      <c r="Q144" s="392"/>
      <c r="S144" s="97"/>
      <c r="T144" s="97"/>
    </row>
    <row r="145" spans="1:20" s="3" customFormat="1" ht="13.5" customHeight="1" thickBot="1">
      <c r="A145" s="396"/>
      <c r="B145" s="398"/>
      <c r="C145" s="399"/>
      <c r="D145" s="10" t="s">
        <v>7</v>
      </c>
      <c r="E145" s="10" t="s">
        <v>8</v>
      </c>
      <c r="F145" s="10" t="s">
        <v>9</v>
      </c>
      <c r="G145" s="10" t="s">
        <v>9</v>
      </c>
      <c r="H145" s="10" t="s">
        <v>9</v>
      </c>
      <c r="I145" s="10" t="s">
        <v>9</v>
      </c>
      <c r="J145" s="10" t="s">
        <v>22</v>
      </c>
      <c r="K145" s="10" t="s">
        <v>9</v>
      </c>
      <c r="L145" s="10" t="s">
        <v>22</v>
      </c>
      <c r="M145" s="10" t="s">
        <v>23</v>
      </c>
      <c r="N145" s="10" t="s">
        <v>10</v>
      </c>
      <c r="O145" s="10" t="s">
        <v>24</v>
      </c>
      <c r="P145" s="38" t="s">
        <v>27</v>
      </c>
      <c r="Q145" s="11" t="s">
        <v>28</v>
      </c>
      <c r="S145" s="97"/>
      <c r="T145" s="97"/>
    </row>
    <row r="146" spans="1:20" ht="12.75">
      <c r="A146" s="375" t="s">
        <v>51</v>
      </c>
      <c r="B146" s="142">
        <v>1</v>
      </c>
      <c r="C146" s="562" t="s">
        <v>396</v>
      </c>
      <c r="D146" s="563">
        <v>101</v>
      </c>
      <c r="E146" s="141" t="s">
        <v>73</v>
      </c>
      <c r="F146" s="935">
        <v>25</v>
      </c>
      <c r="G146" s="935">
        <v>8.72</v>
      </c>
      <c r="H146" s="935">
        <v>16</v>
      </c>
      <c r="I146" s="935">
        <v>0.28</v>
      </c>
      <c r="J146" s="563">
        <v>4440.62</v>
      </c>
      <c r="K146" s="935">
        <v>0.28</v>
      </c>
      <c r="L146" s="563">
        <v>4440.62</v>
      </c>
      <c r="M146" s="541">
        <f aca="true" t="shared" si="19" ref="M146:M155">K146/L146</f>
        <v>6.30542581891718E-05</v>
      </c>
      <c r="N146" s="540">
        <v>256</v>
      </c>
      <c r="O146" s="540">
        <f aca="true" t="shared" si="20" ref="O146:O155">M146*N146</f>
        <v>0.01614189009642798</v>
      </c>
      <c r="P146" s="540">
        <f aca="true" t="shared" si="21" ref="P146:P155">M146*60*1000</f>
        <v>3.7832554913503076</v>
      </c>
      <c r="Q146" s="542">
        <f aca="true" t="shared" si="22" ref="Q146:Q155">P146*N146/1000</f>
        <v>0.9685134057856788</v>
      </c>
      <c r="R146" s="6"/>
      <c r="S146" s="97"/>
      <c r="T146" s="97"/>
    </row>
    <row r="147" spans="1:20" ht="12.75">
      <c r="A147" s="376"/>
      <c r="B147" s="143">
        <v>2</v>
      </c>
      <c r="C147" s="564" t="s">
        <v>397</v>
      </c>
      <c r="D147" s="565">
        <v>78</v>
      </c>
      <c r="E147" s="140" t="s">
        <v>73</v>
      </c>
      <c r="F147" s="936">
        <v>22.07</v>
      </c>
      <c r="G147" s="936">
        <v>7.7</v>
      </c>
      <c r="H147" s="936">
        <v>12.48</v>
      </c>
      <c r="I147" s="936">
        <v>1.5</v>
      </c>
      <c r="J147" s="565" t="s">
        <v>398</v>
      </c>
      <c r="K147" s="936">
        <v>1.46</v>
      </c>
      <c r="L147" s="565">
        <v>3799.48</v>
      </c>
      <c r="M147" s="544">
        <f t="shared" si="19"/>
        <v>0.00038426310968869425</v>
      </c>
      <c r="N147" s="543">
        <v>256</v>
      </c>
      <c r="O147" s="543">
        <f t="shared" si="20"/>
        <v>0.09837135608030573</v>
      </c>
      <c r="P147" s="543">
        <f t="shared" si="21"/>
        <v>23.055786581321655</v>
      </c>
      <c r="Q147" s="545">
        <f t="shared" si="22"/>
        <v>5.902281364818344</v>
      </c>
      <c r="S147" s="97"/>
      <c r="T147" s="97"/>
    </row>
    <row r="148" spans="1:20" ht="12.75">
      <c r="A148" s="376"/>
      <c r="B148" s="143">
        <v>3</v>
      </c>
      <c r="C148" s="564" t="s">
        <v>399</v>
      </c>
      <c r="D148" s="565">
        <v>45</v>
      </c>
      <c r="E148" s="140" t="s">
        <v>73</v>
      </c>
      <c r="F148" s="936">
        <v>12.85</v>
      </c>
      <c r="G148" s="936">
        <v>4.55</v>
      </c>
      <c r="H148" s="936">
        <v>7.2</v>
      </c>
      <c r="I148" s="936">
        <v>1.1</v>
      </c>
      <c r="J148" s="565">
        <v>2319.88</v>
      </c>
      <c r="K148" s="936">
        <v>1.1</v>
      </c>
      <c r="L148" s="565">
        <v>2319.88</v>
      </c>
      <c r="M148" s="544">
        <f t="shared" si="19"/>
        <v>0.00047416245667879377</v>
      </c>
      <c r="N148" s="543">
        <v>256</v>
      </c>
      <c r="O148" s="543">
        <f t="shared" si="20"/>
        <v>0.1213855889097712</v>
      </c>
      <c r="P148" s="543">
        <f t="shared" si="21"/>
        <v>28.449747400727624</v>
      </c>
      <c r="Q148" s="545">
        <f t="shared" si="22"/>
        <v>7.283135334586271</v>
      </c>
      <c r="S148" s="97"/>
      <c r="T148" s="97"/>
    </row>
    <row r="149" spans="1:20" ht="12.75">
      <c r="A149" s="376"/>
      <c r="B149" s="143">
        <v>4</v>
      </c>
      <c r="C149" s="564" t="s">
        <v>400</v>
      </c>
      <c r="D149" s="565">
        <v>61</v>
      </c>
      <c r="E149" s="140" t="s">
        <v>73</v>
      </c>
      <c r="F149" s="936">
        <v>17.1</v>
      </c>
      <c r="G149" s="936">
        <v>5.88</v>
      </c>
      <c r="H149" s="936">
        <v>9.6</v>
      </c>
      <c r="I149" s="936">
        <v>1.62</v>
      </c>
      <c r="J149" s="565">
        <v>2733.85</v>
      </c>
      <c r="K149" s="936">
        <v>1.62</v>
      </c>
      <c r="L149" s="565">
        <v>2733.85</v>
      </c>
      <c r="M149" s="544">
        <f t="shared" si="19"/>
        <v>0.0005925709164731058</v>
      </c>
      <c r="N149" s="543">
        <v>256</v>
      </c>
      <c r="O149" s="543">
        <f t="shared" si="20"/>
        <v>0.15169815461711508</v>
      </c>
      <c r="P149" s="543">
        <f t="shared" si="21"/>
        <v>35.55425498838635</v>
      </c>
      <c r="Q149" s="545">
        <f t="shared" si="22"/>
        <v>9.101889277026904</v>
      </c>
      <c r="S149" s="97"/>
      <c r="T149" s="97"/>
    </row>
    <row r="150" spans="1:20" ht="12.75">
      <c r="A150" s="376"/>
      <c r="B150" s="143">
        <v>5</v>
      </c>
      <c r="C150" s="564" t="s">
        <v>401</v>
      </c>
      <c r="D150" s="565">
        <v>40</v>
      </c>
      <c r="E150" s="140" t="s">
        <v>73</v>
      </c>
      <c r="F150" s="936">
        <v>15.013</v>
      </c>
      <c r="G150" s="936">
        <v>6.21</v>
      </c>
      <c r="H150" s="936">
        <v>6.4</v>
      </c>
      <c r="I150" s="936">
        <v>2.4</v>
      </c>
      <c r="J150" s="565">
        <v>2494.75</v>
      </c>
      <c r="K150" s="936">
        <v>2.4</v>
      </c>
      <c r="L150" s="565">
        <v>2494.75</v>
      </c>
      <c r="M150" s="544">
        <f t="shared" si="19"/>
        <v>0.0009620202425092695</v>
      </c>
      <c r="N150" s="543">
        <v>256</v>
      </c>
      <c r="O150" s="543">
        <f t="shared" si="20"/>
        <v>0.24627718208237298</v>
      </c>
      <c r="P150" s="543">
        <f t="shared" si="21"/>
        <v>57.72121455055617</v>
      </c>
      <c r="Q150" s="545">
        <f t="shared" si="22"/>
        <v>14.77663092494238</v>
      </c>
      <c r="S150" s="97"/>
      <c r="T150" s="97"/>
    </row>
    <row r="151" spans="1:20" s="110" customFormat="1" ht="12.75" customHeight="1">
      <c r="A151" s="376"/>
      <c r="B151" s="144">
        <v>6</v>
      </c>
      <c r="C151" s="564" t="s">
        <v>402</v>
      </c>
      <c r="D151" s="565">
        <v>45</v>
      </c>
      <c r="E151" s="140" t="s">
        <v>73</v>
      </c>
      <c r="F151" s="936">
        <v>15.207</v>
      </c>
      <c r="G151" s="936">
        <v>5.097</v>
      </c>
      <c r="H151" s="936">
        <v>7.2</v>
      </c>
      <c r="I151" s="936">
        <v>2.91</v>
      </c>
      <c r="J151" s="565">
        <v>2333.03</v>
      </c>
      <c r="K151" s="936">
        <v>2.91</v>
      </c>
      <c r="L151" s="565">
        <v>2333.03</v>
      </c>
      <c r="M151" s="544">
        <f t="shared" si="19"/>
        <v>0.0012473050067937403</v>
      </c>
      <c r="N151" s="543">
        <v>256</v>
      </c>
      <c r="O151" s="543">
        <f t="shared" si="20"/>
        <v>0.3193100817391975</v>
      </c>
      <c r="P151" s="543">
        <f t="shared" si="21"/>
        <v>74.83830040762442</v>
      </c>
      <c r="Q151" s="545">
        <f t="shared" si="22"/>
        <v>19.15860490435185</v>
      </c>
      <c r="S151" s="97"/>
      <c r="T151" s="97"/>
    </row>
    <row r="152" spans="1:20" ht="12.75">
      <c r="A152" s="376"/>
      <c r="B152" s="143">
        <v>7</v>
      </c>
      <c r="C152" s="564" t="s">
        <v>403</v>
      </c>
      <c r="D152" s="565">
        <v>45</v>
      </c>
      <c r="E152" s="140" t="s">
        <v>73</v>
      </c>
      <c r="F152" s="936">
        <v>14.4</v>
      </c>
      <c r="G152" s="936">
        <v>4.14</v>
      </c>
      <c r="H152" s="936">
        <v>7.2</v>
      </c>
      <c r="I152" s="936">
        <v>3.06</v>
      </c>
      <c r="J152" s="565">
        <v>2313.86</v>
      </c>
      <c r="K152" s="936">
        <v>3.06</v>
      </c>
      <c r="L152" s="565">
        <v>2313.86</v>
      </c>
      <c r="M152" s="544">
        <f t="shared" si="19"/>
        <v>0.0013224654905655484</v>
      </c>
      <c r="N152" s="543">
        <v>256</v>
      </c>
      <c r="O152" s="543">
        <f t="shared" si="20"/>
        <v>0.3385511655847804</v>
      </c>
      <c r="P152" s="543">
        <f t="shared" si="21"/>
        <v>79.3479294339329</v>
      </c>
      <c r="Q152" s="545">
        <f t="shared" si="22"/>
        <v>20.313069935086823</v>
      </c>
      <c r="S152" s="97"/>
      <c r="T152" s="97"/>
    </row>
    <row r="153" spans="1:20" s="110" customFormat="1" ht="12.75">
      <c r="A153" s="376"/>
      <c r="B153" s="144">
        <v>8</v>
      </c>
      <c r="C153" s="564" t="s">
        <v>404</v>
      </c>
      <c r="D153" s="565">
        <v>60</v>
      </c>
      <c r="E153" s="140" t="s">
        <v>73</v>
      </c>
      <c r="F153" s="936">
        <v>18.29</v>
      </c>
      <c r="G153" s="936">
        <v>4.45</v>
      </c>
      <c r="H153" s="936">
        <v>9.6</v>
      </c>
      <c r="I153" s="936">
        <v>4.24</v>
      </c>
      <c r="J153" s="565">
        <v>2723.9</v>
      </c>
      <c r="K153" s="936">
        <v>4.24</v>
      </c>
      <c r="L153" s="565">
        <v>2723.9</v>
      </c>
      <c r="M153" s="544">
        <f t="shared" si="19"/>
        <v>0.001556591651675906</v>
      </c>
      <c r="N153" s="543">
        <v>256</v>
      </c>
      <c r="O153" s="543">
        <f t="shared" si="20"/>
        <v>0.3984874628290319</v>
      </c>
      <c r="P153" s="543">
        <f t="shared" si="21"/>
        <v>93.39549910055435</v>
      </c>
      <c r="Q153" s="545">
        <f t="shared" si="22"/>
        <v>23.909247769741913</v>
      </c>
      <c r="S153" s="97"/>
      <c r="T153" s="97"/>
    </row>
    <row r="154" spans="1:20" s="110" customFormat="1" ht="12.75">
      <c r="A154" s="376"/>
      <c r="B154" s="144">
        <v>9</v>
      </c>
      <c r="C154" s="564" t="s">
        <v>405</v>
      </c>
      <c r="D154" s="565">
        <v>103</v>
      </c>
      <c r="E154" s="140" t="s">
        <v>73</v>
      </c>
      <c r="F154" s="936">
        <v>36.75</v>
      </c>
      <c r="G154" s="936">
        <v>8.01</v>
      </c>
      <c r="H154" s="936">
        <v>16</v>
      </c>
      <c r="I154" s="936">
        <v>12.74</v>
      </c>
      <c r="J154" s="565">
        <v>4437.08</v>
      </c>
      <c r="K154" s="936">
        <v>12.74</v>
      </c>
      <c r="L154" s="565">
        <v>4437.08</v>
      </c>
      <c r="M154" s="544">
        <f t="shared" si="19"/>
        <v>0.0028712576739657616</v>
      </c>
      <c r="N154" s="543">
        <v>256</v>
      </c>
      <c r="O154" s="543">
        <f t="shared" si="20"/>
        <v>0.735041964535235</v>
      </c>
      <c r="P154" s="543">
        <f t="shared" si="21"/>
        <v>172.2754604379457</v>
      </c>
      <c r="Q154" s="545">
        <f t="shared" si="22"/>
        <v>44.1025178721141</v>
      </c>
      <c r="S154" s="97"/>
      <c r="T154" s="97"/>
    </row>
    <row r="155" spans="1:20" s="110" customFormat="1" ht="12.75" customHeight="1" thickBot="1">
      <c r="A155" s="377"/>
      <c r="B155" s="145">
        <v>10</v>
      </c>
      <c r="C155" s="566" t="s">
        <v>155</v>
      </c>
      <c r="D155" s="567">
        <v>88</v>
      </c>
      <c r="E155" s="262">
        <v>2007</v>
      </c>
      <c r="F155" s="937">
        <v>34.514</v>
      </c>
      <c r="G155" s="937">
        <v>0</v>
      </c>
      <c r="H155" s="937">
        <v>0</v>
      </c>
      <c r="I155" s="937">
        <v>34.514</v>
      </c>
      <c r="J155" s="567">
        <v>6315.31</v>
      </c>
      <c r="K155" s="937">
        <v>34.514</v>
      </c>
      <c r="L155" s="567">
        <v>6315.31</v>
      </c>
      <c r="M155" s="568">
        <f t="shared" si="19"/>
        <v>0.005465131561237691</v>
      </c>
      <c r="N155" s="569">
        <v>256</v>
      </c>
      <c r="O155" s="569">
        <f t="shared" si="20"/>
        <v>1.3990736796768488</v>
      </c>
      <c r="P155" s="569">
        <f t="shared" si="21"/>
        <v>327.90789367426146</v>
      </c>
      <c r="Q155" s="570">
        <f t="shared" si="22"/>
        <v>83.94442078061094</v>
      </c>
      <c r="S155" s="97"/>
      <c r="T155" s="97"/>
    </row>
    <row r="156" spans="1:20" ht="12.75">
      <c r="A156" s="378" t="s">
        <v>29</v>
      </c>
      <c r="B156" s="146">
        <v>1</v>
      </c>
      <c r="C156" s="799"/>
      <c r="D156" s="800"/>
      <c r="E156" s="801"/>
      <c r="F156" s="938"/>
      <c r="G156" s="938"/>
      <c r="H156" s="939"/>
      <c r="I156" s="938"/>
      <c r="J156" s="947"/>
      <c r="K156" s="938"/>
      <c r="L156" s="950"/>
      <c r="M156" s="287"/>
      <c r="N156" s="302"/>
      <c r="O156" s="286"/>
      <c r="P156" s="286"/>
      <c r="Q156" s="288"/>
      <c r="S156" s="97"/>
      <c r="T156" s="97"/>
    </row>
    <row r="157" spans="1:20" ht="12.75">
      <c r="A157" s="379"/>
      <c r="B157" s="147">
        <v>2</v>
      </c>
      <c r="C157" s="768"/>
      <c r="D157" s="206"/>
      <c r="E157" s="168"/>
      <c r="F157" s="940"/>
      <c r="G157" s="940"/>
      <c r="H157" s="941"/>
      <c r="I157" s="940"/>
      <c r="J157" s="948"/>
      <c r="K157" s="940"/>
      <c r="L157" s="948"/>
      <c r="M157" s="220"/>
      <c r="N157" s="221"/>
      <c r="O157" s="222"/>
      <c r="P157" s="222"/>
      <c r="Q157" s="223"/>
      <c r="S157" s="97"/>
      <c r="T157" s="97"/>
    </row>
    <row r="158" spans="1:20" ht="12.75">
      <c r="A158" s="379"/>
      <c r="B158" s="147">
        <v>3</v>
      </c>
      <c r="C158" s="768"/>
      <c r="D158" s="206"/>
      <c r="E158" s="168"/>
      <c r="F158" s="940"/>
      <c r="G158" s="940"/>
      <c r="H158" s="941"/>
      <c r="I158" s="940"/>
      <c r="J158" s="948"/>
      <c r="K158" s="940"/>
      <c r="L158" s="948"/>
      <c r="M158" s="220"/>
      <c r="N158" s="221"/>
      <c r="O158" s="222"/>
      <c r="P158" s="222"/>
      <c r="Q158" s="223"/>
      <c r="S158" s="97"/>
      <c r="T158" s="97"/>
    </row>
    <row r="159" spans="1:20" ht="12.75">
      <c r="A159" s="379"/>
      <c r="B159" s="147">
        <v>4</v>
      </c>
      <c r="C159" s="768"/>
      <c r="D159" s="206"/>
      <c r="E159" s="168"/>
      <c r="F159" s="940"/>
      <c r="G159" s="940"/>
      <c r="H159" s="941"/>
      <c r="I159" s="940"/>
      <c r="J159" s="890"/>
      <c r="K159" s="940"/>
      <c r="L159" s="948"/>
      <c r="M159" s="220"/>
      <c r="N159" s="221"/>
      <c r="O159" s="222"/>
      <c r="P159" s="222"/>
      <c r="Q159" s="223"/>
      <c r="S159" s="97"/>
      <c r="T159" s="97"/>
    </row>
    <row r="160" spans="1:20" ht="12.75">
      <c r="A160" s="379"/>
      <c r="B160" s="147">
        <v>5</v>
      </c>
      <c r="C160" s="768"/>
      <c r="D160" s="206"/>
      <c r="E160" s="168"/>
      <c r="F160" s="940"/>
      <c r="G160" s="940"/>
      <c r="H160" s="941"/>
      <c r="I160" s="940"/>
      <c r="J160" s="948"/>
      <c r="K160" s="940"/>
      <c r="L160" s="948"/>
      <c r="M160" s="220"/>
      <c r="N160" s="221"/>
      <c r="O160" s="222"/>
      <c r="P160" s="222"/>
      <c r="Q160" s="223"/>
      <c r="S160" s="97"/>
      <c r="T160" s="97"/>
    </row>
    <row r="161" spans="1:20" s="110" customFormat="1" ht="12.75">
      <c r="A161" s="379"/>
      <c r="B161" s="151">
        <v>6</v>
      </c>
      <c r="C161" s="768"/>
      <c r="D161" s="206"/>
      <c r="E161" s="168"/>
      <c r="F161" s="940"/>
      <c r="G161" s="940"/>
      <c r="H161" s="941"/>
      <c r="I161" s="940"/>
      <c r="J161" s="948"/>
      <c r="K161" s="940"/>
      <c r="L161" s="948"/>
      <c r="M161" s="220"/>
      <c r="N161" s="221"/>
      <c r="O161" s="222"/>
      <c r="P161" s="222"/>
      <c r="Q161" s="223"/>
      <c r="S161" s="111"/>
      <c r="T161" s="111"/>
    </row>
    <row r="162" spans="1:20" ht="12.75">
      <c r="A162" s="379"/>
      <c r="B162" s="147">
        <v>7</v>
      </c>
      <c r="C162" s="768"/>
      <c r="D162" s="206"/>
      <c r="E162" s="168"/>
      <c r="F162" s="940"/>
      <c r="G162" s="940"/>
      <c r="H162" s="941"/>
      <c r="I162" s="940"/>
      <c r="J162" s="948"/>
      <c r="K162" s="940"/>
      <c r="L162" s="948"/>
      <c r="M162" s="220"/>
      <c r="N162" s="221"/>
      <c r="O162" s="222"/>
      <c r="P162" s="222"/>
      <c r="Q162" s="223"/>
      <c r="S162" s="97"/>
      <c r="T162" s="97"/>
    </row>
    <row r="163" spans="1:20" ht="13.5" thickBot="1">
      <c r="A163" s="379"/>
      <c r="B163" s="147">
        <v>8</v>
      </c>
      <c r="C163" s="807"/>
      <c r="D163" s="808"/>
      <c r="E163" s="589"/>
      <c r="F163" s="942"/>
      <c r="G163" s="942"/>
      <c r="H163" s="943"/>
      <c r="I163" s="942"/>
      <c r="J163" s="949"/>
      <c r="K163" s="942"/>
      <c r="L163" s="949"/>
      <c r="M163" s="289"/>
      <c r="N163" s="304"/>
      <c r="O163" s="291"/>
      <c r="P163" s="291"/>
      <c r="Q163" s="223"/>
      <c r="S163" s="97"/>
      <c r="T163" s="97"/>
    </row>
    <row r="164" spans="1:20" ht="12.75">
      <c r="A164" s="528" t="s">
        <v>30</v>
      </c>
      <c r="B164" s="663">
        <v>1</v>
      </c>
      <c r="C164" s="767" t="s">
        <v>159</v>
      </c>
      <c r="D164" s="803">
        <v>47</v>
      </c>
      <c r="E164" s="804" t="s">
        <v>73</v>
      </c>
      <c r="F164" s="944">
        <v>18.78</v>
      </c>
      <c r="G164" s="944">
        <v>2.96</v>
      </c>
      <c r="H164" s="944">
        <v>7.52</v>
      </c>
      <c r="I164" s="944">
        <v>8.3</v>
      </c>
      <c r="J164" s="803" t="s">
        <v>406</v>
      </c>
      <c r="K164" s="944">
        <v>8.22</v>
      </c>
      <c r="L164" s="803">
        <v>1926.39</v>
      </c>
      <c r="M164" s="805">
        <f aca="true" t="shared" si="23" ref="M164:M173">K164/L164</f>
        <v>0.004267048728450625</v>
      </c>
      <c r="N164" s="806">
        <v>256</v>
      </c>
      <c r="O164" s="806">
        <f aca="true" t="shared" si="24" ref="O164:O173">M164*N164</f>
        <v>1.09236447448336</v>
      </c>
      <c r="P164" s="806">
        <f aca="true" t="shared" si="25" ref="P164:P173">M164*60*1000</f>
        <v>256.0229237070375</v>
      </c>
      <c r="Q164" s="630">
        <f aca="true" t="shared" si="26" ref="Q164:Q173">P164*N164/1000</f>
        <v>65.5418684690016</v>
      </c>
      <c r="S164" s="97"/>
      <c r="T164" s="97"/>
    </row>
    <row r="165" spans="1:20" ht="12.75">
      <c r="A165" s="530"/>
      <c r="B165" s="664">
        <v>2</v>
      </c>
      <c r="C165" s="665" t="s">
        <v>153</v>
      </c>
      <c r="D165" s="666">
        <v>48</v>
      </c>
      <c r="E165" s="634" t="s">
        <v>73</v>
      </c>
      <c r="F165" s="945">
        <v>14.54</v>
      </c>
      <c r="G165" s="945">
        <v>4.7</v>
      </c>
      <c r="H165" s="945">
        <v>0.48</v>
      </c>
      <c r="I165" s="945">
        <v>9.32</v>
      </c>
      <c r="J165" s="666" t="s">
        <v>407</v>
      </c>
      <c r="K165" s="945">
        <v>8.5</v>
      </c>
      <c r="L165" s="666">
        <v>1899.06</v>
      </c>
      <c r="M165" s="636">
        <f t="shared" si="23"/>
        <v>0.004475898602466484</v>
      </c>
      <c r="N165" s="635">
        <v>256</v>
      </c>
      <c r="O165" s="635">
        <f t="shared" si="24"/>
        <v>1.1458300422314198</v>
      </c>
      <c r="P165" s="635">
        <f t="shared" si="25"/>
        <v>268.553916147989</v>
      </c>
      <c r="Q165" s="637">
        <f t="shared" si="26"/>
        <v>68.74980253388519</v>
      </c>
      <c r="S165" s="97"/>
      <c r="T165" s="97"/>
    </row>
    <row r="166" spans="1:20" ht="12.75">
      <c r="A166" s="530"/>
      <c r="B166" s="664">
        <v>3</v>
      </c>
      <c r="C166" s="665" t="s">
        <v>408</v>
      </c>
      <c r="D166" s="666">
        <v>70</v>
      </c>
      <c r="E166" s="634" t="s">
        <v>73</v>
      </c>
      <c r="F166" s="945">
        <v>25.53</v>
      </c>
      <c r="G166" s="945">
        <v>8.18</v>
      </c>
      <c r="H166" s="945">
        <v>0.68</v>
      </c>
      <c r="I166" s="945">
        <v>16.67</v>
      </c>
      <c r="J166" s="666">
        <v>3063.74</v>
      </c>
      <c r="K166" s="945">
        <v>16.67</v>
      </c>
      <c r="L166" s="666">
        <v>3063.74</v>
      </c>
      <c r="M166" s="636">
        <f t="shared" si="23"/>
        <v>0.0054410622311292746</v>
      </c>
      <c r="N166" s="635">
        <v>256</v>
      </c>
      <c r="O166" s="635">
        <f t="shared" si="24"/>
        <v>1.3929119311690943</v>
      </c>
      <c r="P166" s="635">
        <f t="shared" si="25"/>
        <v>326.46373386775645</v>
      </c>
      <c r="Q166" s="637">
        <f t="shared" si="26"/>
        <v>83.57471587014565</v>
      </c>
      <c r="S166" s="97"/>
      <c r="T166" s="97"/>
    </row>
    <row r="167" spans="1:20" ht="12.75">
      <c r="A167" s="530"/>
      <c r="B167" s="664">
        <v>4</v>
      </c>
      <c r="C167" s="665" t="s">
        <v>152</v>
      </c>
      <c r="D167" s="666">
        <v>108</v>
      </c>
      <c r="E167" s="634" t="s">
        <v>73</v>
      </c>
      <c r="F167" s="945">
        <v>39.066</v>
      </c>
      <c r="G167" s="945">
        <v>5.17</v>
      </c>
      <c r="H167" s="945">
        <v>17.28</v>
      </c>
      <c r="I167" s="945">
        <v>16.62</v>
      </c>
      <c r="J167" s="666">
        <v>2582.45</v>
      </c>
      <c r="K167" s="945">
        <v>16.62</v>
      </c>
      <c r="L167" s="666">
        <v>2582.45</v>
      </c>
      <c r="M167" s="636">
        <f t="shared" si="23"/>
        <v>0.006435748998044493</v>
      </c>
      <c r="N167" s="635">
        <v>256</v>
      </c>
      <c r="O167" s="635">
        <f t="shared" si="24"/>
        <v>1.6475517434993903</v>
      </c>
      <c r="P167" s="635">
        <f t="shared" si="25"/>
        <v>386.1449398826696</v>
      </c>
      <c r="Q167" s="637">
        <f t="shared" si="26"/>
        <v>98.85310460996341</v>
      </c>
      <c r="S167" s="97"/>
      <c r="T167" s="97"/>
    </row>
    <row r="168" spans="1:20" ht="12.75">
      <c r="A168" s="530"/>
      <c r="B168" s="664">
        <v>5</v>
      </c>
      <c r="C168" s="665" t="s">
        <v>157</v>
      </c>
      <c r="D168" s="666">
        <v>60</v>
      </c>
      <c r="E168" s="634" t="s">
        <v>73</v>
      </c>
      <c r="F168" s="945">
        <v>32.13</v>
      </c>
      <c r="G168" s="945">
        <v>5.98</v>
      </c>
      <c r="H168" s="945">
        <v>9.6</v>
      </c>
      <c r="I168" s="945">
        <v>16.55</v>
      </c>
      <c r="J168" s="666">
        <v>2425.09</v>
      </c>
      <c r="K168" s="945">
        <v>16.55</v>
      </c>
      <c r="L168" s="666">
        <v>2425.09</v>
      </c>
      <c r="M168" s="636">
        <f t="shared" si="23"/>
        <v>0.006824488988037557</v>
      </c>
      <c r="N168" s="635">
        <v>256</v>
      </c>
      <c r="O168" s="635">
        <f t="shared" si="24"/>
        <v>1.7470691809376147</v>
      </c>
      <c r="P168" s="635">
        <f t="shared" si="25"/>
        <v>409.46933928225343</v>
      </c>
      <c r="Q168" s="637">
        <f t="shared" si="26"/>
        <v>104.82415085625688</v>
      </c>
      <c r="S168" s="97"/>
      <c r="T168" s="97"/>
    </row>
    <row r="169" spans="1:20" ht="12.75">
      <c r="A169" s="530"/>
      <c r="B169" s="664">
        <v>6</v>
      </c>
      <c r="C169" s="665" t="s">
        <v>409</v>
      </c>
      <c r="D169" s="666">
        <v>31</v>
      </c>
      <c r="E169" s="634" t="s">
        <v>73</v>
      </c>
      <c r="F169" s="945">
        <v>12.68</v>
      </c>
      <c r="G169" s="945">
        <v>2.75</v>
      </c>
      <c r="H169" s="945">
        <v>0.31</v>
      </c>
      <c r="I169" s="945">
        <v>9.62</v>
      </c>
      <c r="J169" s="666">
        <v>1196.73</v>
      </c>
      <c r="K169" s="945">
        <v>9.62</v>
      </c>
      <c r="L169" s="666">
        <v>1196.73</v>
      </c>
      <c r="M169" s="636">
        <f t="shared" si="23"/>
        <v>0.008038571774752867</v>
      </c>
      <c r="N169" s="635">
        <v>256</v>
      </c>
      <c r="O169" s="635">
        <f t="shared" si="24"/>
        <v>2.057874374336734</v>
      </c>
      <c r="P169" s="635">
        <f t="shared" si="25"/>
        <v>482.31430648517204</v>
      </c>
      <c r="Q169" s="637">
        <f t="shared" si="26"/>
        <v>123.47246246020404</v>
      </c>
      <c r="S169" s="97"/>
      <c r="T169" s="97"/>
    </row>
    <row r="170" spans="1:20" ht="12.75">
      <c r="A170" s="530"/>
      <c r="B170" s="664">
        <v>7</v>
      </c>
      <c r="C170" s="665" t="s">
        <v>156</v>
      </c>
      <c r="D170" s="666">
        <v>106</v>
      </c>
      <c r="E170" s="634" t="s">
        <v>73</v>
      </c>
      <c r="F170" s="945">
        <v>43.54</v>
      </c>
      <c r="G170" s="945">
        <v>5.32</v>
      </c>
      <c r="H170" s="945">
        <v>16.96</v>
      </c>
      <c r="I170" s="945">
        <v>21.26</v>
      </c>
      <c r="J170" s="666" t="s">
        <v>410</v>
      </c>
      <c r="K170" s="945">
        <v>20.94</v>
      </c>
      <c r="L170" s="666">
        <v>2590.66</v>
      </c>
      <c r="M170" s="636">
        <f t="shared" si="23"/>
        <v>0.008082882354303537</v>
      </c>
      <c r="N170" s="635">
        <v>256</v>
      </c>
      <c r="O170" s="635">
        <f t="shared" si="24"/>
        <v>2.0692178827017056</v>
      </c>
      <c r="P170" s="635">
        <f t="shared" si="25"/>
        <v>484.97294125821224</v>
      </c>
      <c r="Q170" s="637">
        <f t="shared" si="26"/>
        <v>124.15307296210233</v>
      </c>
      <c r="S170" s="97"/>
      <c r="T170" s="97"/>
    </row>
    <row r="171" spans="1:20" ht="12.75">
      <c r="A171" s="530"/>
      <c r="B171" s="664">
        <v>8</v>
      </c>
      <c r="C171" s="665" t="s">
        <v>154</v>
      </c>
      <c r="D171" s="666">
        <v>32</v>
      </c>
      <c r="E171" s="634" t="s">
        <v>73</v>
      </c>
      <c r="F171" s="945">
        <v>24.725</v>
      </c>
      <c r="G171" s="945">
        <v>3.02</v>
      </c>
      <c r="H171" s="945">
        <v>4.96</v>
      </c>
      <c r="I171" s="945">
        <v>16.75</v>
      </c>
      <c r="J171" s="666" t="s">
        <v>411</v>
      </c>
      <c r="K171" s="945">
        <v>15.06</v>
      </c>
      <c r="L171" s="666">
        <v>1653.89</v>
      </c>
      <c r="M171" s="636">
        <f t="shared" si="23"/>
        <v>0.009105805101911252</v>
      </c>
      <c r="N171" s="635">
        <v>256</v>
      </c>
      <c r="O171" s="635">
        <f t="shared" si="24"/>
        <v>2.3310861060892805</v>
      </c>
      <c r="P171" s="635">
        <f t="shared" si="25"/>
        <v>546.3483061146751</v>
      </c>
      <c r="Q171" s="637">
        <f t="shared" si="26"/>
        <v>139.86516636535683</v>
      </c>
      <c r="S171" s="97"/>
      <c r="T171" s="97"/>
    </row>
    <row r="172" spans="1:20" ht="12.75">
      <c r="A172" s="530"/>
      <c r="B172" s="664">
        <v>9</v>
      </c>
      <c r="C172" s="665" t="s">
        <v>161</v>
      </c>
      <c r="D172" s="666">
        <v>11</v>
      </c>
      <c r="E172" s="634" t="s">
        <v>73</v>
      </c>
      <c r="F172" s="945">
        <v>4.81</v>
      </c>
      <c r="G172" s="945">
        <v>0</v>
      </c>
      <c r="H172" s="945">
        <v>0</v>
      </c>
      <c r="I172" s="945">
        <v>4.81</v>
      </c>
      <c r="J172" s="666">
        <v>516.55</v>
      </c>
      <c r="K172" s="945">
        <v>4.81</v>
      </c>
      <c r="L172" s="666">
        <v>516.55</v>
      </c>
      <c r="M172" s="636">
        <f t="shared" si="23"/>
        <v>0.009311780079372762</v>
      </c>
      <c r="N172" s="635">
        <v>256</v>
      </c>
      <c r="O172" s="635">
        <f t="shared" si="24"/>
        <v>2.383815700319427</v>
      </c>
      <c r="P172" s="635">
        <f t="shared" si="25"/>
        <v>558.7068047623658</v>
      </c>
      <c r="Q172" s="637">
        <f t="shared" si="26"/>
        <v>143.02894201916564</v>
      </c>
      <c r="S172" s="97"/>
      <c r="T172" s="97"/>
    </row>
    <row r="173" spans="1:20" ht="13.5" thickBot="1">
      <c r="A173" s="534"/>
      <c r="B173" s="667">
        <v>10</v>
      </c>
      <c r="C173" s="668" t="s">
        <v>160</v>
      </c>
      <c r="D173" s="669">
        <v>30</v>
      </c>
      <c r="E173" s="641" t="s">
        <v>73</v>
      </c>
      <c r="F173" s="946">
        <v>13.77</v>
      </c>
      <c r="G173" s="946">
        <v>1.94</v>
      </c>
      <c r="H173" s="946">
        <v>0.3</v>
      </c>
      <c r="I173" s="946">
        <v>11.53</v>
      </c>
      <c r="J173" s="669" t="s">
        <v>412</v>
      </c>
      <c r="K173" s="946">
        <v>10.87</v>
      </c>
      <c r="L173" s="669">
        <v>1096.68</v>
      </c>
      <c r="M173" s="643">
        <f t="shared" si="23"/>
        <v>0.009911733595944121</v>
      </c>
      <c r="N173" s="642">
        <v>256</v>
      </c>
      <c r="O173" s="642">
        <f t="shared" si="24"/>
        <v>2.537403800561695</v>
      </c>
      <c r="P173" s="642">
        <f t="shared" si="25"/>
        <v>594.7040157566472</v>
      </c>
      <c r="Q173" s="644">
        <f t="shared" si="26"/>
        <v>152.2442280337017</v>
      </c>
      <c r="S173" s="97"/>
      <c r="T173" s="97"/>
    </row>
    <row r="174" spans="1:20" ht="12.75">
      <c r="A174" s="816" t="s">
        <v>52</v>
      </c>
      <c r="B174" s="88">
        <v>1</v>
      </c>
      <c r="C174" s="810"/>
      <c r="D174" s="811"/>
      <c r="E174" s="812"/>
      <c r="F174" s="813"/>
      <c r="G174" s="813"/>
      <c r="H174" s="813"/>
      <c r="I174" s="813"/>
      <c r="J174" s="814"/>
      <c r="K174" s="813"/>
      <c r="L174" s="815"/>
      <c r="M174" s="347"/>
      <c r="N174" s="348"/>
      <c r="O174" s="317"/>
      <c r="P174" s="317"/>
      <c r="Q174" s="345"/>
      <c r="S174" s="97"/>
      <c r="T174" s="97"/>
    </row>
    <row r="175" spans="1:20" ht="12.75">
      <c r="A175" s="407"/>
      <c r="B175" s="42">
        <v>2</v>
      </c>
      <c r="C175" s="735"/>
      <c r="D175" s="207"/>
      <c r="E175" s="208"/>
      <c r="F175" s="209"/>
      <c r="G175" s="209"/>
      <c r="H175" s="209"/>
      <c r="I175" s="209"/>
      <c r="J175" s="240"/>
      <c r="K175" s="209"/>
      <c r="L175" s="210"/>
      <c r="M175" s="232"/>
      <c r="N175" s="233"/>
      <c r="O175" s="234"/>
      <c r="P175" s="234"/>
      <c r="Q175" s="235"/>
      <c r="S175" s="97"/>
      <c r="T175" s="97"/>
    </row>
    <row r="176" spans="1:20" ht="12.75">
      <c r="A176" s="407"/>
      <c r="B176" s="42">
        <v>3</v>
      </c>
      <c r="C176" s="735"/>
      <c r="D176" s="207"/>
      <c r="E176" s="208"/>
      <c r="F176" s="209"/>
      <c r="G176" s="209"/>
      <c r="H176" s="209"/>
      <c r="I176" s="209"/>
      <c r="J176" s="240"/>
      <c r="K176" s="209"/>
      <c r="L176" s="210"/>
      <c r="M176" s="232"/>
      <c r="N176" s="233"/>
      <c r="O176" s="234"/>
      <c r="P176" s="234"/>
      <c r="Q176" s="235"/>
      <c r="S176" s="97"/>
      <c r="T176" s="97"/>
    </row>
    <row r="177" spans="1:20" ht="12.75">
      <c r="A177" s="407"/>
      <c r="B177" s="42">
        <v>4</v>
      </c>
      <c r="C177" s="735"/>
      <c r="D177" s="207"/>
      <c r="E177" s="208"/>
      <c r="F177" s="209"/>
      <c r="G177" s="209"/>
      <c r="H177" s="209"/>
      <c r="I177" s="209"/>
      <c r="J177" s="240"/>
      <c r="K177" s="209"/>
      <c r="L177" s="210"/>
      <c r="M177" s="232"/>
      <c r="N177" s="233"/>
      <c r="O177" s="234"/>
      <c r="P177" s="234"/>
      <c r="Q177" s="235"/>
      <c r="S177" s="97"/>
      <c r="T177" s="97"/>
    </row>
    <row r="178" spans="1:20" ht="12.75">
      <c r="A178" s="407"/>
      <c r="B178" s="42">
        <v>5</v>
      </c>
      <c r="C178" s="735"/>
      <c r="D178" s="207"/>
      <c r="E178" s="208"/>
      <c r="F178" s="209"/>
      <c r="G178" s="209"/>
      <c r="H178" s="209"/>
      <c r="I178" s="209"/>
      <c r="J178" s="240"/>
      <c r="K178" s="209"/>
      <c r="L178" s="210"/>
      <c r="M178" s="232"/>
      <c r="N178" s="233"/>
      <c r="O178" s="234"/>
      <c r="P178" s="234"/>
      <c r="Q178" s="235"/>
      <c r="S178" s="97"/>
      <c r="T178" s="97"/>
    </row>
    <row r="179" spans="1:20" ht="12.75">
      <c r="A179" s="407"/>
      <c r="B179" s="42">
        <v>6</v>
      </c>
      <c r="C179" s="735"/>
      <c r="D179" s="207"/>
      <c r="E179" s="208"/>
      <c r="F179" s="209"/>
      <c r="G179" s="209"/>
      <c r="H179" s="209"/>
      <c r="I179" s="209"/>
      <c r="J179" s="240"/>
      <c r="K179" s="209"/>
      <c r="L179" s="210"/>
      <c r="M179" s="232"/>
      <c r="N179" s="233"/>
      <c r="O179" s="234"/>
      <c r="P179" s="234"/>
      <c r="Q179" s="235"/>
      <c r="S179" s="97"/>
      <c r="T179" s="97"/>
    </row>
    <row r="180" spans="1:20" ht="12.75">
      <c r="A180" s="407"/>
      <c r="B180" s="42">
        <v>7</v>
      </c>
      <c r="C180" s="735"/>
      <c r="D180" s="207"/>
      <c r="E180" s="208"/>
      <c r="F180" s="209"/>
      <c r="G180" s="209"/>
      <c r="H180" s="209"/>
      <c r="I180" s="209"/>
      <c r="J180" s="240"/>
      <c r="K180" s="209"/>
      <c r="L180" s="210"/>
      <c r="M180" s="232"/>
      <c r="N180" s="233"/>
      <c r="O180" s="234"/>
      <c r="P180" s="234"/>
      <c r="Q180" s="235"/>
      <c r="S180" s="97"/>
      <c r="T180" s="97"/>
    </row>
    <row r="181" spans="1:20" ht="13.5" thickBot="1">
      <c r="A181" s="408"/>
      <c r="B181" s="47">
        <v>8</v>
      </c>
      <c r="C181" s="809"/>
      <c r="D181" s="224"/>
      <c r="E181" s="225"/>
      <c r="F181" s="226"/>
      <c r="G181" s="226"/>
      <c r="H181" s="226"/>
      <c r="I181" s="226"/>
      <c r="J181" s="241"/>
      <c r="K181" s="226"/>
      <c r="L181" s="227"/>
      <c r="M181" s="236"/>
      <c r="N181" s="237"/>
      <c r="O181" s="238"/>
      <c r="P181" s="238"/>
      <c r="Q181" s="239"/>
      <c r="S181" s="97"/>
      <c r="T181" s="97"/>
    </row>
    <row r="182" spans="19:20" ht="12.75">
      <c r="S182" s="97"/>
      <c r="T182" s="97"/>
    </row>
    <row r="183" spans="19:20" ht="12.75">
      <c r="S183" s="97"/>
      <c r="T183" s="97"/>
    </row>
    <row r="184" spans="1:20" s="17" customFormat="1" ht="20.25" customHeight="1">
      <c r="A184" s="393" t="s">
        <v>36</v>
      </c>
      <c r="B184" s="393"/>
      <c r="C184" s="393"/>
      <c r="D184" s="393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S184" s="97"/>
      <c r="T184" s="97"/>
    </row>
    <row r="185" spans="1:20" s="17" customFormat="1" ht="14.25" customHeight="1" thickBot="1">
      <c r="A185" s="394" t="s">
        <v>413</v>
      </c>
      <c r="B185" s="394"/>
      <c r="C185" s="394"/>
      <c r="D185" s="394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4"/>
      <c r="P185" s="394"/>
      <c r="Q185" s="394"/>
      <c r="S185" s="97"/>
      <c r="T185" s="97"/>
    </row>
    <row r="186" spans="1:20" ht="12.75" customHeight="1">
      <c r="A186" s="395" t="s">
        <v>1</v>
      </c>
      <c r="B186" s="397" t="s">
        <v>0</v>
      </c>
      <c r="C186" s="384" t="s">
        <v>2</v>
      </c>
      <c r="D186" s="384" t="s">
        <v>3</v>
      </c>
      <c r="E186" s="384" t="s">
        <v>13</v>
      </c>
      <c r="F186" s="386" t="s">
        <v>14</v>
      </c>
      <c r="G186" s="387"/>
      <c r="H186" s="387"/>
      <c r="I186" s="388"/>
      <c r="J186" s="384" t="s">
        <v>4</v>
      </c>
      <c r="K186" s="384" t="s">
        <v>15</v>
      </c>
      <c r="L186" s="384" t="s">
        <v>5</v>
      </c>
      <c r="M186" s="384" t="s">
        <v>6</v>
      </c>
      <c r="N186" s="384" t="s">
        <v>16</v>
      </c>
      <c r="O186" s="389" t="s">
        <v>17</v>
      </c>
      <c r="P186" s="389" t="s">
        <v>37</v>
      </c>
      <c r="Q186" s="391" t="s">
        <v>26</v>
      </c>
      <c r="S186" s="97"/>
      <c r="T186" s="97"/>
    </row>
    <row r="187" spans="1:20" s="2" customFormat="1" ht="33.75">
      <c r="A187" s="396"/>
      <c r="B187" s="398"/>
      <c r="C187" s="399"/>
      <c r="D187" s="385"/>
      <c r="E187" s="385"/>
      <c r="F187" s="37" t="s">
        <v>18</v>
      </c>
      <c r="G187" s="37" t="s">
        <v>19</v>
      </c>
      <c r="H187" s="37" t="s">
        <v>20</v>
      </c>
      <c r="I187" s="37" t="s">
        <v>21</v>
      </c>
      <c r="J187" s="385"/>
      <c r="K187" s="385"/>
      <c r="L187" s="385"/>
      <c r="M187" s="385"/>
      <c r="N187" s="385"/>
      <c r="O187" s="390"/>
      <c r="P187" s="390"/>
      <c r="Q187" s="392"/>
      <c r="S187" s="97"/>
      <c r="T187" s="97"/>
    </row>
    <row r="188" spans="1:20" s="3" customFormat="1" ht="17.25" customHeight="1" thickBot="1">
      <c r="A188" s="414"/>
      <c r="B188" s="415"/>
      <c r="C188" s="416"/>
      <c r="D188" s="65" t="s">
        <v>7</v>
      </c>
      <c r="E188" s="65" t="s">
        <v>8</v>
      </c>
      <c r="F188" s="65" t="s">
        <v>9</v>
      </c>
      <c r="G188" s="65" t="s">
        <v>9</v>
      </c>
      <c r="H188" s="65" t="s">
        <v>9</v>
      </c>
      <c r="I188" s="65" t="s">
        <v>9</v>
      </c>
      <c r="J188" s="65" t="s">
        <v>22</v>
      </c>
      <c r="K188" s="65" t="s">
        <v>9</v>
      </c>
      <c r="L188" s="65" t="s">
        <v>22</v>
      </c>
      <c r="M188" s="65" t="s">
        <v>150</v>
      </c>
      <c r="N188" s="65" t="s">
        <v>10</v>
      </c>
      <c r="O188" s="65" t="s">
        <v>24</v>
      </c>
      <c r="P188" s="66" t="s">
        <v>38</v>
      </c>
      <c r="Q188" s="67" t="s">
        <v>28</v>
      </c>
      <c r="S188" s="97"/>
      <c r="T188" s="97"/>
    </row>
    <row r="189" spans="1:20" ht="12.75">
      <c r="A189" s="375" t="s">
        <v>51</v>
      </c>
      <c r="B189" s="31">
        <v>1</v>
      </c>
      <c r="C189" s="69" t="s">
        <v>414</v>
      </c>
      <c r="D189" s="68">
        <v>75</v>
      </c>
      <c r="E189" s="68">
        <v>1976</v>
      </c>
      <c r="F189" s="571">
        <v>20.91</v>
      </c>
      <c r="G189" s="572">
        <v>7.864</v>
      </c>
      <c r="H189" s="572">
        <v>12</v>
      </c>
      <c r="I189" s="572">
        <v>1.046</v>
      </c>
      <c r="J189" s="106">
        <v>3969.47</v>
      </c>
      <c r="K189" s="572">
        <v>1.046</v>
      </c>
      <c r="L189" s="106">
        <v>3969.47</v>
      </c>
      <c r="M189" s="574">
        <f aca="true" t="shared" si="27" ref="M189:M228">K189/L189</f>
        <v>0.0002635112496126687</v>
      </c>
      <c r="N189" s="573">
        <v>267.81</v>
      </c>
      <c r="O189" s="575">
        <f aca="true" t="shared" si="28" ref="O189:O228">M189*N189</f>
        <v>0.0705709477587688</v>
      </c>
      <c r="P189" s="575">
        <f aca="true" t="shared" si="29" ref="P189:P228">M189*60*1000</f>
        <v>15.810674976760124</v>
      </c>
      <c r="Q189" s="576">
        <f aca="true" t="shared" si="30" ref="Q189:Q228">P189*N189/1000</f>
        <v>4.234256865526128</v>
      </c>
      <c r="R189" s="6"/>
      <c r="S189" s="97"/>
      <c r="T189" s="97"/>
    </row>
    <row r="190" spans="1:20" ht="12.75">
      <c r="A190" s="473"/>
      <c r="B190" s="68">
        <v>2</v>
      </c>
      <c r="C190" s="16" t="s">
        <v>415</v>
      </c>
      <c r="D190" s="32">
        <v>30</v>
      </c>
      <c r="E190" s="32">
        <v>1980</v>
      </c>
      <c r="F190" s="577">
        <v>8.385</v>
      </c>
      <c r="G190" s="578">
        <v>2.988</v>
      </c>
      <c r="H190" s="578">
        <v>4.8</v>
      </c>
      <c r="I190" s="578">
        <v>0.597</v>
      </c>
      <c r="J190" s="265">
        <v>1495.88</v>
      </c>
      <c r="K190" s="578">
        <v>0.597</v>
      </c>
      <c r="L190" s="265">
        <v>1495.88</v>
      </c>
      <c r="M190" s="158">
        <f t="shared" si="27"/>
        <v>0.0003990961841858972</v>
      </c>
      <c r="N190" s="573">
        <v>267.81</v>
      </c>
      <c r="O190" s="157">
        <f t="shared" si="28"/>
        <v>0.10688194908682513</v>
      </c>
      <c r="P190" s="575">
        <f t="shared" si="29"/>
        <v>23.945771051153834</v>
      </c>
      <c r="Q190" s="159">
        <f t="shared" si="30"/>
        <v>6.412916945209508</v>
      </c>
      <c r="S190" s="97"/>
      <c r="T190" s="97"/>
    </row>
    <row r="191" spans="1:20" ht="12.75">
      <c r="A191" s="376"/>
      <c r="B191" s="32">
        <v>3</v>
      </c>
      <c r="C191" s="16" t="s">
        <v>416</v>
      </c>
      <c r="D191" s="32">
        <v>45</v>
      </c>
      <c r="E191" s="32">
        <v>1979</v>
      </c>
      <c r="F191" s="577">
        <v>12.918</v>
      </c>
      <c r="G191" s="578">
        <v>4.578</v>
      </c>
      <c r="H191" s="578">
        <v>7.2</v>
      </c>
      <c r="I191" s="578">
        <v>1.14</v>
      </c>
      <c r="J191" s="265">
        <v>2321.07</v>
      </c>
      <c r="K191" s="578">
        <v>1.14</v>
      </c>
      <c r="L191" s="265">
        <v>2321.07</v>
      </c>
      <c r="M191" s="158">
        <f t="shared" si="27"/>
        <v>0.0004911527872920678</v>
      </c>
      <c r="N191" s="573">
        <v>267.81</v>
      </c>
      <c r="O191" s="157">
        <f t="shared" si="28"/>
        <v>0.13153562796468868</v>
      </c>
      <c r="P191" s="575">
        <f t="shared" si="29"/>
        <v>29.46916723752407</v>
      </c>
      <c r="Q191" s="159">
        <f t="shared" si="30"/>
        <v>7.892137677881321</v>
      </c>
      <c r="S191" s="97"/>
      <c r="T191" s="97"/>
    </row>
    <row r="192" spans="1:20" ht="12.75">
      <c r="A192" s="376"/>
      <c r="B192" s="32">
        <v>4</v>
      </c>
      <c r="C192" s="16" t="s">
        <v>417</v>
      </c>
      <c r="D192" s="32">
        <v>45</v>
      </c>
      <c r="E192" s="32">
        <v>1973</v>
      </c>
      <c r="F192" s="577">
        <v>12.579</v>
      </c>
      <c r="G192" s="578">
        <v>3.96</v>
      </c>
      <c r="H192" s="578">
        <v>7.2</v>
      </c>
      <c r="I192" s="578">
        <v>1.419</v>
      </c>
      <c r="J192" s="265">
        <v>2317.74</v>
      </c>
      <c r="K192" s="578">
        <v>1.419</v>
      </c>
      <c r="L192" s="265">
        <v>2317.74</v>
      </c>
      <c r="M192" s="158">
        <f t="shared" si="27"/>
        <v>0.0006122343317196925</v>
      </c>
      <c r="N192" s="573">
        <v>267.81</v>
      </c>
      <c r="O192" s="157">
        <f t="shared" si="28"/>
        <v>0.16396247637785086</v>
      </c>
      <c r="P192" s="575">
        <f t="shared" si="29"/>
        <v>36.73405990318155</v>
      </c>
      <c r="Q192" s="159">
        <f t="shared" si="30"/>
        <v>9.837748582671052</v>
      </c>
      <c r="S192" s="97"/>
      <c r="T192" s="97"/>
    </row>
    <row r="193" spans="1:20" ht="12.75">
      <c r="A193" s="376"/>
      <c r="B193" s="32">
        <v>5</v>
      </c>
      <c r="C193" s="16" t="s">
        <v>418</v>
      </c>
      <c r="D193" s="32">
        <v>22</v>
      </c>
      <c r="E193" s="32">
        <v>1989</v>
      </c>
      <c r="F193" s="577">
        <v>7.23</v>
      </c>
      <c r="G193" s="578">
        <v>2.716</v>
      </c>
      <c r="H193" s="578">
        <v>3.52</v>
      </c>
      <c r="I193" s="578">
        <v>0.994</v>
      </c>
      <c r="J193" s="265">
        <v>1188.82</v>
      </c>
      <c r="K193" s="578">
        <v>0.994</v>
      </c>
      <c r="L193" s="265">
        <v>1188.82</v>
      </c>
      <c r="M193" s="158">
        <f t="shared" si="27"/>
        <v>0.000836123214616174</v>
      </c>
      <c r="N193" s="573">
        <v>267.81</v>
      </c>
      <c r="O193" s="157">
        <f t="shared" si="28"/>
        <v>0.22392215810635757</v>
      </c>
      <c r="P193" s="575">
        <f t="shared" si="29"/>
        <v>50.167392876970446</v>
      </c>
      <c r="Q193" s="159">
        <f t="shared" si="30"/>
        <v>13.435329486381455</v>
      </c>
      <c r="S193" s="97"/>
      <c r="T193" s="97"/>
    </row>
    <row r="194" spans="1:20" ht="12.75">
      <c r="A194" s="376"/>
      <c r="B194" s="32">
        <v>6</v>
      </c>
      <c r="C194" s="16" t="s">
        <v>419</v>
      </c>
      <c r="D194" s="32">
        <v>45</v>
      </c>
      <c r="E194" s="32">
        <v>1976</v>
      </c>
      <c r="F194" s="577">
        <v>13.529</v>
      </c>
      <c r="G194" s="578">
        <v>3.537</v>
      </c>
      <c r="H194" s="578">
        <v>7.2</v>
      </c>
      <c r="I194" s="578">
        <v>2.792</v>
      </c>
      <c r="J194" s="265">
        <v>2309.86</v>
      </c>
      <c r="K194" s="578">
        <v>2.792</v>
      </c>
      <c r="L194" s="265">
        <v>2309.86</v>
      </c>
      <c r="M194" s="158">
        <f t="shared" si="27"/>
        <v>0.0012087312650983174</v>
      </c>
      <c r="N194" s="573">
        <v>267.81</v>
      </c>
      <c r="O194" s="157">
        <f t="shared" si="28"/>
        <v>0.3237103201059804</v>
      </c>
      <c r="P194" s="575">
        <f t="shared" si="29"/>
        <v>72.52387590589905</v>
      </c>
      <c r="Q194" s="159">
        <f t="shared" si="30"/>
        <v>19.422619206358824</v>
      </c>
      <c r="S194" s="97"/>
      <c r="T194" s="97"/>
    </row>
    <row r="195" spans="1:20" ht="12.75">
      <c r="A195" s="376"/>
      <c r="B195" s="32">
        <v>7</v>
      </c>
      <c r="C195" s="16" t="s">
        <v>420</v>
      </c>
      <c r="D195" s="32">
        <v>60</v>
      </c>
      <c r="E195" s="32">
        <v>1970</v>
      </c>
      <c r="F195" s="577">
        <v>18.14</v>
      </c>
      <c r="G195" s="578">
        <v>5.083</v>
      </c>
      <c r="H195" s="578">
        <v>9.6</v>
      </c>
      <c r="I195" s="578">
        <v>3.457</v>
      </c>
      <c r="J195" s="265">
        <v>2723.4</v>
      </c>
      <c r="K195" s="578">
        <v>3.457</v>
      </c>
      <c r="L195" s="265">
        <v>2723.4</v>
      </c>
      <c r="M195" s="158">
        <f t="shared" si="27"/>
        <v>0.0012693691708893294</v>
      </c>
      <c r="N195" s="573">
        <v>267.81</v>
      </c>
      <c r="O195" s="157">
        <f t="shared" si="28"/>
        <v>0.3399497576558713</v>
      </c>
      <c r="P195" s="575">
        <f t="shared" si="29"/>
        <v>76.16215025335975</v>
      </c>
      <c r="Q195" s="159">
        <f t="shared" si="30"/>
        <v>20.396985459352276</v>
      </c>
      <c r="S195" s="97"/>
      <c r="T195" s="97"/>
    </row>
    <row r="196" spans="1:20" ht="12.75">
      <c r="A196" s="376"/>
      <c r="B196" s="32">
        <v>8</v>
      </c>
      <c r="C196" s="16" t="s">
        <v>421</v>
      </c>
      <c r="D196" s="32">
        <v>34</v>
      </c>
      <c r="E196" s="32">
        <v>1983</v>
      </c>
      <c r="F196" s="577">
        <v>11.96</v>
      </c>
      <c r="G196" s="578">
        <v>3.855</v>
      </c>
      <c r="H196" s="578">
        <v>5.12</v>
      </c>
      <c r="I196" s="578">
        <v>2.985</v>
      </c>
      <c r="J196" s="265">
        <v>2162.72</v>
      </c>
      <c r="K196" s="578">
        <v>2.985</v>
      </c>
      <c r="L196" s="265">
        <v>2162.72</v>
      </c>
      <c r="M196" s="158">
        <f t="shared" si="27"/>
        <v>0.0013802064067470594</v>
      </c>
      <c r="N196" s="573">
        <v>267.81</v>
      </c>
      <c r="O196" s="157">
        <f t="shared" si="28"/>
        <v>0.36963307779092996</v>
      </c>
      <c r="P196" s="575">
        <f t="shared" si="29"/>
        <v>82.81238440482356</v>
      </c>
      <c r="Q196" s="159">
        <f t="shared" si="30"/>
        <v>22.1779846674558</v>
      </c>
      <c r="S196" s="97"/>
      <c r="T196" s="97"/>
    </row>
    <row r="197" spans="1:20" ht="12.75">
      <c r="A197" s="376"/>
      <c r="B197" s="32">
        <v>9</v>
      </c>
      <c r="C197" s="16" t="s">
        <v>162</v>
      </c>
      <c r="D197" s="32">
        <v>68</v>
      </c>
      <c r="E197" s="32">
        <v>2008</v>
      </c>
      <c r="F197" s="577">
        <v>12.866</v>
      </c>
      <c r="G197" s="578">
        <v>3.621</v>
      </c>
      <c r="H197" s="578">
        <v>3.541</v>
      </c>
      <c r="I197" s="578">
        <v>5.704</v>
      </c>
      <c r="J197" s="265">
        <v>3892.42</v>
      </c>
      <c r="K197" s="578">
        <v>5.704</v>
      </c>
      <c r="L197" s="265">
        <v>3892.42</v>
      </c>
      <c r="M197" s="158">
        <f t="shared" si="27"/>
        <v>0.0014654122628082271</v>
      </c>
      <c r="N197" s="573">
        <v>267.81</v>
      </c>
      <c r="O197" s="157">
        <f t="shared" si="28"/>
        <v>0.3924520581026713</v>
      </c>
      <c r="P197" s="575">
        <f t="shared" si="29"/>
        <v>87.92473576849363</v>
      </c>
      <c r="Q197" s="159">
        <f t="shared" si="30"/>
        <v>23.547123486160277</v>
      </c>
      <c r="S197" s="97"/>
      <c r="T197" s="97"/>
    </row>
    <row r="198" spans="1:20" ht="13.5" thickBot="1">
      <c r="A198" s="377"/>
      <c r="B198" s="70">
        <v>10</v>
      </c>
      <c r="C198" s="71" t="s">
        <v>163</v>
      </c>
      <c r="D198" s="70">
        <v>51</v>
      </c>
      <c r="E198" s="70">
        <v>2007</v>
      </c>
      <c r="F198" s="579">
        <v>12.464</v>
      </c>
      <c r="G198" s="328">
        <v>6.477</v>
      </c>
      <c r="H198" s="328">
        <v>0.432</v>
      </c>
      <c r="I198" s="328">
        <v>5.555</v>
      </c>
      <c r="J198" s="817">
        <v>2943.57</v>
      </c>
      <c r="K198" s="328">
        <v>5.555</v>
      </c>
      <c r="L198" s="817">
        <v>2943.57</v>
      </c>
      <c r="M198" s="161">
        <f t="shared" si="27"/>
        <v>0.001887164225753082</v>
      </c>
      <c r="N198" s="160">
        <v>267.81</v>
      </c>
      <c r="O198" s="954">
        <f t="shared" si="28"/>
        <v>0.5054014512989329</v>
      </c>
      <c r="P198" s="160">
        <f t="shared" si="29"/>
        <v>113.22985354518492</v>
      </c>
      <c r="Q198" s="162">
        <f t="shared" si="30"/>
        <v>30.324087077935975</v>
      </c>
      <c r="S198" s="97"/>
      <c r="T198" s="97"/>
    </row>
    <row r="199" spans="1:20" ht="12.75">
      <c r="A199" s="421" t="s">
        <v>46</v>
      </c>
      <c r="B199" s="34">
        <v>1</v>
      </c>
      <c r="C199" s="35" t="s">
        <v>164</v>
      </c>
      <c r="D199" s="36">
        <v>100</v>
      </c>
      <c r="E199" s="36">
        <v>1969</v>
      </c>
      <c r="F199" s="607">
        <v>35.09</v>
      </c>
      <c r="G199" s="608">
        <v>9.236</v>
      </c>
      <c r="H199" s="608">
        <v>16</v>
      </c>
      <c r="I199" s="609">
        <v>9.854</v>
      </c>
      <c r="J199" s="951">
        <v>4628.7</v>
      </c>
      <c r="K199" s="608">
        <v>9.854</v>
      </c>
      <c r="L199" s="951">
        <v>4628.7</v>
      </c>
      <c r="M199" s="184">
        <f t="shared" si="27"/>
        <v>0.002128891481409467</v>
      </c>
      <c r="N199" s="185">
        <v>267.81</v>
      </c>
      <c r="O199" s="185">
        <f t="shared" si="28"/>
        <v>0.5701384276362693</v>
      </c>
      <c r="P199" s="185">
        <f t="shared" si="29"/>
        <v>127.733488884568</v>
      </c>
      <c r="Q199" s="259">
        <f t="shared" si="30"/>
        <v>34.20830565817616</v>
      </c>
      <c r="S199" s="97"/>
      <c r="T199" s="97"/>
    </row>
    <row r="200" spans="1:20" ht="12.75">
      <c r="A200" s="379"/>
      <c r="B200" s="36">
        <v>2</v>
      </c>
      <c r="C200" s="35" t="s">
        <v>422</v>
      </c>
      <c r="D200" s="36">
        <v>75</v>
      </c>
      <c r="E200" s="36">
        <v>1974</v>
      </c>
      <c r="F200" s="611">
        <v>27.629</v>
      </c>
      <c r="G200" s="609">
        <v>7.075</v>
      </c>
      <c r="H200" s="609">
        <v>12</v>
      </c>
      <c r="I200" s="609">
        <v>8.554</v>
      </c>
      <c r="J200" s="135">
        <v>3958.59</v>
      </c>
      <c r="K200" s="609">
        <v>8.554</v>
      </c>
      <c r="L200" s="135">
        <v>3958.59</v>
      </c>
      <c r="M200" s="184">
        <f t="shared" si="27"/>
        <v>0.002160870410929144</v>
      </c>
      <c r="N200" s="185">
        <v>267.81</v>
      </c>
      <c r="O200" s="185">
        <f t="shared" si="28"/>
        <v>0.5787027047509341</v>
      </c>
      <c r="P200" s="185">
        <f t="shared" si="29"/>
        <v>129.65222465574863</v>
      </c>
      <c r="Q200" s="259">
        <f t="shared" si="30"/>
        <v>34.72216228505604</v>
      </c>
      <c r="S200" s="97"/>
      <c r="T200" s="97"/>
    </row>
    <row r="201" spans="1:20" ht="12.75">
      <c r="A201" s="379"/>
      <c r="B201" s="36">
        <v>3</v>
      </c>
      <c r="C201" s="35" t="s">
        <v>423</v>
      </c>
      <c r="D201" s="36">
        <v>100</v>
      </c>
      <c r="E201" s="36">
        <v>1969</v>
      </c>
      <c r="F201" s="611">
        <v>33.29</v>
      </c>
      <c r="G201" s="609">
        <v>6.937</v>
      </c>
      <c r="H201" s="609">
        <v>15.92</v>
      </c>
      <c r="I201" s="609">
        <v>10.433</v>
      </c>
      <c r="J201" s="135">
        <v>4440.95</v>
      </c>
      <c r="K201" s="609">
        <v>10.433</v>
      </c>
      <c r="L201" s="135">
        <v>4440.95</v>
      </c>
      <c r="M201" s="164">
        <f t="shared" si="27"/>
        <v>0.0023492721152005764</v>
      </c>
      <c r="N201" s="185">
        <v>267.81</v>
      </c>
      <c r="O201" s="185">
        <f t="shared" si="28"/>
        <v>0.6291585651718664</v>
      </c>
      <c r="P201" s="185">
        <f t="shared" si="29"/>
        <v>140.95632691203457</v>
      </c>
      <c r="Q201" s="251">
        <f t="shared" si="30"/>
        <v>37.74951391031198</v>
      </c>
      <c r="S201" s="97"/>
      <c r="T201" s="97"/>
    </row>
    <row r="202" spans="1:20" ht="12.75">
      <c r="A202" s="379"/>
      <c r="B202" s="36">
        <v>4</v>
      </c>
      <c r="C202" s="35" t="s">
        <v>424</v>
      </c>
      <c r="D202" s="36">
        <v>46</v>
      </c>
      <c r="E202" s="36">
        <v>1981</v>
      </c>
      <c r="F202" s="611">
        <v>16.587</v>
      </c>
      <c r="G202" s="609">
        <v>3.763</v>
      </c>
      <c r="H202" s="609">
        <v>7.2</v>
      </c>
      <c r="I202" s="609">
        <v>5.624</v>
      </c>
      <c r="J202" s="135">
        <v>2339.19</v>
      </c>
      <c r="K202" s="609">
        <v>5.624</v>
      </c>
      <c r="L202" s="135">
        <v>2339.2</v>
      </c>
      <c r="M202" s="164">
        <f t="shared" si="27"/>
        <v>0.0024042407660738716</v>
      </c>
      <c r="N202" s="185">
        <v>267.81</v>
      </c>
      <c r="O202" s="163">
        <f t="shared" si="28"/>
        <v>0.6438797195622435</v>
      </c>
      <c r="P202" s="185">
        <f t="shared" si="29"/>
        <v>144.2544459644323</v>
      </c>
      <c r="Q202" s="251">
        <f t="shared" si="30"/>
        <v>38.632783173734616</v>
      </c>
      <c r="S202" s="97"/>
      <c r="T202" s="97"/>
    </row>
    <row r="203" spans="1:20" ht="12.75">
      <c r="A203" s="379"/>
      <c r="B203" s="36">
        <v>5</v>
      </c>
      <c r="C203" s="35" t="s">
        <v>425</v>
      </c>
      <c r="D203" s="36">
        <v>60</v>
      </c>
      <c r="E203" s="36">
        <v>1982</v>
      </c>
      <c r="F203" s="611">
        <v>24.9</v>
      </c>
      <c r="G203" s="609">
        <v>6.376</v>
      </c>
      <c r="H203" s="609">
        <v>9.6</v>
      </c>
      <c r="I203" s="609">
        <v>8.924</v>
      </c>
      <c r="J203" s="135">
        <v>3623.16</v>
      </c>
      <c r="K203" s="609">
        <v>8.924</v>
      </c>
      <c r="L203" s="135">
        <v>3623.16</v>
      </c>
      <c r="M203" s="164">
        <f t="shared" si="27"/>
        <v>0.0024630433102595523</v>
      </c>
      <c r="N203" s="185">
        <v>267.81</v>
      </c>
      <c r="O203" s="163">
        <f t="shared" si="28"/>
        <v>0.6596276289206107</v>
      </c>
      <c r="P203" s="185">
        <f t="shared" si="29"/>
        <v>147.78259861557314</v>
      </c>
      <c r="Q203" s="251">
        <f t="shared" si="30"/>
        <v>39.57765773523664</v>
      </c>
      <c r="S203" s="97"/>
      <c r="T203" s="97"/>
    </row>
    <row r="204" spans="1:20" ht="12.75">
      <c r="A204" s="379"/>
      <c r="B204" s="36">
        <v>6</v>
      </c>
      <c r="C204" s="35" t="s">
        <v>426</v>
      </c>
      <c r="D204" s="36">
        <v>75</v>
      </c>
      <c r="E204" s="36">
        <v>1973</v>
      </c>
      <c r="F204" s="611">
        <v>27.962</v>
      </c>
      <c r="G204" s="609">
        <v>6.052</v>
      </c>
      <c r="H204" s="609">
        <v>12</v>
      </c>
      <c r="I204" s="609">
        <v>9.91</v>
      </c>
      <c r="J204" s="135">
        <v>3986.53</v>
      </c>
      <c r="K204" s="609">
        <v>9.91</v>
      </c>
      <c r="L204" s="135">
        <v>3986.53</v>
      </c>
      <c r="M204" s="164">
        <f t="shared" si="27"/>
        <v>0.0024858711711689113</v>
      </c>
      <c r="N204" s="185">
        <v>267.81</v>
      </c>
      <c r="O204" s="163">
        <f t="shared" si="28"/>
        <v>0.6657411583507461</v>
      </c>
      <c r="P204" s="185">
        <f t="shared" si="29"/>
        <v>149.15227027013466</v>
      </c>
      <c r="Q204" s="251">
        <f t="shared" si="30"/>
        <v>39.944469501044765</v>
      </c>
      <c r="S204" s="97"/>
      <c r="T204" s="97"/>
    </row>
    <row r="205" spans="1:20" ht="12.75">
      <c r="A205" s="379"/>
      <c r="B205" s="36">
        <v>7</v>
      </c>
      <c r="C205" s="35" t="s">
        <v>427</v>
      </c>
      <c r="D205" s="36">
        <v>120</v>
      </c>
      <c r="E205" s="36">
        <v>1972</v>
      </c>
      <c r="F205" s="611">
        <v>44.405</v>
      </c>
      <c r="G205" s="609">
        <v>10.654</v>
      </c>
      <c r="H205" s="609">
        <v>19.04</v>
      </c>
      <c r="I205" s="609">
        <v>14.711</v>
      </c>
      <c r="J205" s="135">
        <v>5746.89</v>
      </c>
      <c r="K205" s="609">
        <v>14.711</v>
      </c>
      <c r="L205" s="135">
        <v>5746.89</v>
      </c>
      <c r="M205" s="164">
        <f t="shared" si="27"/>
        <v>0.002559819310966453</v>
      </c>
      <c r="N205" s="185">
        <v>267.81</v>
      </c>
      <c r="O205" s="163">
        <f t="shared" si="28"/>
        <v>0.6855452096699258</v>
      </c>
      <c r="P205" s="185">
        <f t="shared" si="29"/>
        <v>153.58915865798718</v>
      </c>
      <c r="Q205" s="251">
        <f t="shared" si="30"/>
        <v>41.132712580195545</v>
      </c>
      <c r="S205" s="97"/>
      <c r="T205" s="97"/>
    </row>
    <row r="206" spans="1:20" ht="12.75">
      <c r="A206" s="379"/>
      <c r="B206" s="36">
        <v>8</v>
      </c>
      <c r="C206" s="35" t="s">
        <v>428</v>
      </c>
      <c r="D206" s="36">
        <v>25</v>
      </c>
      <c r="E206" s="36">
        <v>1996</v>
      </c>
      <c r="F206" s="611">
        <v>11.06</v>
      </c>
      <c r="G206" s="609">
        <v>3.09</v>
      </c>
      <c r="H206" s="609">
        <v>3.92</v>
      </c>
      <c r="I206" s="609">
        <v>4.05</v>
      </c>
      <c r="J206" s="135">
        <v>1545.6</v>
      </c>
      <c r="K206" s="609">
        <v>4.05</v>
      </c>
      <c r="L206" s="135">
        <v>1545.6</v>
      </c>
      <c r="M206" s="164">
        <f t="shared" si="27"/>
        <v>0.0026203416149068325</v>
      </c>
      <c r="N206" s="185">
        <v>267.81</v>
      </c>
      <c r="O206" s="163">
        <f t="shared" si="28"/>
        <v>0.7017536878881988</v>
      </c>
      <c r="P206" s="185">
        <f t="shared" si="29"/>
        <v>157.22049689440996</v>
      </c>
      <c r="Q206" s="251">
        <f t="shared" si="30"/>
        <v>42.10522127329193</v>
      </c>
      <c r="S206" s="97"/>
      <c r="T206" s="97"/>
    </row>
    <row r="207" spans="1:20" ht="12.75">
      <c r="A207" s="379"/>
      <c r="B207" s="36">
        <v>9</v>
      </c>
      <c r="C207" s="35" t="s">
        <v>429</v>
      </c>
      <c r="D207" s="36">
        <v>75</v>
      </c>
      <c r="E207" s="36">
        <v>1978</v>
      </c>
      <c r="F207" s="611">
        <v>31.139</v>
      </c>
      <c r="G207" s="609">
        <v>8.695</v>
      </c>
      <c r="H207" s="609">
        <v>11.84</v>
      </c>
      <c r="I207" s="609">
        <v>10.604</v>
      </c>
      <c r="J207" s="135">
        <v>3970.77</v>
      </c>
      <c r="K207" s="609">
        <v>10.604</v>
      </c>
      <c r="L207" s="135">
        <v>3970.77</v>
      </c>
      <c r="M207" s="164">
        <f t="shared" si="27"/>
        <v>0.0026705147868045743</v>
      </c>
      <c r="N207" s="185">
        <v>267.81</v>
      </c>
      <c r="O207" s="163">
        <f t="shared" si="28"/>
        <v>0.715190565054133</v>
      </c>
      <c r="P207" s="185">
        <f t="shared" si="29"/>
        <v>160.23088720827448</v>
      </c>
      <c r="Q207" s="251">
        <f t="shared" si="30"/>
        <v>42.91143390324799</v>
      </c>
      <c r="S207" s="97"/>
      <c r="T207" s="97"/>
    </row>
    <row r="208" spans="1:20" ht="13.5" customHeight="1" thickBot="1">
      <c r="A208" s="380"/>
      <c r="B208" s="39">
        <v>10</v>
      </c>
      <c r="C208" s="91" t="s">
        <v>430</v>
      </c>
      <c r="D208" s="39">
        <v>54</v>
      </c>
      <c r="E208" s="39">
        <v>1980</v>
      </c>
      <c r="F208" s="612">
        <v>22.922</v>
      </c>
      <c r="G208" s="613">
        <v>6.211</v>
      </c>
      <c r="H208" s="613">
        <v>8.64</v>
      </c>
      <c r="I208" s="613">
        <v>8.071</v>
      </c>
      <c r="J208" s="276">
        <v>2956.41</v>
      </c>
      <c r="K208" s="613">
        <v>8.071</v>
      </c>
      <c r="L208" s="276">
        <v>2956.41</v>
      </c>
      <c r="M208" s="332">
        <f t="shared" si="27"/>
        <v>0.0027300002367736547</v>
      </c>
      <c r="N208" s="260">
        <v>267.81</v>
      </c>
      <c r="O208" s="260">
        <f t="shared" si="28"/>
        <v>0.7311213634103525</v>
      </c>
      <c r="P208" s="260">
        <f t="shared" si="29"/>
        <v>163.8000142064193</v>
      </c>
      <c r="Q208" s="261">
        <f t="shared" si="30"/>
        <v>43.86728180462116</v>
      </c>
      <c r="S208" s="97"/>
      <c r="T208" s="97"/>
    </row>
    <row r="209" spans="1:20" ht="11.25" customHeight="1">
      <c r="A209" s="670" t="s">
        <v>47</v>
      </c>
      <c r="B209" s="366">
        <v>1</v>
      </c>
      <c r="C209" s="627" t="s">
        <v>431</v>
      </c>
      <c r="D209" s="366">
        <v>61</v>
      </c>
      <c r="E209" s="366">
        <v>1966</v>
      </c>
      <c r="F209" s="671">
        <v>26.192</v>
      </c>
      <c r="G209" s="671">
        <v>4.13355</v>
      </c>
      <c r="H209" s="671">
        <v>9.6</v>
      </c>
      <c r="I209" s="672">
        <f aca="true" t="shared" si="31" ref="I209:I227">F209-G209-H209</f>
        <v>12.458450000000001</v>
      </c>
      <c r="J209" s="952">
        <v>2700.39</v>
      </c>
      <c r="K209" s="671">
        <v>12.458</v>
      </c>
      <c r="L209" s="918">
        <v>2700.39</v>
      </c>
      <c r="M209" s="675">
        <f t="shared" si="27"/>
        <v>0.0046134076929628684</v>
      </c>
      <c r="N209" s="674">
        <v>267.81</v>
      </c>
      <c r="O209" s="674">
        <f t="shared" si="28"/>
        <v>1.2355167142523857</v>
      </c>
      <c r="P209" s="674">
        <f t="shared" si="29"/>
        <v>276.8044615777721</v>
      </c>
      <c r="Q209" s="676">
        <f t="shared" si="30"/>
        <v>74.13100285514315</v>
      </c>
      <c r="S209" s="97"/>
      <c r="T209" s="97"/>
    </row>
    <row r="210" spans="1:20" ht="12.75">
      <c r="A210" s="530"/>
      <c r="B210" s="367">
        <v>2</v>
      </c>
      <c r="C210" s="633" t="s">
        <v>432</v>
      </c>
      <c r="D210" s="367">
        <v>100</v>
      </c>
      <c r="E210" s="367">
        <v>1966</v>
      </c>
      <c r="F210" s="677">
        <v>44.193</v>
      </c>
      <c r="G210" s="677">
        <v>6.601</v>
      </c>
      <c r="H210" s="677">
        <v>16</v>
      </c>
      <c r="I210" s="677">
        <f t="shared" si="31"/>
        <v>21.592</v>
      </c>
      <c r="J210" s="652">
        <v>4390.61</v>
      </c>
      <c r="K210" s="677">
        <v>21.592</v>
      </c>
      <c r="L210" s="652">
        <v>4390.61</v>
      </c>
      <c r="M210" s="679">
        <f t="shared" si="27"/>
        <v>0.004917767690594246</v>
      </c>
      <c r="N210" s="674">
        <v>267.81</v>
      </c>
      <c r="O210" s="678">
        <f t="shared" si="28"/>
        <v>1.317027365218045</v>
      </c>
      <c r="P210" s="674">
        <f t="shared" si="29"/>
        <v>295.0660614356547</v>
      </c>
      <c r="Q210" s="680">
        <f t="shared" si="30"/>
        <v>79.02164191308269</v>
      </c>
      <c r="S210" s="97"/>
      <c r="T210" s="97"/>
    </row>
    <row r="211" spans="1:20" ht="12.75">
      <c r="A211" s="530"/>
      <c r="B211" s="367">
        <v>3</v>
      </c>
      <c r="C211" s="633" t="s">
        <v>433</v>
      </c>
      <c r="D211" s="367">
        <v>79</v>
      </c>
      <c r="E211" s="367">
        <v>1969</v>
      </c>
      <c r="F211" s="677">
        <v>40.868</v>
      </c>
      <c r="G211" s="677">
        <v>6.54</v>
      </c>
      <c r="H211" s="677">
        <v>12.8</v>
      </c>
      <c r="I211" s="677">
        <f t="shared" si="31"/>
        <v>21.528000000000002</v>
      </c>
      <c r="J211" s="652">
        <v>3876.23</v>
      </c>
      <c r="K211" s="677">
        <v>21.528</v>
      </c>
      <c r="L211" s="652">
        <v>3876.23</v>
      </c>
      <c r="M211" s="679">
        <f t="shared" si="27"/>
        <v>0.005553850003740748</v>
      </c>
      <c r="N211" s="674">
        <v>267.81</v>
      </c>
      <c r="O211" s="678">
        <f t="shared" si="28"/>
        <v>1.4873765695018097</v>
      </c>
      <c r="P211" s="674">
        <f t="shared" si="29"/>
        <v>333.2310002244449</v>
      </c>
      <c r="Q211" s="680">
        <f t="shared" si="30"/>
        <v>89.2425941701086</v>
      </c>
      <c r="S211" s="97"/>
      <c r="T211" s="97"/>
    </row>
    <row r="212" spans="1:20" ht="12.75">
      <c r="A212" s="530"/>
      <c r="B212" s="367">
        <v>4</v>
      </c>
      <c r="C212" s="633" t="s">
        <v>165</v>
      </c>
      <c r="D212" s="367">
        <v>12</v>
      </c>
      <c r="E212" s="367">
        <v>1954</v>
      </c>
      <c r="F212" s="677">
        <v>6.408</v>
      </c>
      <c r="G212" s="677">
        <v>1.2189</v>
      </c>
      <c r="H212" s="677">
        <v>1.912</v>
      </c>
      <c r="I212" s="677">
        <f t="shared" si="31"/>
        <v>3.2771</v>
      </c>
      <c r="J212" s="652">
        <v>572.25</v>
      </c>
      <c r="K212" s="677">
        <v>3.277</v>
      </c>
      <c r="L212" s="652">
        <v>572.25</v>
      </c>
      <c r="M212" s="679">
        <f t="shared" si="27"/>
        <v>0.005726518130187855</v>
      </c>
      <c r="N212" s="674">
        <v>267.81</v>
      </c>
      <c r="O212" s="678">
        <f t="shared" si="28"/>
        <v>1.5336188204456096</v>
      </c>
      <c r="P212" s="674">
        <f t="shared" si="29"/>
        <v>343.5910878112713</v>
      </c>
      <c r="Q212" s="680">
        <f t="shared" si="30"/>
        <v>92.01712922673656</v>
      </c>
      <c r="S212" s="97"/>
      <c r="T212" s="97"/>
    </row>
    <row r="213" spans="1:20" ht="12.75">
      <c r="A213" s="530"/>
      <c r="B213" s="367">
        <v>5</v>
      </c>
      <c r="C213" s="633" t="s">
        <v>434</v>
      </c>
      <c r="D213" s="367">
        <v>45</v>
      </c>
      <c r="E213" s="367">
        <v>1960</v>
      </c>
      <c r="F213" s="677">
        <v>17.661</v>
      </c>
      <c r="G213" s="677">
        <v>5.555</v>
      </c>
      <c r="H213" s="677">
        <v>0.44</v>
      </c>
      <c r="I213" s="677">
        <f t="shared" si="31"/>
        <v>11.666000000000002</v>
      </c>
      <c r="J213" s="652">
        <v>1919.38</v>
      </c>
      <c r="K213" s="677">
        <v>11.666</v>
      </c>
      <c r="L213" s="652">
        <v>1919.38</v>
      </c>
      <c r="M213" s="679">
        <f t="shared" si="27"/>
        <v>0.006078004355573154</v>
      </c>
      <c r="N213" s="674">
        <v>267.81</v>
      </c>
      <c r="O213" s="678">
        <f t="shared" si="28"/>
        <v>1.6277503464660463</v>
      </c>
      <c r="P213" s="674">
        <f t="shared" si="29"/>
        <v>364.68026133438923</v>
      </c>
      <c r="Q213" s="680">
        <f t="shared" si="30"/>
        <v>97.66502078796279</v>
      </c>
      <c r="S213" s="97"/>
      <c r="T213" s="97"/>
    </row>
    <row r="214" spans="1:20" ht="12.75">
      <c r="A214" s="530"/>
      <c r="B214" s="367">
        <v>6</v>
      </c>
      <c r="C214" s="633" t="s">
        <v>435</v>
      </c>
      <c r="D214" s="367">
        <v>60</v>
      </c>
      <c r="E214" s="367">
        <v>1965</v>
      </c>
      <c r="F214" s="677">
        <v>30.984</v>
      </c>
      <c r="G214" s="677">
        <v>4.541</v>
      </c>
      <c r="H214" s="677">
        <v>9.6</v>
      </c>
      <c r="I214" s="677">
        <f t="shared" si="31"/>
        <v>16.843000000000004</v>
      </c>
      <c r="J214" s="652">
        <v>2722.9</v>
      </c>
      <c r="K214" s="677">
        <v>16.843</v>
      </c>
      <c r="L214" s="652">
        <v>2722.9</v>
      </c>
      <c r="M214" s="679">
        <f t="shared" si="27"/>
        <v>0.0061856843806236</v>
      </c>
      <c r="N214" s="674">
        <v>267.81</v>
      </c>
      <c r="O214" s="678">
        <f t="shared" si="28"/>
        <v>1.6565881339748063</v>
      </c>
      <c r="P214" s="674">
        <f t="shared" si="29"/>
        <v>371.141062837416</v>
      </c>
      <c r="Q214" s="680">
        <f t="shared" si="30"/>
        <v>99.39528803848837</v>
      </c>
      <c r="S214" s="97"/>
      <c r="T214" s="97"/>
    </row>
    <row r="215" spans="1:20" ht="12.75">
      <c r="A215" s="530"/>
      <c r="B215" s="367">
        <v>7</v>
      </c>
      <c r="C215" s="633" t="s">
        <v>436</v>
      </c>
      <c r="D215" s="367">
        <v>62</v>
      </c>
      <c r="E215" s="367">
        <v>1968</v>
      </c>
      <c r="F215" s="677">
        <v>33.155</v>
      </c>
      <c r="G215" s="677">
        <v>4.759</v>
      </c>
      <c r="H215" s="677">
        <v>9.6</v>
      </c>
      <c r="I215" s="677">
        <f t="shared" si="31"/>
        <v>18.796</v>
      </c>
      <c r="J215" s="652">
        <v>2734.27</v>
      </c>
      <c r="K215" s="677">
        <v>18.796</v>
      </c>
      <c r="L215" s="652">
        <v>2734.27</v>
      </c>
      <c r="M215" s="679">
        <f t="shared" si="27"/>
        <v>0.006874229684705606</v>
      </c>
      <c r="N215" s="674">
        <v>267.81</v>
      </c>
      <c r="O215" s="678">
        <f t="shared" si="28"/>
        <v>1.8409874518610085</v>
      </c>
      <c r="P215" s="674">
        <f t="shared" si="29"/>
        <v>412.4537810823364</v>
      </c>
      <c r="Q215" s="680">
        <f t="shared" si="30"/>
        <v>110.4592471116605</v>
      </c>
      <c r="S215" s="97"/>
      <c r="T215" s="97"/>
    </row>
    <row r="216" spans="1:20" ht="12.75">
      <c r="A216" s="530"/>
      <c r="B216" s="367">
        <v>8</v>
      </c>
      <c r="C216" s="633" t="s">
        <v>437</v>
      </c>
      <c r="D216" s="367">
        <v>8</v>
      </c>
      <c r="E216" s="367">
        <v>1961</v>
      </c>
      <c r="F216" s="677">
        <v>5.212</v>
      </c>
      <c r="G216" s="677">
        <v>1.1796</v>
      </c>
      <c r="H216" s="677">
        <v>1.28</v>
      </c>
      <c r="I216" s="677">
        <f t="shared" si="31"/>
        <v>2.7523999999999997</v>
      </c>
      <c r="J216" s="652">
        <v>365.11</v>
      </c>
      <c r="K216" s="677">
        <v>2.752</v>
      </c>
      <c r="L216" s="652">
        <v>365.11</v>
      </c>
      <c r="M216" s="679">
        <f t="shared" si="27"/>
        <v>0.0075374544657774364</v>
      </c>
      <c r="N216" s="674">
        <v>267.81</v>
      </c>
      <c r="O216" s="678">
        <f t="shared" si="28"/>
        <v>2.018605680479855</v>
      </c>
      <c r="P216" s="674">
        <f t="shared" si="29"/>
        <v>452.24726794664616</v>
      </c>
      <c r="Q216" s="680">
        <f t="shared" si="30"/>
        <v>121.11634082879131</v>
      </c>
      <c r="S216" s="97"/>
      <c r="T216" s="97"/>
    </row>
    <row r="217" spans="1:20" ht="12.75">
      <c r="A217" s="530"/>
      <c r="B217" s="367">
        <v>9</v>
      </c>
      <c r="C217" s="633" t="s">
        <v>438</v>
      </c>
      <c r="D217" s="367">
        <v>40</v>
      </c>
      <c r="E217" s="367">
        <v>1964</v>
      </c>
      <c r="F217" s="677">
        <v>20.02</v>
      </c>
      <c r="G217" s="677">
        <v>3.2298</v>
      </c>
      <c r="H217" s="677">
        <v>0.4</v>
      </c>
      <c r="I217" s="677">
        <f t="shared" si="31"/>
        <v>16.3902</v>
      </c>
      <c r="J217" s="652">
        <v>1769.44</v>
      </c>
      <c r="K217" s="677">
        <v>16.39</v>
      </c>
      <c r="L217" s="652">
        <v>1769.44</v>
      </c>
      <c r="M217" s="679">
        <f t="shared" si="27"/>
        <v>0.009262817614612532</v>
      </c>
      <c r="N217" s="674">
        <v>267.81</v>
      </c>
      <c r="O217" s="678">
        <f t="shared" si="28"/>
        <v>2.4806751853693823</v>
      </c>
      <c r="P217" s="674">
        <f t="shared" si="29"/>
        <v>555.769056876752</v>
      </c>
      <c r="Q217" s="680">
        <f t="shared" si="30"/>
        <v>148.84051112216295</v>
      </c>
      <c r="S217" s="97"/>
      <c r="T217" s="97"/>
    </row>
    <row r="218" spans="1:20" ht="13.5" thickBot="1">
      <c r="A218" s="534"/>
      <c r="B218" s="535">
        <v>10</v>
      </c>
      <c r="C218" s="640" t="s">
        <v>439</v>
      </c>
      <c r="D218" s="535">
        <v>79</v>
      </c>
      <c r="E218" s="535">
        <v>1960</v>
      </c>
      <c r="F218" s="681">
        <v>13.6</v>
      </c>
      <c r="G218" s="681"/>
      <c r="H218" s="681"/>
      <c r="I218" s="682">
        <f t="shared" si="31"/>
        <v>13.6</v>
      </c>
      <c r="J218" s="658">
        <v>1307.92</v>
      </c>
      <c r="K218" s="681">
        <v>13.6</v>
      </c>
      <c r="L218" s="658">
        <v>1307.92</v>
      </c>
      <c r="M218" s="684">
        <f t="shared" si="27"/>
        <v>0.01039818949171203</v>
      </c>
      <c r="N218" s="683">
        <v>267.81</v>
      </c>
      <c r="O218" s="683">
        <f t="shared" si="28"/>
        <v>2.7847391277753992</v>
      </c>
      <c r="P218" s="683">
        <f t="shared" si="29"/>
        <v>623.8913695027219</v>
      </c>
      <c r="Q218" s="685">
        <f t="shared" si="30"/>
        <v>167.08434766652394</v>
      </c>
      <c r="S218" s="97"/>
      <c r="T218" s="97"/>
    </row>
    <row r="219" spans="1:20" ht="12.75">
      <c r="A219" s="381" t="s">
        <v>52</v>
      </c>
      <c r="B219" s="40">
        <v>1</v>
      </c>
      <c r="C219" s="645" t="s">
        <v>440</v>
      </c>
      <c r="D219" s="40">
        <v>20</v>
      </c>
      <c r="E219" s="40">
        <v>1957</v>
      </c>
      <c r="F219" s="733">
        <v>10.373</v>
      </c>
      <c r="G219" s="733">
        <v>1.452</v>
      </c>
      <c r="H219" s="733">
        <v>0.16</v>
      </c>
      <c r="I219" s="727">
        <f t="shared" si="31"/>
        <v>8.761</v>
      </c>
      <c r="J219" s="953">
        <v>748.5</v>
      </c>
      <c r="K219" s="733">
        <v>8.761</v>
      </c>
      <c r="L219" s="922">
        <v>748.5</v>
      </c>
      <c r="M219" s="714">
        <f t="shared" si="27"/>
        <v>0.011704742818971275</v>
      </c>
      <c r="N219" s="715">
        <v>267.81</v>
      </c>
      <c r="O219" s="715">
        <f t="shared" si="28"/>
        <v>3.134647174348697</v>
      </c>
      <c r="P219" s="715">
        <f t="shared" si="29"/>
        <v>702.2845691382765</v>
      </c>
      <c r="Q219" s="716">
        <f t="shared" si="30"/>
        <v>188.07883046092184</v>
      </c>
      <c r="S219" s="97"/>
      <c r="T219" s="97"/>
    </row>
    <row r="220" spans="1:20" ht="12.75">
      <c r="A220" s="382"/>
      <c r="B220" s="42">
        <v>2</v>
      </c>
      <c r="C220" s="52" t="s">
        <v>167</v>
      </c>
      <c r="D220" s="42">
        <v>6</v>
      </c>
      <c r="E220" s="42">
        <v>1959</v>
      </c>
      <c r="F220" s="727">
        <v>5.055</v>
      </c>
      <c r="G220" s="727">
        <v>0.449</v>
      </c>
      <c r="H220" s="727">
        <v>0.8</v>
      </c>
      <c r="I220" s="727">
        <f t="shared" si="31"/>
        <v>3.806</v>
      </c>
      <c r="J220" s="751">
        <v>324.56</v>
      </c>
      <c r="K220" s="727">
        <v>3.806</v>
      </c>
      <c r="L220" s="751">
        <v>324.6</v>
      </c>
      <c r="M220" s="721">
        <f t="shared" si="27"/>
        <v>0.011725200246457177</v>
      </c>
      <c r="N220" s="715">
        <v>267.81</v>
      </c>
      <c r="O220" s="722">
        <f t="shared" si="28"/>
        <v>3.1401258780036967</v>
      </c>
      <c r="P220" s="715">
        <f t="shared" si="29"/>
        <v>703.5120147874306</v>
      </c>
      <c r="Q220" s="723">
        <f t="shared" si="30"/>
        <v>188.40755268022178</v>
      </c>
      <c r="S220" s="97"/>
      <c r="T220" s="97"/>
    </row>
    <row r="221" spans="1:20" ht="12.75">
      <c r="A221" s="382"/>
      <c r="B221" s="42">
        <v>3</v>
      </c>
      <c r="C221" s="52" t="s">
        <v>441</v>
      </c>
      <c r="D221" s="42">
        <v>13</v>
      </c>
      <c r="E221" s="42">
        <v>1954</v>
      </c>
      <c r="F221" s="727">
        <v>10.164</v>
      </c>
      <c r="G221" s="727">
        <v>1.6029</v>
      </c>
      <c r="H221" s="727">
        <v>1.83254</v>
      </c>
      <c r="I221" s="727">
        <f t="shared" si="31"/>
        <v>6.72856</v>
      </c>
      <c r="J221" s="751">
        <v>562.44</v>
      </c>
      <c r="K221" s="727">
        <v>6.72856</v>
      </c>
      <c r="L221" s="751">
        <v>562.4</v>
      </c>
      <c r="M221" s="721">
        <f t="shared" si="27"/>
        <v>0.011964011379800854</v>
      </c>
      <c r="N221" s="715">
        <v>267.81</v>
      </c>
      <c r="O221" s="722">
        <f t="shared" si="28"/>
        <v>3.2040818876244668</v>
      </c>
      <c r="P221" s="715">
        <f t="shared" si="29"/>
        <v>717.8406827880513</v>
      </c>
      <c r="Q221" s="723">
        <f t="shared" si="30"/>
        <v>192.244913257468</v>
      </c>
      <c r="S221" s="97"/>
      <c r="T221" s="97"/>
    </row>
    <row r="222" spans="1:20" ht="12.75">
      <c r="A222" s="382"/>
      <c r="B222" s="42">
        <v>4</v>
      </c>
      <c r="C222" s="52" t="s">
        <v>442</v>
      </c>
      <c r="D222" s="42">
        <v>40</v>
      </c>
      <c r="E222" s="42">
        <v>1961</v>
      </c>
      <c r="F222" s="727">
        <v>24.26</v>
      </c>
      <c r="G222" s="727">
        <v>2.752</v>
      </c>
      <c r="H222" s="727">
        <v>0.4</v>
      </c>
      <c r="I222" s="727">
        <f t="shared" si="31"/>
        <v>21.108000000000004</v>
      </c>
      <c r="J222" s="751">
        <v>1732.11</v>
      </c>
      <c r="K222" s="727">
        <v>21.108</v>
      </c>
      <c r="L222" s="751">
        <v>1732.11</v>
      </c>
      <c r="M222" s="721">
        <f t="shared" si="27"/>
        <v>0.012186293018341792</v>
      </c>
      <c r="N222" s="715">
        <v>267.81</v>
      </c>
      <c r="O222" s="722">
        <f t="shared" si="28"/>
        <v>3.2636111332421156</v>
      </c>
      <c r="P222" s="715">
        <f t="shared" si="29"/>
        <v>731.1775811005076</v>
      </c>
      <c r="Q222" s="723">
        <f t="shared" si="30"/>
        <v>195.81666799452694</v>
      </c>
      <c r="S222" s="97"/>
      <c r="T222" s="97"/>
    </row>
    <row r="223" spans="1:20" ht="12.75">
      <c r="A223" s="382"/>
      <c r="B223" s="42">
        <v>5</v>
      </c>
      <c r="C223" s="52" t="s">
        <v>443</v>
      </c>
      <c r="D223" s="42">
        <v>20</v>
      </c>
      <c r="E223" s="42">
        <v>1962</v>
      </c>
      <c r="F223" s="727">
        <v>12.671</v>
      </c>
      <c r="G223" s="727">
        <v>1.13475</v>
      </c>
      <c r="H223" s="727">
        <v>0.2</v>
      </c>
      <c r="I223" s="727">
        <f t="shared" si="31"/>
        <v>11.33625</v>
      </c>
      <c r="J223" s="751">
        <v>927.86</v>
      </c>
      <c r="K223" s="727">
        <v>11.3363</v>
      </c>
      <c r="L223" s="751">
        <v>927.86</v>
      </c>
      <c r="M223" s="721">
        <f t="shared" si="27"/>
        <v>0.012217683702282671</v>
      </c>
      <c r="N223" s="715">
        <v>267.81</v>
      </c>
      <c r="O223" s="722">
        <f t="shared" si="28"/>
        <v>3.2720178723083224</v>
      </c>
      <c r="P223" s="715">
        <f t="shared" si="29"/>
        <v>733.0610221369602</v>
      </c>
      <c r="Q223" s="723">
        <f t="shared" si="30"/>
        <v>196.3210723384993</v>
      </c>
      <c r="S223" s="97"/>
      <c r="T223" s="97"/>
    </row>
    <row r="224" spans="1:20" ht="12.75">
      <c r="A224" s="382"/>
      <c r="B224" s="42">
        <v>6</v>
      </c>
      <c r="C224" s="52" t="s">
        <v>444</v>
      </c>
      <c r="D224" s="42">
        <v>80</v>
      </c>
      <c r="E224" s="42">
        <v>1961</v>
      </c>
      <c r="F224" s="727">
        <v>23.177</v>
      </c>
      <c r="G224" s="727">
        <v>5.065</v>
      </c>
      <c r="H224" s="727">
        <v>0.8</v>
      </c>
      <c r="I224" s="727">
        <f t="shared" si="31"/>
        <v>17.311999999999998</v>
      </c>
      <c r="J224" s="751">
        <v>1344.76</v>
      </c>
      <c r="K224" s="727">
        <v>17.312</v>
      </c>
      <c r="L224" s="751">
        <v>1344.76</v>
      </c>
      <c r="M224" s="721">
        <f t="shared" si="27"/>
        <v>0.01287367262559862</v>
      </c>
      <c r="N224" s="715">
        <v>267.81</v>
      </c>
      <c r="O224" s="722">
        <f t="shared" si="28"/>
        <v>3.4476982658615665</v>
      </c>
      <c r="P224" s="715">
        <f t="shared" si="29"/>
        <v>772.4203575359172</v>
      </c>
      <c r="Q224" s="723">
        <f t="shared" si="30"/>
        <v>206.86189595169398</v>
      </c>
      <c r="S224" s="97"/>
      <c r="T224" s="97"/>
    </row>
    <row r="225" spans="1:20" ht="12.75">
      <c r="A225" s="382"/>
      <c r="B225" s="42">
        <v>7</v>
      </c>
      <c r="C225" s="725" t="s">
        <v>168</v>
      </c>
      <c r="D225" s="88">
        <v>8</v>
      </c>
      <c r="E225" s="88">
        <v>1926</v>
      </c>
      <c r="F225" s="726">
        <v>4.458</v>
      </c>
      <c r="G225" s="726">
        <v>0.309</v>
      </c>
      <c r="H225" s="726">
        <v>0.8</v>
      </c>
      <c r="I225" s="727">
        <f t="shared" si="31"/>
        <v>3.349</v>
      </c>
      <c r="J225" s="922">
        <v>254.15</v>
      </c>
      <c r="K225" s="726">
        <v>2.56</v>
      </c>
      <c r="L225" s="922">
        <v>194.28</v>
      </c>
      <c r="M225" s="721">
        <f t="shared" si="27"/>
        <v>0.013176858142886556</v>
      </c>
      <c r="N225" s="715">
        <v>267.81</v>
      </c>
      <c r="O225" s="722">
        <f t="shared" si="28"/>
        <v>3.5288943792464487</v>
      </c>
      <c r="P225" s="715">
        <f t="shared" si="29"/>
        <v>790.6114885731934</v>
      </c>
      <c r="Q225" s="723">
        <f t="shared" si="30"/>
        <v>211.73366275478693</v>
      </c>
      <c r="S225" s="97"/>
      <c r="T225" s="97"/>
    </row>
    <row r="226" spans="1:20" ht="12.75">
      <c r="A226" s="382"/>
      <c r="B226" s="41">
        <v>8</v>
      </c>
      <c r="C226" s="52" t="s">
        <v>166</v>
      </c>
      <c r="D226" s="42">
        <v>6</v>
      </c>
      <c r="E226" s="42">
        <v>1955</v>
      </c>
      <c r="F226" s="727">
        <v>3.572</v>
      </c>
      <c r="G226" s="727">
        <v>0.112</v>
      </c>
      <c r="H226" s="727">
        <v>0.06</v>
      </c>
      <c r="I226" s="727">
        <f t="shared" si="31"/>
        <v>3.4</v>
      </c>
      <c r="J226" s="751">
        <v>249.66</v>
      </c>
      <c r="K226" s="727">
        <v>2.811</v>
      </c>
      <c r="L226" s="751">
        <v>206.48</v>
      </c>
      <c r="M226" s="721">
        <f t="shared" si="27"/>
        <v>0.013613909337466099</v>
      </c>
      <c r="N226" s="715">
        <v>267.81</v>
      </c>
      <c r="O226" s="722">
        <f t="shared" si="28"/>
        <v>3.645941059666796</v>
      </c>
      <c r="P226" s="715">
        <f t="shared" si="29"/>
        <v>816.834560247966</v>
      </c>
      <c r="Q226" s="723">
        <f t="shared" si="30"/>
        <v>218.7564635800078</v>
      </c>
      <c r="S226" s="97"/>
      <c r="T226" s="97"/>
    </row>
    <row r="227" spans="1:20" ht="12.75">
      <c r="A227" s="382"/>
      <c r="B227" s="42">
        <v>9</v>
      </c>
      <c r="C227" s="52" t="s">
        <v>445</v>
      </c>
      <c r="D227" s="42">
        <v>6</v>
      </c>
      <c r="E227" s="42">
        <v>1959</v>
      </c>
      <c r="F227" s="727">
        <v>3.03</v>
      </c>
      <c r="G227" s="727">
        <v>0.337</v>
      </c>
      <c r="H227" s="727">
        <v>0.06</v>
      </c>
      <c r="I227" s="727">
        <f t="shared" si="31"/>
        <v>2.6329999999999996</v>
      </c>
      <c r="J227" s="751">
        <v>225.86</v>
      </c>
      <c r="K227" s="727">
        <v>2.031</v>
      </c>
      <c r="L227" s="751">
        <v>149.18</v>
      </c>
      <c r="M227" s="721">
        <f t="shared" si="27"/>
        <v>0.013614425526209948</v>
      </c>
      <c r="N227" s="715">
        <v>267.81</v>
      </c>
      <c r="O227" s="722">
        <f t="shared" si="28"/>
        <v>3.646079300174286</v>
      </c>
      <c r="P227" s="715">
        <f t="shared" si="29"/>
        <v>816.8655315725969</v>
      </c>
      <c r="Q227" s="723">
        <f t="shared" si="30"/>
        <v>218.76475801045717</v>
      </c>
      <c r="S227" s="97"/>
      <c r="T227" s="97"/>
    </row>
    <row r="228" spans="1:20" ht="13.5" thickBot="1">
      <c r="A228" s="383"/>
      <c r="B228" s="47">
        <v>10</v>
      </c>
      <c r="C228" s="56" t="s">
        <v>169</v>
      </c>
      <c r="D228" s="47">
        <v>23</v>
      </c>
      <c r="E228" s="47">
        <v>1963</v>
      </c>
      <c r="F228" s="728">
        <v>8.007</v>
      </c>
      <c r="G228" s="728"/>
      <c r="H228" s="728"/>
      <c r="I228" s="728">
        <v>8.007</v>
      </c>
      <c r="J228" s="926">
        <v>502.6</v>
      </c>
      <c r="K228" s="728">
        <v>8.007</v>
      </c>
      <c r="L228" s="926">
        <v>502.6</v>
      </c>
      <c r="M228" s="717">
        <f t="shared" si="27"/>
        <v>0.015931157978511738</v>
      </c>
      <c r="N228" s="718">
        <v>267.81</v>
      </c>
      <c r="O228" s="718">
        <f t="shared" si="28"/>
        <v>4.266523418225229</v>
      </c>
      <c r="P228" s="718">
        <f t="shared" si="29"/>
        <v>955.8694787107042</v>
      </c>
      <c r="Q228" s="719">
        <f t="shared" si="30"/>
        <v>255.9914050935137</v>
      </c>
      <c r="S228" s="97"/>
      <c r="T228" s="97"/>
    </row>
    <row r="229" spans="19:20" ht="12.75">
      <c r="S229" s="97"/>
      <c r="T229" s="97"/>
    </row>
    <row r="230" spans="19:20" ht="12.75">
      <c r="S230" s="97"/>
      <c r="T230" s="97"/>
    </row>
    <row r="231" spans="1:20" ht="15">
      <c r="A231" s="419" t="s">
        <v>61</v>
      </c>
      <c r="B231" s="419"/>
      <c r="C231" s="419"/>
      <c r="D231" s="419"/>
      <c r="E231" s="419"/>
      <c r="F231" s="419"/>
      <c r="G231" s="419"/>
      <c r="H231" s="419"/>
      <c r="I231" s="419"/>
      <c r="J231" s="419"/>
      <c r="K231" s="419"/>
      <c r="L231" s="419"/>
      <c r="M231" s="419"/>
      <c r="N231" s="419"/>
      <c r="O231" s="419"/>
      <c r="P231" s="419"/>
      <c r="Q231" s="419"/>
      <c r="S231" s="97"/>
      <c r="T231" s="97"/>
    </row>
    <row r="232" spans="1:20" ht="13.5" thickBot="1">
      <c r="A232" s="420" t="s">
        <v>446</v>
      </c>
      <c r="B232" s="420"/>
      <c r="C232" s="420"/>
      <c r="D232" s="420"/>
      <c r="E232" s="420"/>
      <c r="F232" s="420"/>
      <c r="G232" s="420"/>
      <c r="H232" s="420"/>
      <c r="I232" s="420"/>
      <c r="J232" s="420"/>
      <c r="K232" s="420"/>
      <c r="L232" s="420"/>
      <c r="M232" s="420"/>
      <c r="N232" s="420"/>
      <c r="O232" s="420"/>
      <c r="P232" s="420"/>
      <c r="Q232" s="420"/>
      <c r="S232" s="97"/>
      <c r="T232" s="97"/>
    </row>
    <row r="233" spans="1:20" ht="12.75" customHeight="1">
      <c r="A233" s="395" t="s">
        <v>1</v>
      </c>
      <c r="B233" s="397" t="s">
        <v>0</v>
      </c>
      <c r="C233" s="384" t="s">
        <v>2</v>
      </c>
      <c r="D233" s="384" t="s">
        <v>3</v>
      </c>
      <c r="E233" s="384" t="s">
        <v>13</v>
      </c>
      <c r="F233" s="386" t="s">
        <v>14</v>
      </c>
      <c r="G233" s="387"/>
      <c r="H233" s="387"/>
      <c r="I233" s="388"/>
      <c r="J233" s="384" t="s">
        <v>4</v>
      </c>
      <c r="K233" s="384" t="s">
        <v>15</v>
      </c>
      <c r="L233" s="384" t="s">
        <v>5</v>
      </c>
      <c r="M233" s="384" t="s">
        <v>6</v>
      </c>
      <c r="N233" s="384" t="s">
        <v>16</v>
      </c>
      <c r="O233" s="389" t="s">
        <v>17</v>
      </c>
      <c r="P233" s="384" t="s">
        <v>25</v>
      </c>
      <c r="Q233" s="391" t="s">
        <v>26</v>
      </c>
      <c r="S233" s="97"/>
      <c r="T233" s="97"/>
    </row>
    <row r="234" spans="1:20" s="2" customFormat="1" ht="33.75">
      <c r="A234" s="396"/>
      <c r="B234" s="398"/>
      <c r="C234" s="399"/>
      <c r="D234" s="385"/>
      <c r="E234" s="385"/>
      <c r="F234" s="37" t="s">
        <v>18</v>
      </c>
      <c r="G234" s="37" t="s">
        <v>19</v>
      </c>
      <c r="H234" s="37" t="s">
        <v>20</v>
      </c>
      <c r="I234" s="37" t="s">
        <v>21</v>
      </c>
      <c r="J234" s="385"/>
      <c r="K234" s="385"/>
      <c r="L234" s="385"/>
      <c r="M234" s="385"/>
      <c r="N234" s="385"/>
      <c r="O234" s="390"/>
      <c r="P234" s="385"/>
      <c r="Q234" s="392"/>
      <c r="S234" s="97"/>
      <c r="T234" s="97"/>
    </row>
    <row r="235" spans="1:20" s="3" customFormat="1" ht="13.5" customHeight="1" thickBot="1">
      <c r="A235" s="414"/>
      <c r="B235" s="415"/>
      <c r="C235" s="416"/>
      <c r="D235" s="65" t="s">
        <v>7</v>
      </c>
      <c r="E235" s="65" t="s">
        <v>8</v>
      </c>
      <c r="F235" s="65" t="s">
        <v>9</v>
      </c>
      <c r="G235" s="65" t="s">
        <v>9</v>
      </c>
      <c r="H235" s="65" t="s">
        <v>9</v>
      </c>
      <c r="I235" s="65" t="s">
        <v>9</v>
      </c>
      <c r="J235" s="65" t="s">
        <v>22</v>
      </c>
      <c r="K235" s="65" t="s">
        <v>9</v>
      </c>
      <c r="L235" s="65" t="s">
        <v>22</v>
      </c>
      <c r="M235" s="65" t="s">
        <v>150</v>
      </c>
      <c r="N235" s="65" t="s">
        <v>10</v>
      </c>
      <c r="O235" s="65" t="s">
        <v>151</v>
      </c>
      <c r="P235" s="66" t="s">
        <v>27</v>
      </c>
      <c r="Q235" s="67" t="s">
        <v>28</v>
      </c>
      <c r="S235" s="97"/>
      <c r="T235" s="97"/>
    </row>
    <row r="236" spans="1:20" ht="12.75" customHeight="1">
      <c r="A236" s="440" t="s">
        <v>11</v>
      </c>
      <c r="B236" s="31">
        <v>1</v>
      </c>
      <c r="C236" s="960" t="s">
        <v>172</v>
      </c>
      <c r="D236" s="961">
        <v>36</v>
      </c>
      <c r="E236" s="825">
        <v>1967</v>
      </c>
      <c r="F236" s="929">
        <f aca="true" t="shared" si="32" ref="F236:F244">+G236+H236+I236</f>
        <v>13.857683999999999</v>
      </c>
      <c r="G236" s="986">
        <v>5.6354999999999995</v>
      </c>
      <c r="H236" s="986">
        <v>8.222184</v>
      </c>
      <c r="I236" s="986">
        <v>0</v>
      </c>
      <c r="J236" s="997">
        <v>2249.59</v>
      </c>
      <c r="K236" s="986">
        <v>0</v>
      </c>
      <c r="L236" s="997">
        <v>2249.59</v>
      </c>
      <c r="M236" s="955">
        <f aca="true" t="shared" si="33" ref="M236:M244">+K236/L236</f>
        <v>0</v>
      </c>
      <c r="N236" s="928">
        <v>312.83</v>
      </c>
      <c r="O236" s="956">
        <f aca="true" t="shared" si="34" ref="O236:O244">+M236*N236</f>
        <v>0</v>
      </c>
      <c r="P236" s="956">
        <f aca="true" t="shared" si="35" ref="P236:P244">+M236*60*1000</f>
        <v>0</v>
      </c>
      <c r="Q236" s="542">
        <f aca="true" t="shared" si="36" ref="Q236:Q244">+O236*60</f>
        <v>0</v>
      </c>
      <c r="R236" s="6"/>
      <c r="S236" s="97"/>
      <c r="T236" s="97"/>
    </row>
    <row r="237" spans="1:20" ht="12.75">
      <c r="A237" s="441"/>
      <c r="B237" s="32">
        <v>2</v>
      </c>
      <c r="C237" s="962" t="s">
        <v>447</v>
      </c>
      <c r="D237" s="963">
        <v>55</v>
      </c>
      <c r="E237" s="140">
        <v>1974</v>
      </c>
      <c r="F237" s="929">
        <f t="shared" si="32"/>
        <v>12.227988</v>
      </c>
      <c r="G237" s="987">
        <v>5.257178000000001</v>
      </c>
      <c r="H237" s="987">
        <v>6.97081</v>
      </c>
      <c r="I237" s="987">
        <v>0</v>
      </c>
      <c r="J237" s="998">
        <v>2582.18</v>
      </c>
      <c r="K237" s="987">
        <v>0</v>
      </c>
      <c r="L237" s="998">
        <v>2582.18</v>
      </c>
      <c r="M237" s="955">
        <f t="shared" si="33"/>
        <v>0</v>
      </c>
      <c r="N237" s="928">
        <v>312.83</v>
      </c>
      <c r="O237" s="956">
        <f t="shared" si="34"/>
        <v>0</v>
      </c>
      <c r="P237" s="956">
        <f t="shared" si="35"/>
        <v>0</v>
      </c>
      <c r="Q237" s="957">
        <f t="shared" si="36"/>
        <v>0</v>
      </c>
      <c r="S237" s="97"/>
      <c r="T237" s="97"/>
    </row>
    <row r="238" spans="1:20" ht="12.75">
      <c r="A238" s="441"/>
      <c r="B238" s="32">
        <v>3</v>
      </c>
      <c r="C238" s="962" t="s">
        <v>448</v>
      </c>
      <c r="D238" s="963">
        <v>30</v>
      </c>
      <c r="E238" s="140">
        <v>1972</v>
      </c>
      <c r="F238" s="929">
        <f t="shared" si="32"/>
        <v>6.989988</v>
      </c>
      <c r="G238" s="987">
        <v>4.2015780000000005</v>
      </c>
      <c r="H238" s="987">
        <v>2.7884100000000003</v>
      </c>
      <c r="I238" s="987">
        <v>0</v>
      </c>
      <c r="J238" s="998">
        <v>1569.65</v>
      </c>
      <c r="K238" s="987">
        <v>0</v>
      </c>
      <c r="L238" s="998">
        <v>1569.65</v>
      </c>
      <c r="M238" s="955">
        <f t="shared" si="33"/>
        <v>0</v>
      </c>
      <c r="N238" s="928">
        <v>312.83</v>
      </c>
      <c r="O238" s="956">
        <f t="shared" si="34"/>
        <v>0</v>
      </c>
      <c r="P238" s="956">
        <f t="shared" si="35"/>
        <v>0</v>
      </c>
      <c r="Q238" s="957">
        <f t="shared" si="36"/>
        <v>0</v>
      </c>
      <c r="S238" s="97"/>
      <c r="T238" s="97"/>
    </row>
    <row r="239" spans="1:20" ht="12.75">
      <c r="A239" s="441"/>
      <c r="B239" s="32">
        <v>4</v>
      </c>
      <c r="C239" s="962" t="s">
        <v>170</v>
      </c>
      <c r="D239" s="963">
        <v>10</v>
      </c>
      <c r="E239" s="140">
        <v>1973</v>
      </c>
      <c r="F239" s="929">
        <f t="shared" si="32"/>
        <v>1.5544360000000002</v>
      </c>
      <c r="G239" s="987">
        <v>1.220436</v>
      </c>
      <c r="H239" s="987">
        <v>0</v>
      </c>
      <c r="I239" s="987">
        <v>0.334</v>
      </c>
      <c r="J239" s="998">
        <v>1122.7</v>
      </c>
      <c r="K239" s="987">
        <v>0.334</v>
      </c>
      <c r="L239" s="998">
        <v>552.87</v>
      </c>
      <c r="M239" s="955">
        <f t="shared" si="33"/>
        <v>0.0006041203176153526</v>
      </c>
      <c r="N239" s="928">
        <v>312.83</v>
      </c>
      <c r="O239" s="956">
        <f t="shared" si="34"/>
        <v>0.18898695895961076</v>
      </c>
      <c r="P239" s="956">
        <f t="shared" si="35"/>
        <v>36.24721905692116</v>
      </c>
      <c r="Q239" s="957">
        <f t="shared" si="36"/>
        <v>11.339217537576646</v>
      </c>
      <c r="S239" s="97"/>
      <c r="T239" s="97"/>
    </row>
    <row r="240" spans="1:20" ht="12.75">
      <c r="A240" s="441"/>
      <c r="B240" s="32">
        <v>5</v>
      </c>
      <c r="C240" s="962" t="s">
        <v>174</v>
      </c>
      <c r="D240" s="963">
        <v>21</v>
      </c>
      <c r="E240" s="140">
        <v>1972</v>
      </c>
      <c r="F240" s="929">
        <f t="shared" si="32"/>
        <v>5.8280009999999995</v>
      </c>
      <c r="G240" s="987">
        <v>2.3973679999999997</v>
      </c>
      <c r="H240" s="987">
        <v>2.64</v>
      </c>
      <c r="I240" s="987">
        <v>0.790633</v>
      </c>
      <c r="J240" s="998">
        <v>1105.27</v>
      </c>
      <c r="K240" s="987">
        <v>0.790633</v>
      </c>
      <c r="L240" s="998">
        <v>1105.27</v>
      </c>
      <c r="M240" s="955">
        <f t="shared" si="33"/>
        <v>0.0007153301908131045</v>
      </c>
      <c r="N240" s="928">
        <v>312.83</v>
      </c>
      <c r="O240" s="956">
        <f t="shared" si="34"/>
        <v>0.22377674359206345</v>
      </c>
      <c r="P240" s="956">
        <f t="shared" si="35"/>
        <v>42.91981144878627</v>
      </c>
      <c r="Q240" s="957">
        <f t="shared" si="36"/>
        <v>13.426604615523807</v>
      </c>
      <c r="S240" s="97"/>
      <c r="T240" s="97"/>
    </row>
    <row r="241" spans="1:20" ht="12.75">
      <c r="A241" s="441"/>
      <c r="B241" s="32">
        <v>6</v>
      </c>
      <c r="C241" s="962" t="s">
        <v>449</v>
      </c>
      <c r="D241" s="963">
        <v>111</v>
      </c>
      <c r="E241" s="140">
        <v>2009</v>
      </c>
      <c r="F241" s="988">
        <f t="shared" si="32"/>
        <v>35.237608</v>
      </c>
      <c r="G241" s="987">
        <v>12.597000000000001</v>
      </c>
      <c r="H241" s="987">
        <v>17.76</v>
      </c>
      <c r="I241" s="987">
        <v>4.880608</v>
      </c>
      <c r="J241" s="998">
        <v>5858.8</v>
      </c>
      <c r="K241" s="987">
        <v>4.880608</v>
      </c>
      <c r="L241" s="998">
        <v>5795.400000000001</v>
      </c>
      <c r="M241" s="955">
        <f t="shared" si="33"/>
        <v>0.0008421520516271524</v>
      </c>
      <c r="N241" s="928">
        <v>312.83</v>
      </c>
      <c r="O241" s="956">
        <f t="shared" si="34"/>
        <v>0.26345042631052207</v>
      </c>
      <c r="P241" s="956">
        <f t="shared" si="35"/>
        <v>50.529123097629146</v>
      </c>
      <c r="Q241" s="957">
        <f t="shared" si="36"/>
        <v>15.807025578631324</v>
      </c>
      <c r="S241" s="97"/>
      <c r="T241" s="97"/>
    </row>
    <row r="242" spans="1:20" ht="12.75">
      <c r="A242" s="441"/>
      <c r="B242" s="32">
        <v>7</v>
      </c>
      <c r="C242" s="962" t="s">
        <v>450</v>
      </c>
      <c r="D242" s="963">
        <v>122</v>
      </c>
      <c r="E242" s="140">
        <v>1971</v>
      </c>
      <c r="F242" s="929">
        <f t="shared" si="32"/>
        <v>5.69119</v>
      </c>
      <c r="G242" s="987">
        <v>2.612387</v>
      </c>
      <c r="H242" s="987">
        <v>0</v>
      </c>
      <c r="I242" s="987">
        <v>3.0788029999999997</v>
      </c>
      <c r="J242" s="998">
        <v>3582.41</v>
      </c>
      <c r="K242" s="987">
        <v>3.0788029999999997</v>
      </c>
      <c r="L242" s="998">
        <v>3313.86</v>
      </c>
      <c r="M242" s="955">
        <f t="shared" si="33"/>
        <v>0.0009290685182838139</v>
      </c>
      <c r="N242" s="928">
        <v>312.83</v>
      </c>
      <c r="O242" s="956">
        <f t="shared" si="34"/>
        <v>0.29064050457472546</v>
      </c>
      <c r="P242" s="956">
        <f t="shared" si="35"/>
        <v>55.744111097028835</v>
      </c>
      <c r="Q242" s="957">
        <f t="shared" si="36"/>
        <v>17.438430274483526</v>
      </c>
      <c r="S242" s="97"/>
      <c r="T242" s="97"/>
    </row>
    <row r="243" spans="1:20" ht="12.75">
      <c r="A243" s="441"/>
      <c r="B243" s="32">
        <v>8</v>
      </c>
      <c r="C243" s="962" t="s">
        <v>171</v>
      </c>
      <c r="D243" s="963">
        <v>20</v>
      </c>
      <c r="E243" s="140">
        <v>1970</v>
      </c>
      <c r="F243" s="929">
        <f t="shared" si="32"/>
        <v>8.352</v>
      </c>
      <c r="G243" s="987">
        <v>3.5700000000000003</v>
      </c>
      <c r="H243" s="987">
        <v>3.04</v>
      </c>
      <c r="I243" s="987">
        <v>1.742</v>
      </c>
      <c r="J243" s="998">
        <v>1720.29</v>
      </c>
      <c r="K243" s="987">
        <v>1.742</v>
      </c>
      <c r="L243" s="998">
        <v>1720.29</v>
      </c>
      <c r="M243" s="955">
        <f t="shared" si="33"/>
        <v>0.0010126199652384191</v>
      </c>
      <c r="N243" s="928">
        <v>312.83</v>
      </c>
      <c r="O243" s="956">
        <f t="shared" si="34"/>
        <v>0.31677790372553466</v>
      </c>
      <c r="P243" s="956">
        <f t="shared" si="35"/>
        <v>60.757197914305145</v>
      </c>
      <c r="Q243" s="957">
        <f t="shared" si="36"/>
        <v>19.00667422353208</v>
      </c>
      <c r="S243" s="97"/>
      <c r="T243" s="97"/>
    </row>
    <row r="244" spans="1:20" ht="12.75">
      <c r="A244" s="441"/>
      <c r="B244" s="32">
        <v>9</v>
      </c>
      <c r="C244" s="962" t="s">
        <v>173</v>
      </c>
      <c r="D244" s="963">
        <v>30</v>
      </c>
      <c r="E244" s="140">
        <v>1994</v>
      </c>
      <c r="F244" s="929">
        <f t="shared" si="32"/>
        <v>9.652002</v>
      </c>
      <c r="G244" s="987">
        <v>3.167097</v>
      </c>
      <c r="H244" s="987">
        <v>4.8</v>
      </c>
      <c r="I244" s="987">
        <v>1.684905</v>
      </c>
      <c r="J244" s="998">
        <v>1569.45</v>
      </c>
      <c r="K244" s="987">
        <v>1.684905</v>
      </c>
      <c r="L244" s="998">
        <v>1569.45</v>
      </c>
      <c r="M244" s="955">
        <f t="shared" si="33"/>
        <v>0.0010735639873841155</v>
      </c>
      <c r="N244" s="928">
        <v>312.83</v>
      </c>
      <c r="O244" s="956">
        <f t="shared" si="34"/>
        <v>0.3358430221733728</v>
      </c>
      <c r="P244" s="956">
        <f t="shared" si="35"/>
        <v>64.41383924304694</v>
      </c>
      <c r="Q244" s="957">
        <f t="shared" si="36"/>
        <v>20.150581330402368</v>
      </c>
      <c r="S244" s="97"/>
      <c r="T244" s="97"/>
    </row>
    <row r="245" spans="1:20" ht="13.5" thickBot="1">
      <c r="A245" s="442"/>
      <c r="B245" s="68">
        <v>10</v>
      </c>
      <c r="C245" s="71"/>
      <c r="D245" s="898"/>
      <c r="E245" s="899"/>
      <c r="F245" s="874"/>
      <c r="G245" s="874"/>
      <c r="H245" s="874"/>
      <c r="I245" s="874"/>
      <c r="J245" s="899"/>
      <c r="K245" s="874"/>
      <c r="L245" s="899"/>
      <c r="M245" s="568"/>
      <c r="N245" s="569"/>
      <c r="O245" s="958"/>
      <c r="P245" s="569"/>
      <c r="Q245" s="570"/>
      <c r="S245" s="97"/>
      <c r="T245" s="97"/>
    </row>
    <row r="246" spans="1:20" ht="11.25" customHeight="1">
      <c r="A246" s="411" t="s">
        <v>29</v>
      </c>
      <c r="B246" s="34">
        <v>1</v>
      </c>
      <c r="C246" s="964" t="s">
        <v>451</v>
      </c>
      <c r="D246" s="965">
        <v>10</v>
      </c>
      <c r="E246" s="801">
        <v>2001</v>
      </c>
      <c r="F246" s="930">
        <f aca="true" t="shared" si="37" ref="F246:F272">+G246+H246+I246</f>
        <v>4.481999</v>
      </c>
      <c r="G246" s="989">
        <v>1.6634600000000002</v>
      </c>
      <c r="H246" s="989">
        <v>1.6</v>
      </c>
      <c r="I246" s="989">
        <v>1.218539</v>
      </c>
      <c r="J246" s="999">
        <v>1100.65</v>
      </c>
      <c r="K246" s="989">
        <v>1.218539</v>
      </c>
      <c r="L246" s="999">
        <v>982.46</v>
      </c>
      <c r="M246" s="857">
        <f aca="true" t="shared" si="38" ref="M246:M272">+K246/L246</f>
        <v>0.0012402937524174011</v>
      </c>
      <c r="N246" s="802">
        <v>312.83</v>
      </c>
      <c r="O246" s="802">
        <f aca="true" t="shared" si="39" ref="O246:O272">+M246*N246</f>
        <v>0.38800109456873555</v>
      </c>
      <c r="P246" s="802">
        <f aca="true" t="shared" si="40" ref="P246:P272">+M246*60*1000</f>
        <v>74.41762514504406</v>
      </c>
      <c r="Q246" s="959">
        <f aca="true" t="shared" si="41" ref="Q246:Q272">+O246*60</f>
        <v>23.28006567412413</v>
      </c>
      <c r="S246" s="97"/>
      <c r="T246" s="97"/>
    </row>
    <row r="247" spans="1:20" ht="12.75" customHeight="1">
      <c r="A247" s="412"/>
      <c r="B247" s="36">
        <v>2</v>
      </c>
      <c r="C247" s="768" t="s">
        <v>452</v>
      </c>
      <c r="D247" s="966">
        <v>29</v>
      </c>
      <c r="E247" s="168">
        <v>1999</v>
      </c>
      <c r="F247" s="876">
        <f t="shared" si="37"/>
        <v>9.90898</v>
      </c>
      <c r="G247" s="941">
        <v>5.258680000000001</v>
      </c>
      <c r="H247" s="941">
        <v>2.32</v>
      </c>
      <c r="I247" s="941">
        <v>2.3303000000000003</v>
      </c>
      <c r="J247" s="948">
        <v>3616.71</v>
      </c>
      <c r="K247" s="941">
        <v>2.3303000000000003</v>
      </c>
      <c r="L247" s="948">
        <v>1796.56</v>
      </c>
      <c r="M247" s="170">
        <f t="shared" si="38"/>
        <v>0.0012970899942111593</v>
      </c>
      <c r="N247" s="169">
        <v>312.83</v>
      </c>
      <c r="O247" s="169">
        <f t="shared" si="39"/>
        <v>0.4057686628890769</v>
      </c>
      <c r="P247" s="169">
        <f t="shared" si="40"/>
        <v>77.82539965266956</v>
      </c>
      <c r="Q247" s="171">
        <f t="shared" si="41"/>
        <v>24.346119773344615</v>
      </c>
      <c r="S247" s="97"/>
      <c r="T247" s="97"/>
    </row>
    <row r="248" spans="1:20" ht="12.75" customHeight="1">
      <c r="A248" s="412"/>
      <c r="B248" s="36">
        <v>3</v>
      </c>
      <c r="C248" s="967" t="s">
        <v>453</v>
      </c>
      <c r="D248" s="968">
        <v>40</v>
      </c>
      <c r="E248" s="168">
        <v>2000</v>
      </c>
      <c r="F248" s="876">
        <f t="shared" si="37"/>
        <v>11.801716</v>
      </c>
      <c r="G248" s="990">
        <v>4.561100000000001</v>
      </c>
      <c r="H248" s="990">
        <v>3.2</v>
      </c>
      <c r="I248" s="990">
        <v>4.040616</v>
      </c>
      <c r="J248" s="1000">
        <v>3205.7000000000003</v>
      </c>
      <c r="K248" s="990">
        <v>4.040616</v>
      </c>
      <c r="L248" s="1000">
        <v>2763.85</v>
      </c>
      <c r="M248" s="170">
        <f t="shared" si="38"/>
        <v>0.0014619519872641424</v>
      </c>
      <c r="N248" s="169">
        <v>312.83</v>
      </c>
      <c r="O248" s="169">
        <f t="shared" si="39"/>
        <v>0.45734244017584164</v>
      </c>
      <c r="P248" s="169">
        <f t="shared" si="40"/>
        <v>87.71711923584854</v>
      </c>
      <c r="Q248" s="171">
        <f t="shared" si="41"/>
        <v>27.4405464105505</v>
      </c>
      <c r="S248" s="97"/>
      <c r="T248" s="97"/>
    </row>
    <row r="249" spans="1:20" s="110" customFormat="1" ht="12.75" customHeight="1">
      <c r="A249" s="412"/>
      <c r="B249" s="120">
        <v>4</v>
      </c>
      <c r="C249" s="967" t="s">
        <v>454</v>
      </c>
      <c r="D249" s="968">
        <v>5</v>
      </c>
      <c r="E249" s="168">
        <v>1964</v>
      </c>
      <c r="F249" s="876">
        <f t="shared" si="37"/>
        <v>0.4719</v>
      </c>
      <c r="G249" s="990">
        <v>0.10732</v>
      </c>
      <c r="H249" s="990">
        <v>0</v>
      </c>
      <c r="I249" s="990">
        <v>0.36458</v>
      </c>
      <c r="J249" s="1000">
        <v>245.91</v>
      </c>
      <c r="K249" s="990">
        <v>0.36458</v>
      </c>
      <c r="L249" s="1000">
        <v>245.91</v>
      </c>
      <c r="M249" s="170">
        <f t="shared" si="38"/>
        <v>0.0014825749257858568</v>
      </c>
      <c r="N249" s="169">
        <v>312.83</v>
      </c>
      <c r="O249" s="169">
        <f t="shared" si="39"/>
        <v>0.46379391403358955</v>
      </c>
      <c r="P249" s="169">
        <f t="shared" si="40"/>
        <v>88.9544955471514</v>
      </c>
      <c r="Q249" s="171">
        <f t="shared" si="41"/>
        <v>27.827634842015375</v>
      </c>
      <c r="S249" s="97"/>
      <c r="T249" s="97"/>
    </row>
    <row r="250" spans="1:20" s="110" customFormat="1" ht="12.75" customHeight="1">
      <c r="A250" s="412"/>
      <c r="B250" s="120">
        <v>5</v>
      </c>
      <c r="C250" s="967" t="s">
        <v>455</v>
      </c>
      <c r="D250" s="968">
        <v>30</v>
      </c>
      <c r="E250" s="168">
        <v>2007</v>
      </c>
      <c r="F250" s="876">
        <f t="shared" si="37"/>
        <v>10.453000999999999</v>
      </c>
      <c r="G250" s="990">
        <v>2.46836</v>
      </c>
      <c r="H250" s="990">
        <v>4.8</v>
      </c>
      <c r="I250" s="990">
        <v>3.1846409999999996</v>
      </c>
      <c r="J250" s="1000">
        <v>1794.8700000000001</v>
      </c>
      <c r="K250" s="990">
        <v>3.1846409999999996</v>
      </c>
      <c r="L250" s="1000">
        <v>1794.8700000000001</v>
      </c>
      <c r="M250" s="170">
        <f t="shared" si="38"/>
        <v>0.0017743017600160454</v>
      </c>
      <c r="N250" s="169">
        <v>312.83</v>
      </c>
      <c r="O250" s="169">
        <f t="shared" si="39"/>
        <v>0.5550548195858195</v>
      </c>
      <c r="P250" s="169">
        <f t="shared" si="40"/>
        <v>106.45810560096272</v>
      </c>
      <c r="Q250" s="171">
        <f t="shared" si="41"/>
        <v>33.30328917514917</v>
      </c>
      <c r="S250" s="97"/>
      <c r="T250" s="97"/>
    </row>
    <row r="251" spans="1:20" s="110" customFormat="1" ht="12.75" customHeight="1">
      <c r="A251" s="412"/>
      <c r="B251" s="120">
        <v>6</v>
      </c>
      <c r="C251" s="967" t="s">
        <v>456</v>
      </c>
      <c r="D251" s="968">
        <v>55</v>
      </c>
      <c r="E251" s="168">
        <v>2008</v>
      </c>
      <c r="F251" s="876">
        <f t="shared" si="37"/>
        <v>21.130999000000003</v>
      </c>
      <c r="G251" s="990">
        <v>6.085044000000001</v>
      </c>
      <c r="H251" s="990">
        <v>8.8</v>
      </c>
      <c r="I251" s="990">
        <v>6.245955</v>
      </c>
      <c r="J251" s="1000">
        <v>2550.67</v>
      </c>
      <c r="K251" s="990">
        <v>6.245955</v>
      </c>
      <c r="L251" s="1000">
        <v>2550.67</v>
      </c>
      <c r="M251" s="170">
        <f t="shared" si="38"/>
        <v>0.002448750720398954</v>
      </c>
      <c r="N251" s="169">
        <v>312.83</v>
      </c>
      <c r="O251" s="169">
        <f t="shared" si="39"/>
        <v>0.7660426878624047</v>
      </c>
      <c r="P251" s="169">
        <f t="shared" si="40"/>
        <v>146.92504322393722</v>
      </c>
      <c r="Q251" s="171">
        <f t="shared" si="41"/>
        <v>45.962561271744285</v>
      </c>
      <c r="S251" s="97"/>
      <c r="T251" s="97"/>
    </row>
    <row r="252" spans="1:20" s="110" customFormat="1" ht="12.75" customHeight="1">
      <c r="A252" s="412"/>
      <c r="B252" s="120">
        <v>7</v>
      </c>
      <c r="C252" s="967" t="s">
        <v>457</v>
      </c>
      <c r="D252" s="968">
        <v>31</v>
      </c>
      <c r="E252" s="168">
        <v>1966</v>
      </c>
      <c r="F252" s="876">
        <f t="shared" si="37"/>
        <v>11.391997</v>
      </c>
      <c r="G252" s="990">
        <v>2.344405</v>
      </c>
      <c r="H252" s="990">
        <v>4.8</v>
      </c>
      <c r="I252" s="990">
        <v>4.247592</v>
      </c>
      <c r="J252" s="1000">
        <v>1718.52</v>
      </c>
      <c r="K252" s="990">
        <v>4.247592</v>
      </c>
      <c r="L252" s="1000">
        <v>1718.52</v>
      </c>
      <c r="M252" s="170">
        <f t="shared" si="38"/>
        <v>0.002471657007192235</v>
      </c>
      <c r="N252" s="169">
        <v>312.83</v>
      </c>
      <c r="O252" s="169">
        <f t="shared" si="39"/>
        <v>0.7732084615599468</v>
      </c>
      <c r="P252" s="169">
        <f t="shared" si="40"/>
        <v>148.2994204315341</v>
      </c>
      <c r="Q252" s="171">
        <f t="shared" si="41"/>
        <v>46.39250769359681</v>
      </c>
      <c r="S252" s="97"/>
      <c r="T252" s="97"/>
    </row>
    <row r="253" spans="1:20" s="110" customFormat="1" ht="12.75" customHeight="1">
      <c r="A253" s="412"/>
      <c r="B253" s="120">
        <v>8</v>
      </c>
      <c r="C253" s="967" t="s">
        <v>458</v>
      </c>
      <c r="D253" s="968">
        <v>31</v>
      </c>
      <c r="E253" s="168">
        <v>1977</v>
      </c>
      <c r="F253" s="876">
        <f t="shared" si="37"/>
        <v>11.696992999999999</v>
      </c>
      <c r="G253" s="990">
        <v>2.84398</v>
      </c>
      <c r="H253" s="990">
        <v>4.8</v>
      </c>
      <c r="I253" s="990">
        <v>4.053013</v>
      </c>
      <c r="J253" s="1000">
        <v>1565.73</v>
      </c>
      <c r="K253" s="990">
        <v>4.053013</v>
      </c>
      <c r="L253" s="1000">
        <v>1565.73</v>
      </c>
      <c r="M253" s="170">
        <f t="shared" si="38"/>
        <v>0.002588577213184904</v>
      </c>
      <c r="N253" s="169">
        <v>312.83</v>
      </c>
      <c r="O253" s="169">
        <f t="shared" si="39"/>
        <v>0.8097846096006335</v>
      </c>
      <c r="P253" s="169">
        <f t="shared" si="40"/>
        <v>155.31463279109425</v>
      </c>
      <c r="Q253" s="171">
        <f t="shared" si="41"/>
        <v>48.58707657603801</v>
      </c>
      <c r="S253" s="97"/>
      <c r="T253" s="97"/>
    </row>
    <row r="254" spans="1:20" s="110" customFormat="1" ht="12.75" customHeight="1">
      <c r="A254" s="412"/>
      <c r="B254" s="120">
        <v>9</v>
      </c>
      <c r="C254" s="967" t="s">
        <v>459</v>
      </c>
      <c r="D254" s="968">
        <v>28</v>
      </c>
      <c r="E254" s="168">
        <v>1976</v>
      </c>
      <c r="F254" s="876">
        <f t="shared" si="37"/>
        <v>13.703999</v>
      </c>
      <c r="G254" s="990">
        <v>2.84398</v>
      </c>
      <c r="H254" s="990">
        <v>4.48</v>
      </c>
      <c r="I254" s="990">
        <v>6.380019</v>
      </c>
      <c r="J254" s="1000">
        <v>1831.14</v>
      </c>
      <c r="K254" s="990">
        <v>6.380019</v>
      </c>
      <c r="L254" s="1000">
        <v>1831.14</v>
      </c>
      <c r="M254" s="170">
        <f t="shared" si="38"/>
        <v>0.0034841787083456205</v>
      </c>
      <c r="N254" s="169">
        <v>312.83</v>
      </c>
      <c r="O254" s="169">
        <f t="shared" si="39"/>
        <v>1.0899556253317604</v>
      </c>
      <c r="P254" s="169">
        <f t="shared" si="40"/>
        <v>209.05072250073724</v>
      </c>
      <c r="Q254" s="171">
        <f t="shared" si="41"/>
        <v>65.39733751990562</v>
      </c>
      <c r="S254" s="97"/>
      <c r="T254" s="97"/>
    </row>
    <row r="255" spans="1:20" s="110" customFormat="1" ht="12.75" customHeight="1" thickBot="1">
      <c r="A255" s="413"/>
      <c r="B255" s="139">
        <v>10</v>
      </c>
      <c r="C255" s="969" t="s">
        <v>460</v>
      </c>
      <c r="D255" s="970">
        <v>13</v>
      </c>
      <c r="E255" s="589">
        <v>1981</v>
      </c>
      <c r="F255" s="877">
        <f t="shared" si="37"/>
        <v>4.633000000000001</v>
      </c>
      <c r="G255" s="991">
        <v>1.2019710000000001</v>
      </c>
      <c r="H255" s="991">
        <v>1.28</v>
      </c>
      <c r="I255" s="991">
        <v>2.1510290000000003</v>
      </c>
      <c r="J255" s="1001">
        <v>997.63</v>
      </c>
      <c r="K255" s="991">
        <v>2.1510290000000003</v>
      </c>
      <c r="L255" s="1001">
        <v>551.26</v>
      </c>
      <c r="M255" s="591">
        <f t="shared" si="38"/>
        <v>0.0039020226390450974</v>
      </c>
      <c r="N255" s="590">
        <v>312.83</v>
      </c>
      <c r="O255" s="590">
        <f t="shared" si="39"/>
        <v>1.2206697421724777</v>
      </c>
      <c r="P255" s="590">
        <f t="shared" si="40"/>
        <v>234.12135834270583</v>
      </c>
      <c r="Q255" s="592">
        <f t="shared" si="41"/>
        <v>73.24018453034866</v>
      </c>
      <c r="S255" s="97"/>
      <c r="T255" s="97"/>
    </row>
    <row r="256" spans="1:20" s="110" customFormat="1" ht="12.75" customHeight="1">
      <c r="A256" s="686" t="s">
        <v>30</v>
      </c>
      <c r="B256" s="687">
        <v>1</v>
      </c>
      <c r="C256" s="971" t="s">
        <v>461</v>
      </c>
      <c r="D256" s="972">
        <v>23</v>
      </c>
      <c r="E256" s="804">
        <v>1924</v>
      </c>
      <c r="F256" s="931">
        <f t="shared" si="37"/>
        <v>10.381999</v>
      </c>
      <c r="G256" s="992">
        <v>1.93176</v>
      </c>
      <c r="H256" s="992">
        <v>3.52</v>
      </c>
      <c r="I256" s="992">
        <v>4.930239</v>
      </c>
      <c r="J256" s="1002">
        <v>1210.44</v>
      </c>
      <c r="K256" s="992">
        <v>4.930239</v>
      </c>
      <c r="L256" s="1002">
        <v>1210.44</v>
      </c>
      <c r="M256" s="805">
        <f t="shared" si="38"/>
        <v>0.004073096559928621</v>
      </c>
      <c r="N256" s="806">
        <v>312.83</v>
      </c>
      <c r="O256" s="806">
        <f t="shared" si="39"/>
        <v>1.2741867968424705</v>
      </c>
      <c r="P256" s="806">
        <f t="shared" si="40"/>
        <v>244.38579359571725</v>
      </c>
      <c r="Q256" s="859">
        <f t="shared" si="41"/>
        <v>76.45120781054823</v>
      </c>
      <c r="S256" s="97"/>
      <c r="T256" s="97"/>
    </row>
    <row r="257" spans="1:20" s="110" customFormat="1" ht="12.75">
      <c r="A257" s="688"/>
      <c r="B257" s="651">
        <v>2</v>
      </c>
      <c r="C257" s="973" t="s">
        <v>462</v>
      </c>
      <c r="D257" s="974">
        <v>45</v>
      </c>
      <c r="E257" s="634">
        <v>1960</v>
      </c>
      <c r="F257" s="879">
        <f t="shared" si="37"/>
        <v>19.564898</v>
      </c>
      <c r="G257" s="993">
        <v>4.05133</v>
      </c>
      <c r="H257" s="993">
        <v>7.04</v>
      </c>
      <c r="I257" s="993">
        <v>8.473568</v>
      </c>
      <c r="J257" s="1003">
        <v>2517.34</v>
      </c>
      <c r="K257" s="993">
        <v>8.473568</v>
      </c>
      <c r="L257" s="1003">
        <v>1997.52</v>
      </c>
      <c r="M257" s="636">
        <f t="shared" si="38"/>
        <v>0.0042420441347270615</v>
      </c>
      <c r="N257" s="635">
        <v>312.83</v>
      </c>
      <c r="O257" s="635">
        <f t="shared" si="39"/>
        <v>1.3270386666666665</v>
      </c>
      <c r="P257" s="635">
        <f t="shared" si="40"/>
        <v>254.5226480836237</v>
      </c>
      <c r="Q257" s="637">
        <f t="shared" si="41"/>
        <v>79.62231999999999</v>
      </c>
      <c r="S257" s="97"/>
      <c r="T257" s="97"/>
    </row>
    <row r="258" spans="1:20" s="110" customFormat="1" ht="12.75">
      <c r="A258" s="688"/>
      <c r="B258" s="651">
        <v>3</v>
      </c>
      <c r="C258" s="973" t="s">
        <v>463</v>
      </c>
      <c r="D258" s="974">
        <v>20</v>
      </c>
      <c r="E258" s="634">
        <v>1985</v>
      </c>
      <c r="F258" s="879">
        <f t="shared" si="37"/>
        <v>10.754002</v>
      </c>
      <c r="G258" s="945">
        <v>2.720559</v>
      </c>
      <c r="H258" s="945">
        <v>3.2</v>
      </c>
      <c r="I258" s="945">
        <v>4.833443</v>
      </c>
      <c r="J258" s="1003">
        <v>1094.49</v>
      </c>
      <c r="K258" s="945">
        <v>4.833443</v>
      </c>
      <c r="L258" s="1003">
        <v>1094.49</v>
      </c>
      <c r="M258" s="636">
        <f t="shared" si="38"/>
        <v>0.00441616003800857</v>
      </c>
      <c r="N258" s="635">
        <v>312.83</v>
      </c>
      <c r="O258" s="635">
        <f t="shared" si="39"/>
        <v>1.3815073446902209</v>
      </c>
      <c r="P258" s="635">
        <f t="shared" si="40"/>
        <v>264.9696022805142</v>
      </c>
      <c r="Q258" s="637">
        <f t="shared" si="41"/>
        <v>82.89044068141325</v>
      </c>
      <c r="S258" s="97"/>
      <c r="T258" s="97"/>
    </row>
    <row r="259" spans="1:20" s="110" customFormat="1" ht="12.75">
      <c r="A259" s="688"/>
      <c r="B259" s="651">
        <v>4</v>
      </c>
      <c r="C259" s="973" t="s">
        <v>464</v>
      </c>
      <c r="D259" s="974">
        <v>20</v>
      </c>
      <c r="E259" s="634">
        <v>1961</v>
      </c>
      <c r="F259" s="879">
        <f t="shared" si="37"/>
        <v>10.896998</v>
      </c>
      <c r="G259" s="993">
        <v>2.6561700000000004</v>
      </c>
      <c r="H259" s="993">
        <v>3.2</v>
      </c>
      <c r="I259" s="993">
        <v>5.040828</v>
      </c>
      <c r="J259" s="1003">
        <v>1061.89</v>
      </c>
      <c r="K259" s="993">
        <v>5.040828</v>
      </c>
      <c r="L259" s="1003">
        <v>1061.89</v>
      </c>
      <c r="M259" s="636">
        <f t="shared" si="38"/>
        <v>0.004747034061908483</v>
      </c>
      <c r="N259" s="635">
        <v>312.83</v>
      </c>
      <c r="O259" s="635">
        <f t="shared" si="39"/>
        <v>1.4850146655868308</v>
      </c>
      <c r="P259" s="635">
        <f t="shared" si="40"/>
        <v>284.822043714509</v>
      </c>
      <c r="Q259" s="637">
        <f t="shared" si="41"/>
        <v>89.10087993520985</v>
      </c>
      <c r="S259" s="97"/>
      <c r="T259" s="97"/>
    </row>
    <row r="260" spans="1:20" s="110" customFormat="1" ht="12.75">
      <c r="A260" s="688"/>
      <c r="B260" s="651">
        <v>5</v>
      </c>
      <c r="C260" s="975" t="s">
        <v>465</v>
      </c>
      <c r="D260" s="976">
        <v>20</v>
      </c>
      <c r="E260" s="634">
        <v>1900</v>
      </c>
      <c r="F260" s="879">
        <f t="shared" si="37"/>
        <v>10.082481</v>
      </c>
      <c r="G260" s="993">
        <v>2.20006</v>
      </c>
      <c r="H260" s="993">
        <v>3.12</v>
      </c>
      <c r="I260" s="993">
        <v>4.762421</v>
      </c>
      <c r="J260" s="666">
        <v>1059.35</v>
      </c>
      <c r="K260" s="993">
        <v>4.762421</v>
      </c>
      <c r="L260" s="666">
        <v>996.14</v>
      </c>
      <c r="M260" s="636">
        <f t="shared" si="38"/>
        <v>0.004780875178187805</v>
      </c>
      <c r="N260" s="635">
        <v>312.83</v>
      </c>
      <c r="O260" s="635">
        <f t="shared" si="39"/>
        <v>1.495601181992491</v>
      </c>
      <c r="P260" s="635">
        <f t="shared" si="40"/>
        <v>286.8525106912683</v>
      </c>
      <c r="Q260" s="637">
        <f t="shared" si="41"/>
        <v>89.73607091954946</v>
      </c>
      <c r="S260" s="97"/>
      <c r="T260" s="97"/>
    </row>
    <row r="261" spans="1:20" s="110" customFormat="1" ht="12.75">
      <c r="A261" s="688"/>
      <c r="B261" s="651">
        <v>6</v>
      </c>
      <c r="C261" s="973" t="s">
        <v>466</v>
      </c>
      <c r="D261" s="974">
        <v>8</v>
      </c>
      <c r="E261" s="634">
        <v>1985</v>
      </c>
      <c r="F261" s="879">
        <f t="shared" si="37"/>
        <v>3.2851170000000005</v>
      </c>
      <c r="G261" s="993">
        <v>0.2683</v>
      </c>
      <c r="H261" s="993">
        <v>1.12</v>
      </c>
      <c r="I261" s="993">
        <v>1.8968170000000002</v>
      </c>
      <c r="J261" s="1003">
        <v>601.23</v>
      </c>
      <c r="K261" s="993">
        <v>1.8968170000000002</v>
      </c>
      <c r="L261" s="1003">
        <v>389.96000000000004</v>
      </c>
      <c r="M261" s="636">
        <f t="shared" si="38"/>
        <v>0.0048641322186890965</v>
      </c>
      <c r="N261" s="635">
        <v>312.83</v>
      </c>
      <c r="O261" s="635">
        <f t="shared" si="39"/>
        <v>1.52164648197251</v>
      </c>
      <c r="P261" s="635">
        <f t="shared" si="40"/>
        <v>291.84793312134576</v>
      </c>
      <c r="Q261" s="637">
        <f t="shared" si="41"/>
        <v>91.2987889183506</v>
      </c>
      <c r="S261" s="97"/>
      <c r="T261" s="97"/>
    </row>
    <row r="262" spans="1:20" s="110" customFormat="1" ht="12.75">
      <c r="A262" s="688"/>
      <c r="B262" s="651">
        <v>7</v>
      </c>
      <c r="C262" s="973" t="s">
        <v>467</v>
      </c>
      <c r="D262" s="974">
        <v>9</v>
      </c>
      <c r="E262" s="634">
        <v>1973</v>
      </c>
      <c r="F262" s="879">
        <f t="shared" si="37"/>
        <v>3.915301</v>
      </c>
      <c r="G262" s="993">
        <v>0.48294</v>
      </c>
      <c r="H262" s="993">
        <v>1.44</v>
      </c>
      <c r="I262" s="993">
        <v>1.992361</v>
      </c>
      <c r="J262" s="1003">
        <v>670.11</v>
      </c>
      <c r="K262" s="993">
        <v>1.992361</v>
      </c>
      <c r="L262" s="1003">
        <v>408.73</v>
      </c>
      <c r="M262" s="636">
        <f t="shared" si="38"/>
        <v>0.00487451618427813</v>
      </c>
      <c r="N262" s="635">
        <v>312.83</v>
      </c>
      <c r="O262" s="635">
        <f t="shared" si="39"/>
        <v>1.5248948979277273</v>
      </c>
      <c r="P262" s="635">
        <f t="shared" si="40"/>
        <v>292.4709710566878</v>
      </c>
      <c r="Q262" s="637">
        <f t="shared" si="41"/>
        <v>91.49369387566364</v>
      </c>
      <c r="S262" s="97"/>
      <c r="T262" s="97"/>
    </row>
    <row r="263" spans="1:20" s="110" customFormat="1" ht="12.75">
      <c r="A263" s="688"/>
      <c r="B263" s="651">
        <v>8</v>
      </c>
      <c r="C263" s="973" t="s">
        <v>175</v>
      </c>
      <c r="D263" s="974">
        <v>36</v>
      </c>
      <c r="E263" s="634">
        <v>1988</v>
      </c>
      <c r="F263" s="879">
        <f t="shared" si="37"/>
        <v>16.094892</v>
      </c>
      <c r="G263" s="993">
        <v>2.825736</v>
      </c>
      <c r="H263" s="993">
        <v>5.76</v>
      </c>
      <c r="I263" s="993">
        <v>7.509156000000001</v>
      </c>
      <c r="J263" s="1003">
        <v>1875.83</v>
      </c>
      <c r="K263" s="993">
        <v>7.509156000000001</v>
      </c>
      <c r="L263" s="1003">
        <v>1494.8</v>
      </c>
      <c r="M263" s="636">
        <f t="shared" si="38"/>
        <v>0.005023518865400054</v>
      </c>
      <c r="N263" s="635">
        <v>312.83</v>
      </c>
      <c r="O263" s="635">
        <f t="shared" si="39"/>
        <v>1.5715074066630987</v>
      </c>
      <c r="P263" s="635">
        <f t="shared" si="40"/>
        <v>301.41113192400326</v>
      </c>
      <c r="Q263" s="637">
        <f t="shared" si="41"/>
        <v>94.29044439978593</v>
      </c>
      <c r="S263" s="97"/>
      <c r="T263" s="97"/>
    </row>
    <row r="264" spans="1:20" s="110" customFormat="1" ht="12.75">
      <c r="A264" s="688"/>
      <c r="B264" s="651">
        <v>9</v>
      </c>
      <c r="C264" s="973" t="s">
        <v>177</v>
      </c>
      <c r="D264" s="974">
        <v>4</v>
      </c>
      <c r="E264" s="634">
        <v>1987</v>
      </c>
      <c r="F264" s="879">
        <f t="shared" si="37"/>
        <v>1.650125</v>
      </c>
      <c r="G264" s="993">
        <v>0.10732</v>
      </c>
      <c r="H264" s="993">
        <v>0.64</v>
      </c>
      <c r="I264" s="993">
        <v>0.9028050000000001</v>
      </c>
      <c r="J264" s="1003">
        <v>547.57</v>
      </c>
      <c r="K264" s="993">
        <v>0.9028050000000001</v>
      </c>
      <c r="L264" s="1003">
        <v>176.74</v>
      </c>
      <c r="M264" s="636">
        <f t="shared" si="38"/>
        <v>0.005108096639130927</v>
      </c>
      <c r="N264" s="635">
        <v>312.83</v>
      </c>
      <c r="O264" s="635">
        <f t="shared" si="39"/>
        <v>1.597965871619328</v>
      </c>
      <c r="P264" s="635">
        <f t="shared" si="40"/>
        <v>306.4857983478557</v>
      </c>
      <c r="Q264" s="637">
        <f t="shared" si="41"/>
        <v>95.87795229715968</v>
      </c>
      <c r="S264" s="97"/>
      <c r="T264" s="97"/>
    </row>
    <row r="265" spans="1:20" s="110" customFormat="1" ht="13.5" thickBot="1">
      <c r="A265" s="689"/>
      <c r="B265" s="690">
        <v>10</v>
      </c>
      <c r="C265" s="977" t="s">
        <v>468</v>
      </c>
      <c r="D265" s="978">
        <v>36</v>
      </c>
      <c r="E265" s="641">
        <v>1980</v>
      </c>
      <c r="F265" s="880">
        <f t="shared" si="37"/>
        <v>10.832</v>
      </c>
      <c r="G265" s="994">
        <v>2.779588</v>
      </c>
      <c r="H265" s="994">
        <v>1.5</v>
      </c>
      <c r="I265" s="994">
        <v>6.552412</v>
      </c>
      <c r="J265" s="1004">
        <v>1275.52</v>
      </c>
      <c r="K265" s="994">
        <v>6.552412</v>
      </c>
      <c r="L265" s="1004">
        <v>1275.52</v>
      </c>
      <c r="M265" s="643">
        <f t="shared" si="38"/>
        <v>0.005137051555444055</v>
      </c>
      <c r="N265" s="642">
        <v>312.83</v>
      </c>
      <c r="O265" s="642">
        <f t="shared" si="39"/>
        <v>1.6070238380895636</v>
      </c>
      <c r="P265" s="642">
        <f t="shared" si="40"/>
        <v>308.22309332664327</v>
      </c>
      <c r="Q265" s="644">
        <f t="shared" si="41"/>
        <v>96.42143028537382</v>
      </c>
      <c r="S265" s="97"/>
      <c r="T265" s="97"/>
    </row>
    <row r="266" spans="1:20" s="110" customFormat="1" ht="12.75" customHeight="1">
      <c r="A266" s="409" t="s">
        <v>12</v>
      </c>
      <c r="B266" s="121">
        <v>1</v>
      </c>
      <c r="C266" s="979" t="s">
        <v>469</v>
      </c>
      <c r="D266" s="980">
        <v>21</v>
      </c>
      <c r="E266" s="861">
        <v>1986</v>
      </c>
      <c r="F266" s="932">
        <f t="shared" si="37"/>
        <v>10.886000000000001</v>
      </c>
      <c r="G266" s="995">
        <v>1.71712</v>
      </c>
      <c r="H266" s="995">
        <v>3.2</v>
      </c>
      <c r="I266" s="995">
        <v>5.96888</v>
      </c>
      <c r="J266" s="1005">
        <v>1090.65</v>
      </c>
      <c r="K266" s="995">
        <v>5.96888</v>
      </c>
      <c r="L266" s="1005">
        <v>1090.65</v>
      </c>
      <c r="M266" s="863">
        <f t="shared" si="38"/>
        <v>0.005472773116948608</v>
      </c>
      <c r="N266" s="864">
        <v>312.83</v>
      </c>
      <c r="O266" s="864">
        <f t="shared" si="39"/>
        <v>1.712047614175033</v>
      </c>
      <c r="P266" s="864">
        <f t="shared" si="40"/>
        <v>328.3663870169165</v>
      </c>
      <c r="Q266" s="865">
        <f t="shared" si="41"/>
        <v>102.72285685050197</v>
      </c>
      <c r="S266" s="97"/>
      <c r="T266" s="97"/>
    </row>
    <row r="267" spans="1:20" s="110" customFormat="1" ht="12.75">
      <c r="A267" s="410"/>
      <c r="B267" s="122">
        <v>2</v>
      </c>
      <c r="C267" s="981" t="s">
        <v>470</v>
      </c>
      <c r="D267" s="982">
        <v>20</v>
      </c>
      <c r="E267" s="175">
        <v>1993</v>
      </c>
      <c r="F267" s="882">
        <f t="shared" si="37"/>
        <v>10.931799999999999</v>
      </c>
      <c r="G267" s="996">
        <v>1.6634600000000002</v>
      </c>
      <c r="H267" s="996">
        <v>3.2</v>
      </c>
      <c r="I267" s="996">
        <v>6.068339999999999</v>
      </c>
      <c r="J267" s="1006">
        <v>1104.7</v>
      </c>
      <c r="K267" s="996">
        <v>6.068339999999999</v>
      </c>
      <c r="L267" s="1006">
        <v>1104.7</v>
      </c>
      <c r="M267" s="177">
        <f t="shared" si="38"/>
        <v>0.005493201774237348</v>
      </c>
      <c r="N267" s="176">
        <v>312.83</v>
      </c>
      <c r="O267" s="176">
        <f t="shared" si="39"/>
        <v>1.7184383110346697</v>
      </c>
      <c r="P267" s="176">
        <f t="shared" si="40"/>
        <v>329.59210645424093</v>
      </c>
      <c r="Q267" s="178">
        <f t="shared" si="41"/>
        <v>103.10629866208018</v>
      </c>
      <c r="S267" s="97"/>
      <c r="T267" s="97"/>
    </row>
    <row r="268" spans="1:20" s="110" customFormat="1" ht="12.75">
      <c r="A268" s="410"/>
      <c r="B268" s="122">
        <v>3</v>
      </c>
      <c r="C268" s="981" t="s">
        <v>471</v>
      </c>
      <c r="D268" s="982">
        <v>22</v>
      </c>
      <c r="E268" s="175">
        <v>1984</v>
      </c>
      <c r="F268" s="882">
        <f t="shared" si="37"/>
        <v>12.169</v>
      </c>
      <c r="G268" s="996">
        <v>1.462235</v>
      </c>
      <c r="H268" s="996">
        <v>3.52</v>
      </c>
      <c r="I268" s="996">
        <v>7.186765</v>
      </c>
      <c r="J268" s="1006">
        <v>1182.48</v>
      </c>
      <c r="K268" s="996">
        <v>7.186765</v>
      </c>
      <c r="L268" s="1006">
        <v>1182.48</v>
      </c>
      <c r="M268" s="177">
        <f t="shared" si="38"/>
        <v>0.006077705331168392</v>
      </c>
      <c r="N268" s="176">
        <v>312.83</v>
      </c>
      <c r="O268" s="176">
        <f t="shared" si="39"/>
        <v>1.9012885587494082</v>
      </c>
      <c r="P268" s="176">
        <f t="shared" si="40"/>
        <v>364.66231987010354</v>
      </c>
      <c r="Q268" s="178">
        <f t="shared" si="41"/>
        <v>114.0773135249645</v>
      </c>
      <c r="S268" s="97"/>
      <c r="T268" s="97"/>
    </row>
    <row r="269" spans="1:20" s="110" customFormat="1" ht="12.75">
      <c r="A269" s="410"/>
      <c r="B269" s="122">
        <v>4</v>
      </c>
      <c r="C269" s="981" t="s">
        <v>472</v>
      </c>
      <c r="D269" s="982">
        <v>21</v>
      </c>
      <c r="E269" s="175">
        <v>1960</v>
      </c>
      <c r="F269" s="882">
        <f t="shared" si="37"/>
        <v>11.701996000000001</v>
      </c>
      <c r="G269" s="996">
        <v>1.479</v>
      </c>
      <c r="H269" s="996">
        <v>3.2</v>
      </c>
      <c r="I269" s="996">
        <v>7.022996000000001</v>
      </c>
      <c r="J269" s="1006">
        <v>1105.8500000000001</v>
      </c>
      <c r="K269" s="996">
        <v>7.022996000000001</v>
      </c>
      <c r="L269" s="1006">
        <v>1105.8500000000001</v>
      </c>
      <c r="M269" s="177">
        <f t="shared" si="38"/>
        <v>0.0063507672830854095</v>
      </c>
      <c r="N269" s="176">
        <v>312.83</v>
      </c>
      <c r="O269" s="176">
        <f t="shared" si="39"/>
        <v>1.9867105291676086</v>
      </c>
      <c r="P269" s="176">
        <f t="shared" si="40"/>
        <v>381.04603698512454</v>
      </c>
      <c r="Q269" s="178">
        <f t="shared" si="41"/>
        <v>119.20263175005651</v>
      </c>
      <c r="S269" s="97"/>
      <c r="T269" s="97"/>
    </row>
    <row r="270" spans="1:20" s="110" customFormat="1" ht="12.75">
      <c r="A270" s="410"/>
      <c r="B270" s="122">
        <v>5</v>
      </c>
      <c r="C270" s="981" t="s">
        <v>176</v>
      </c>
      <c r="D270" s="982">
        <v>16</v>
      </c>
      <c r="E270" s="175">
        <v>1977</v>
      </c>
      <c r="F270" s="882">
        <f t="shared" si="37"/>
        <v>9.740276999999999</v>
      </c>
      <c r="G270" s="996">
        <v>1.836</v>
      </c>
      <c r="H270" s="996">
        <v>2.24</v>
      </c>
      <c r="I270" s="996">
        <v>5.664276999999999</v>
      </c>
      <c r="J270" s="1006">
        <v>967.12</v>
      </c>
      <c r="K270" s="996">
        <v>5.664276999999999</v>
      </c>
      <c r="L270" s="1006">
        <v>884.41</v>
      </c>
      <c r="M270" s="177">
        <f t="shared" si="38"/>
        <v>0.006404582716161056</v>
      </c>
      <c r="N270" s="176">
        <v>312.83</v>
      </c>
      <c r="O270" s="176">
        <f t="shared" si="39"/>
        <v>2.003545611096663</v>
      </c>
      <c r="P270" s="176">
        <f t="shared" si="40"/>
        <v>384.27496296966336</v>
      </c>
      <c r="Q270" s="178">
        <f t="shared" si="41"/>
        <v>120.21273666579978</v>
      </c>
      <c r="S270" s="97"/>
      <c r="T270" s="97"/>
    </row>
    <row r="271" spans="1:20" s="110" customFormat="1" ht="12.75">
      <c r="A271" s="410"/>
      <c r="B271" s="122">
        <v>6</v>
      </c>
      <c r="C271" s="981" t="s">
        <v>178</v>
      </c>
      <c r="D271" s="982">
        <v>13</v>
      </c>
      <c r="E271" s="175">
        <v>1963</v>
      </c>
      <c r="F271" s="882">
        <f t="shared" si="37"/>
        <v>5.743815</v>
      </c>
      <c r="G271" s="996">
        <v>0.59026</v>
      </c>
      <c r="H271" s="996">
        <v>2</v>
      </c>
      <c r="I271" s="996">
        <v>3.1535550000000003</v>
      </c>
      <c r="J271" s="1006">
        <v>846.44</v>
      </c>
      <c r="K271" s="996">
        <v>3.1535550000000003</v>
      </c>
      <c r="L271" s="1006">
        <v>485.54</v>
      </c>
      <c r="M271" s="177">
        <f t="shared" si="38"/>
        <v>0.006494943773942415</v>
      </c>
      <c r="N271" s="176">
        <v>312.83</v>
      </c>
      <c r="O271" s="176">
        <f t="shared" si="39"/>
        <v>2.0318132608024055</v>
      </c>
      <c r="P271" s="176">
        <f t="shared" si="40"/>
        <v>389.6966264365449</v>
      </c>
      <c r="Q271" s="178">
        <f t="shared" si="41"/>
        <v>121.90879564814433</v>
      </c>
      <c r="S271" s="97"/>
      <c r="T271" s="97"/>
    </row>
    <row r="272" spans="1:20" s="110" customFormat="1" ht="12.75">
      <c r="A272" s="410"/>
      <c r="B272" s="122">
        <v>7</v>
      </c>
      <c r="C272" s="981" t="s">
        <v>473</v>
      </c>
      <c r="D272" s="982">
        <v>19</v>
      </c>
      <c r="E272" s="175">
        <v>1987</v>
      </c>
      <c r="F272" s="882">
        <f t="shared" si="37"/>
        <v>12.587655999999999</v>
      </c>
      <c r="G272" s="996">
        <v>1.2291</v>
      </c>
      <c r="H272" s="996">
        <v>3.04</v>
      </c>
      <c r="I272" s="996">
        <v>8.318556</v>
      </c>
      <c r="J272" s="1006">
        <v>1100.8</v>
      </c>
      <c r="K272" s="996">
        <v>8.318556</v>
      </c>
      <c r="L272" s="1006">
        <v>1030.98</v>
      </c>
      <c r="M272" s="177">
        <f t="shared" si="38"/>
        <v>0.008068591049292905</v>
      </c>
      <c r="N272" s="176">
        <v>312.83</v>
      </c>
      <c r="O272" s="176">
        <f t="shared" si="39"/>
        <v>2.524097337950299</v>
      </c>
      <c r="P272" s="176">
        <f t="shared" si="40"/>
        <v>484.11546295757427</v>
      </c>
      <c r="Q272" s="178">
        <f t="shared" si="41"/>
        <v>151.44584027701794</v>
      </c>
      <c r="S272" s="97"/>
      <c r="T272" s="97"/>
    </row>
    <row r="273" spans="1:20" s="110" customFormat="1" ht="12.75">
      <c r="A273" s="410"/>
      <c r="B273" s="122">
        <v>8</v>
      </c>
      <c r="C273" s="983"/>
      <c r="D273" s="984"/>
      <c r="E273" s="42"/>
      <c r="F273" s="257"/>
      <c r="G273" s="985"/>
      <c r="H273" s="985"/>
      <c r="I273" s="985"/>
      <c r="J273" s="985"/>
      <c r="K273" s="985"/>
      <c r="L273" s="985"/>
      <c r="M273" s="177"/>
      <c r="N273" s="176"/>
      <c r="O273" s="176"/>
      <c r="P273" s="176"/>
      <c r="Q273" s="178"/>
      <c r="S273" s="97"/>
      <c r="T273" s="97"/>
    </row>
    <row r="274" spans="1:20" s="110" customFormat="1" ht="12.75">
      <c r="A274" s="410"/>
      <c r="B274" s="122">
        <v>9</v>
      </c>
      <c r="C274" s="252"/>
      <c r="D274" s="253"/>
      <c r="E274" s="42"/>
      <c r="F274" s="257"/>
      <c r="G274" s="258"/>
      <c r="H274" s="258"/>
      <c r="I274" s="258"/>
      <c r="J274" s="258"/>
      <c r="K274" s="258"/>
      <c r="L274" s="258"/>
      <c r="M274" s="177"/>
      <c r="N274" s="176"/>
      <c r="O274" s="176"/>
      <c r="P274" s="176"/>
      <c r="Q274" s="178"/>
      <c r="S274" s="97"/>
      <c r="T274" s="97"/>
    </row>
    <row r="275" spans="1:20" s="110" customFormat="1" ht="13.5" thickBot="1">
      <c r="A275" s="824"/>
      <c r="B275" s="123">
        <v>10</v>
      </c>
      <c r="C275" s="818"/>
      <c r="D275" s="123"/>
      <c r="E275" s="123"/>
      <c r="F275" s="819"/>
      <c r="G275" s="819"/>
      <c r="H275" s="819"/>
      <c r="I275" s="819"/>
      <c r="J275" s="820"/>
      <c r="K275" s="821"/>
      <c r="L275" s="820"/>
      <c r="M275" s="822"/>
      <c r="N275" s="819"/>
      <c r="O275" s="819"/>
      <c r="P275" s="819"/>
      <c r="Q275" s="823"/>
      <c r="S275" s="97"/>
      <c r="T275" s="97"/>
    </row>
    <row r="276" spans="19:20" ht="12.75">
      <c r="S276" s="97"/>
      <c r="T276" s="97"/>
    </row>
    <row r="277" spans="19:20" ht="12.75">
      <c r="S277" s="97"/>
      <c r="T277" s="97"/>
    </row>
    <row r="278" spans="19:20" ht="12.75">
      <c r="S278" s="97"/>
      <c r="T278" s="97"/>
    </row>
    <row r="279" spans="19:20" ht="12.75">
      <c r="S279" s="97"/>
      <c r="T279" s="97"/>
    </row>
    <row r="280" spans="1:20" ht="15">
      <c r="A280" s="419" t="s">
        <v>62</v>
      </c>
      <c r="B280" s="419"/>
      <c r="C280" s="419"/>
      <c r="D280" s="419"/>
      <c r="E280" s="419"/>
      <c r="F280" s="419"/>
      <c r="G280" s="419"/>
      <c r="H280" s="419"/>
      <c r="I280" s="419"/>
      <c r="J280" s="419"/>
      <c r="K280" s="419"/>
      <c r="L280" s="419"/>
      <c r="M280" s="419"/>
      <c r="N280" s="419"/>
      <c r="O280" s="419"/>
      <c r="P280" s="419"/>
      <c r="Q280" s="419"/>
      <c r="S280" s="97"/>
      <c r="T280" s="97"/>
    </row>
    <row r="281" spans="1:20" ht="13.5" thickBot="1">
      <c r="A281" s="420" t="s">
        <v>474</v>
      </c>
      <c r="B281" s="420"/>
      <c r="C281" s="420"/>
      <c r="D281" s="420"/>
      <c r="E281" s="420"/>
      <c r="F281" s="420"/>
      <c r="G281" s="420"/>
      <c r="H281" s="420"/>
      <c r="I281" s="420"/>
      <c r="J281" s="420"/>
      <c r="K281" s="420"/>
      <c r="L281" s="420"/>
      <c r="M281" s="420"/>
      <c r="N281" s="420"/>
      <c r="O281" s="420"/>
      <c r="P281" s="420"/>
      <c r="Q281" s="420"/>
      <c r="S281" s="97"/>
      <c r="T281" s="97"/>
    </row>
    <row r="282" spans="1:20" ht="12.75" customHeight="1">
      <c r="A282" s="395" t="s">
        <v>1</v>
      </c>
      <c r="B282" s="435" t="s">
        <v>0</v>
      </c>
      <c r="C282" s="437" t="s">
        <v>2</v>
      </c>
      <c r="D282" s="384" t="s">
        <v>3</v>
      </c>
      <c r="E282" s="384" t="s">
        <v>13</v>
      </c>
      <c r="F282" s="386" t="s">
        <v>14</v>
      </c>
      <c r="G282" s="387"/>
      <c r="H282" s="387"/>
      <c r="I282" s="388"/>
      <c r="J282" s="384" t="s">
        <v>4</v>
      </c>
      <c r="K282" s="384" t="s">
        <v>15</v>
      </c>
      <c r="L282" s="384" t="s">
        <v>5</v>
      </c>
      <c r="M282" s="384" t="s">
        <v>6</v>
      </c>
      <c r="N282" s="384" t="s">
        <v>16</v>
      </c>
      <c r="O282" s="389" t="s">
        <v>17</v>
      </c>
      <c r="P282" s="384" t="s">
        <v>25</v>
      </c>
      <c r="Q282" s="391" t="s">
        <v>26</v>
      </c>
      <c r="S282" s="97"/>
      <c r="T282" s="97"/>
    </row>
    <row r="283" spans="1:20" s="2" customFormat="1" ht="33.75">
      <c r="A283" s="396"/>
      <c r="B283" s="436"/>
      <c r="C283" s="438"/>
      <c r="D283" s="385"/>
      <c r="E283" s="385"/>
      <c r="F283" s="37" t="s">
        <v>18</v>
      </c>
      <c r="G283" s="37" t="s">
        <v>19</v>
      </c>
      <c r="H283" s="37" t="s">
        <v>20</v>
      </c>
      <c r="I283" s="37" t="s">
        <v>21</v>
      </c>
      <c r="J283" s="385"/>
      <c r="K283" s="385"/>
      <c r="L283" s="385"/>
      <c r="M283" s="385"/>
      <c r="N283" s="385"/>
      <c r="O283" s="390"/>
      <c r="P283" s="385"/>
      <c r="Q283" s="392"/>
      <c r="S283" s="97"/>
      <c r="T283" s="97"/>
    </row>
    <row r="284" spans="1:20" s="3" customFormat="1" ht="13.5" customHeight="1" thickBot="1">
      <c r="A284" s="414"/>
      <c r="B284" s="826"/>
      <c r="C284" s="439"/>
      <c r="D284" s="65" t="s">
        <v>7</v>
      </c>
      <c r="E284" s="65" t="s">
        <v>8</v>
      </c>
      <c r="F284" s="65" t="s">
        <v>9</v>
      </c>
      <c r="G284" s="65" t="s">
        <v>9</v>
      </c>
      <c r="H284" s="65" t="s">
        <v>9</v>
      </c>
      <c r="I284" s="65" t="s">
        <v>9</v>
      </c>
      <c r="J284" s="65" t="s">
        <v>22</v>
      </c>
      <c r="K284" s="65" t="s">
        <v>9</v>
      </c>
      <c r="L284" s="65" t="s">
        <v>22</v>
      </c>
      <c r="M284" s="65" t="s">
        <v>23</v>
      </c>
      <c r="N284" s="65" t="s">
        <v>10</v>
      </c>
      <c r="O284" s="65" t="s">
        <v>24</v>
      </c>
      <c r="P284" s="66" t="s">
        <v>27</v>
      </c>
      <c r="Q284" s="67" t="s">
        <v>28</v>
      </c>
      <c r="S284" s="97"/>
      <c r="T284" s="97"/>
    </row>
    <row r="285" spans="1:20" s="3" customFormat="1" ht="13.5" customHeight="1">
      <c r="A285" s="499" t="s">
        <v>51</v>
      </c>
      <c r="B285" s="825">
        <v>1</v>
      </c>
      <c r="C285" s="583" t="s">
        <v>475</v>
      </c>
      <c r="D285" s="584">
        <v>20</v>
      </c>
      <c r="E285" s="584">
        <v>2010</v>
      </c>
      <c r="F285" s="572">
        <v>5.368</v>
      </c>
      <c r="G285" s="572">
        <v>1.224</v>
      </c>
      <c r="H285" s="572">
        <v>0.8</v>
      </c>
      <c r="I285" s="572">
        <v>3.344</v>
      </c>
      <c r="J285" s="106">
        <v>935.41</v>
      </c>
      <c r="K285" s="572">
        <v>3.344</v>
      </c>
      <c r="L285" s="106">
        <v>935.41</v>
      </c>
      <c r="M285" s="574">
        <f>K285/L285</f>
        <v>0.0035749029837183694</v>
      </c>
      <c r="N285" s="573">
        <v>343.459</v>
      </c>
      <c r="O285" s="573">
        <f>M285*N285</f>
        <v>1.2278326038849274</v>
      </c>
      <c r="P285" s="573">
        <f>M285*60*1000</f>
        <v>214.49417902310216</v>
      </c>
      <c r="Q285" s="576">
        <f>P285*N285/1000</f>
        <v>73.66995623309563</v>
      </c>
      <c r="S285" s="97"/>
      <c r="T285" s="97"/>
    </row>
    <row r="286" spans="1:20" s="3" customFormat="1" ht="13.5" customHeight="1">
      <c r="A286" s="499"/>
      <c r="B286" s="140">
        <v>2</v>
      </c>
      <c r="C286" s="581"/>
      <c r="D286" s="582"/>
      <c r="E286" s="582"/>
      <c r="F286" s="1007"/>
      <c r="G286" s="1007"/>
      <c r="H286" s="1007"/>
      <c r="I286" s="1007"/>
      <c r="J286" s="1009"/>
      <c r="K286" s="1007"/>
      <c r="L286" s="1009"/>
      <c r="M286" s="582"/>
      <c r="N286" s="582"/>
      <c r="O286" s="582"/>
      <c r="P286" s="582"/>
      <c r="Q286" s="829"/>
      <c r="S286" s="97"/>
      <c r="T286" s="97"/>
    </row>
    <row r="287" spans="1:20" s="3" customFormat="1" ht="13.5" customHeight="1">
      <c r="A287" s="499"/>
      <c r="B287" s="140">
        <v>3</v>
      </c>
      <c r="C287" s="581"/>
      <c r="D287" s="582"/>
      <c r="E287" s="582"/>
      <c r="F287" s="1007"/>
      <c r="G287" s="1007"/>
      <c r="H287" s="1007"/>
      <c r="I287" s="1007"/>
      <c r="J287" s="1009"/>
      <c r="K287" s="1007"/>
      <c r="L287" s="1009"/>
      <c r="M287" s="582"/>
      <c r="N287" s="582"/>
      <c r="O287" s="582"/>
      <c r="P287" s="582"/>
      <c r="Q287" s="829"/>
      <c r="S287" s="97"/>
      <c r="T287" s="97"/>
    </row>
    <row r="288" spans="1:20" s="3" customFormat="1" ht="13.5" customHeight="1">
      <c r="A288" s="499"/>
      <c r="B288" s="140">
        <v>4</v>
      </c>
      <c r="C288" s="581"/>
      <c r="D288" s="582"/>
      <c r="E288" s="582"/>
      <c r="F288" s="1007"/>
      <c r="G288" s="1007"/>
      <c r="H288" s="1007"/>
      <c r="I288" s="1007"/>
      <c r="J288" s="1009"/>
      <c r="K288" s="1007"/>
      <c r="L288" s="1009"/>
      <c r="M288" s="582"/>
      <c r="N288" s="582"/>
      <c r="O288" s="582"/>
      <c r="P288" s="582"/>
      <c r="Q288" s="829"/>
      <c r="S288" s="97"/>
      <c r="T288" s="97"/>
    </row>
    <row r="289" spans="1:20" s="3" customFormat="1" ht="13.5" customHeight="1">
      <c r="A289" s="499"/>
      <c r="B289" s="140">
        <v>5</v>
      </c>
      <c r="C289" s="581"/>
      <c r="D289" s="582"/>
      <c r="E289" s="582"/>
      <c r="F289" s="1007"/>
      <c r="G289" s="1007"/>
      <c r="H289" s="1007"/>
      <c r="I289" s="1007"/>
      <c r="J289" s="1009"/>
      <c r="K289" s="1007"/>
      <c r="L289" s="1009"/>
      <c r="M289" s="582"/>
      <c r="N289" s="582"/>
      <c r="O289" s="582"/>
      <c r="P289" s="582"/>
      <c r="Q289" s="829"/>
      <c r="S289" s="97"/>
      <c r="T289" s="97"/>
    </row>
    <row r="290" spans="1:20" s="3" customFormat="1" ht="13.5" customHeight="1">
      <c r="A290" s="499"/>
      <c r="B290" s="140">
        <v>6</v>
      </c>
      <c r="C290" s="581"/>
      <c r="D290" s="582"/>
      <c r="E290" s="582"/>
      <c r="F290" s="1007"/>
      <c r="G290" s="1007"/>
      <c r="H290" s="1007"/>
      <c r="I290" s="1007"/>
      <c r="J290" s="1009"/>
      <c r="K290" s="1007"/>
      <c r="L290" s="1009"/>
      <c r="M290" s="582"/>
      <c r="N290" s="582"/>
      <c r="O290" s="582"/>
      <c r="P290" s="582"/>
      <c r="Q290" s="829"/>
      <c r="S290" s="97"/>
      <c r="T290" s="97"/>
    </row>
    <row r="291" spans="1:20" s="3" customFormat="1" ht="13.5" customHeight="1">
      <c r="A291" s="499"/>
      <c r="B291" s="140">
        <v>7</v>
      </c>
      <c r="C291" s="581"/>
      <c r="D291" s="582"/>
      <c r="E291" s="582"/>
      <c r="F291" s="1007"/>
      <c r="G291" s="1007"/>
      <c r="H291" s="1007"/>
      <c r="I291" s="1007"/>
      <c r="J291" s="1009"/>
      <c r="K291" s="1007"/>
      <c r="L291" s="1009"/>
      <c r="M291" s="582"/>
      <c r="N291" s="582"/>
      <c r="O291" s="582"/>
      <c r="P291" s="582"/>
      <c r="Q291" s="829"/>
      <c r="S291" s="97"/>
      <c r="T291" s="97"/>
    </row>
    <row r="292" spans="1:20" s="3" customFormat="1" ht="13.5" customHeight="1" thickBot="1">
      <c r="A292" s="500"/>
      <c r="B292" s="262">
        <v>8</v>
      </c>
      <c r="C292" s="827"/>
      <c r="D292" s="828"/>
      <c r="E292" s="828"/>
      <c r="F292" s="1008"/>
      <c r="G292" s="1008"/>
      <c r="H292" s="1008"/>
      <c r="I292" s="1008"/>
      <c r="J292" s="1010"/>
      <c r="K292" s="1008"/>
      <c r="L292" s="1010"/>
      <c r="M292" s="828"/>
      <c r="N292" s="828"/>
      <c r="O292" s="828"/>
      <c r="P292" s="828"/>
      <c r="Q292" s="830"/>
      <c r="S292" s="97"/>
      <c r="T292" s="97"/>
    </row>
    <row r="293" spans="1:20" ht="12.75" customHeight="1">
      <c r="A293" s="411" t="s">
        <v>29</v>
      </c>
      <c r="B293" s="73">
        <v>1</v>
      </c>
      <c r="C293" s="305" t="s">
        <v>476</v>
      </c>
      <c r="D293" s="196">
        <v>40</v>
      </c>
      <c r="E293" s="196">
        <v>1979</v>
      </c>
      <c r="F293" s="622">
        <v>15.28</v>
      </c>
      <c r="G293" s="622">
        <v>3.876</v>
      </c>
      <c r="H293" s="622">
        <v>6.24</v>
      </c>
      <c r="I293" s="622">
        <v>5.164</v>
      </c>
      <c r="J293" s="138">
        <v>2257.74</v>
      </c>
      <c r="K293" s="622">
        <v>5.14</v>
      </c>
      <c r="L293" s="138">
        <v>2180.68</v>
      </c>
      <c r="M293" s="184">
        <f aca="true" t="shared" si="42" ref="M293:M322">K293/L293</f>
        <v>0.0023570629344974964</v>
      </c>
      <c r="N293" s="185">
        <v>343.459</v>
      </c>
      <c r="O293" s="185">
        <f aca="true" t="shared" si="43" ref="O293:O322">M293*N293</f>
        <v>0.8095544784195756</v>
      </c>
      <c r="P293" s="185">
        <f aca="true" t="shared" si="44" ref="P293:P322">M293*60*1000</f>
        <v>141.4237760698498</v>
      </c>
      <c r="Q293" s="259">
        <f aca="true" t="shared" si="45" ref="Q293:Q322">P293*N293/1000</f>
        <v>48.573268705174534</v>
      </c>
      <c r="S293" s="97"/>
      <c r="T293" s="97"/>
    </row>
    <row r="294" spans="1:20" ht="11.25" customHeight="1">
      <c r="A294" s="412"/>
      <c r="B294" s="73">
        <v>2</v>
      </c>
      <c r="C294" s="281" t="s">
        <v>180</v>
      </c>
      <c r="D294" s="197">
        <v>50</v>
      </c>
      <c r="E294" s="197">
        <v>1974</v>
      </c>
      <c r="F294" s="609">
        <v>18.955</v>
      </c>
      <c r="G294" s="609">
        <v>3.519</v>
      </c>
      <c r="H294" s="609">
        <v>8</v>
      </c>
      <c r="I294" s="609">
        <v>7.436</v>
      </c>
      <c r="J294" s="135">
        <v>2591.85</v>
      </c>
      <c r="K294" s="609">
        <v>7.436</v>
      </c>
      <c r="L294" s="135">
        <v>2591.85</v>
      </c>
      <c r="M294" s="184">
        <f t="shared" si="42"/>
        <v>0.002868993190192334</v>
      </c>
      <c r="N294" s="163">
        <v>343.459</v>
      </c>
      <c r="O294" s="185">
        <f t="shared" si="43"/>
        <v>0.9853815321102688</v>
      </c>
      <c r="P294" s="185">
        <f t="shared" si="44"/>
        <v>172.13959141154004</v>
      </c>
      <c r="Q294" s="259">
        <f t="shared" si="45"/>
        <v>59.122891926616134</v>
      </c>
      <c r="S294" s="97"/>
      <c r="T294" s="97"/>
    </row>
    <row r="295" spans="1:20" ht="12.75" customHeight="1">
      <c r="A295" s="412"/>
      <c r="B295" s="36">
        <v>3</v>
      </c>
      <c r="C295" s="281" t="s">
        <v>179</v>
      </c>
      <c r="D295" s="197">
        <v>40</v>
      </c>
      <c r="E295" s="197">
        <v>1981</v>
      </c>
      <c r="F295" s="609">
        <v>15.962</v>
      </c>
      <c r="G295" s="609">
        <v>2.754</v>
      </c>
      <c r="H295" s="609">
        <v>6.4</v>
      </c>
      <c r="I295" s="609">
        <v>6.808</v>
      </c>
      <c r="J295" s="135">
        <v>2251.3</v>
      </c>
      <c r="K295" s="609">
        <v>6.808</v>
      </c>
      <c r="L295" s="135">
        <v>2251.3</v>
      </c>
      <c r="M295" s="164">
        <f t="shared" si="42"/>
        <v>0.0030240305601208187</v>
      </c>
      <c r="N295" s="163">
        <v>343.459</v>
      </c>
      <c r="O295" s="185">
        <f t="shared" si="43"/>
        <v>1.0386305121485362</v>
      </c>
      <c r="P295" s="185">
        <f t="shared" si="44"/>
        <v>181.44183360724912</v>
      </c>
      <c r="Q295" s="251">
        <f t="shared" si="45"/>
        <v>62.31783072891218</v>
      </c>
      <c r="S295" s="97"/>
      <c r="T295" s="97"/>
    </row>
    <row r="296" spans="1:20" ht="12.75" customHeight="1">
      <c r="A296" s="412"/>
      <c r="B296" s="36">
        <v>4</v>
      </c>
      <c r="C296" s="281" t="s">
        <v>186</v>
      </c>
      <c r="D296" s="197">
        <v>40</v>
      </c>
      <c r="E296" s="197">
        <v>1983</v>
      </c>
      <c r="F296" s="609">
        <v>17.319</v>
      </c>
      <c r="G296" s="609">
        <v>3.825</v>
      </c>
      <c r="H296" s="609">
        <v>6.4</v>
      </c>
      <c r="I296" s="609">
        <v>7.094</v>
      </c>
      <c r="J296" s="135">
        <v>2254.6</v>
      </c>
      <c r="K296" s="609">
        <v>7.094</v>
      </c>
      <c r="L296" s="135">
        <v>2254.6</v>
      </c>
      <c r="M296" s="164">
        <f t="shared" si="42"/>
        <v>0.0031464561341257875</v>
      </c>
      <c r="N296" s="163">
        <v>343.459</v>
      </c>
      <c r="O296" s="163">
        <f t="shared" si="43"/>
        <v>1.0806786773707089</v>
      </c>
      <c r="P296" s="185">
        <f t="shared" si="44"/>
        <v>188.78736804754726</v>
      </c>
      <c r="Q296" s="251">
        <f t="shared" si="45"/>
        <v>64.84072064224253</v>
      </c>
      <c r="S296" s="97"/>
      <c r="T296" s="97"/>
    </row>
    <row r="297" spans="1:20" ht="12.75" customHeight="1">
      <c r="A297" s="412"/>
      <c r="B297" s="36">
        <v>5</v>
      </c>
      <c r="C297" s="281" t="s">
        <v>181</v>
      </c>
      <c r="D297" s="197">
        <v>40</v>
      </c>
      <c r="E297" s="197">
        <v>1984</v>
      </c>
      <c r="F297" s="609">
        <v>18.292</v>
      </c>
      <c r="G297" s="609">
        <v>3.774</v>
      </c>
      <c r="H297" s="609">
        <v>6.4</v>
      </c>
      <c r="I297" s="609">
        <v>8.118</v>
      </c>
      <c r="J297" s="135">
        <v>2269.42</v>
      </c>
      <c r="K297" s="609">
        <v>8.118</v>
      </c>
      <c r="L297" s="135">
        <v>2269.42</v>
      </c>
      <c r="M297" s="164">
        <f t="shared" si="42"/>
        <v>0.0035771254329299996</v>
      </c>
      <c r="N297" s="163">
        <v>343.459</v>
      </c>
      <c r="O297" s="163">
        <f t="shared" si="43"/>
        <v>1.2285959240687048</v>
      </c>
      <c r="P297" s="185">
        <f t="shared" si="44"/>
        <v>214.62752597579998</v>
      </c>
      <c r="Q297" s="251">
        <f t="shared" si="45"/>
        <v>73.7157554441223</v>
      </c>
      <c r="S297" s="97"/>
      <c r="T297" s="97"/>
    </row>
    <row r="298" spans="1:20" ht="12.75" customHeight="1">
      <c r="A298" s="412"/>
      <c r="B298" s="36">
        <v>6</v>
      </c>
      <c r="C298" s="281" t="s">
        <v>183</v>
      </c>
      <c r="D298" s="197">
        <v>19</v>
      </c>
      <c r="E298" s="197">
        <v>1984</v>
      </c>
      <c r="F298" s="609">
        <v>9.039</v>
      </c>
      <c r="G298" s="609">
        <v>1.53</v>
      </c>
      <c r="H298" s="609">
        <v>3.04</v>
      </c>
      <c r="I298" s="609">
        <v>4.469</v>
      </c>
      <c r="J298" s="135">
        <v>1053.81</v>
      </c>
      <c r="K298" s="609">
        <v>4.42</v>
      </c>
      <c r="L298" s="135">
        <v>994.89</v>
      </c>
      <c r="M298" s="164">
        <f t="shared" si="42"/>
        <v>0.004442702208284333</v>
      </c>
      <c r="N298" s="163">
        <v>343.459</v>
      </c>
      <c r="O298" s="163">
        <f t="shared" si="43"/>
        <v>1.5258860577551288</v>
      </c>
      <c r="P298" s="185">
        <f t="shared" si="44"/>
        <v>266.56213249706</v>
      </c>
      <c r="Q298" s="251">
        <f t="shared" si="45"/>
        <v>91.55316346530773</v>
      </c>
      <c r="S298" s="97"/>
      <c r="T298" s="97"/>
    </row>
    <row r="299" spans="1:20" ht="12.75" customHeight="1">
      <c r="A299" s="412"/>
      <c r="B299" s="36">
        <v>7</v>
      </c>
      <c r="C299" s="281" t="s">
        <v>477</v>
      </c>
      <c r="D299" s="197">
        <v>50</v>
      </c>
      <c r="E299" s="197">
        <v>1980</v>
      </c>
      <c r="F299" s="609">
        <v>26.236</v>
      </c>
      <c r="G299" s="609">
        <v>4.59</v>
      </c>
      <c r="H299" s="609">
        <v>8</v>
      </c>
      <c r="I299" s="609">
        <v>13.646</v>
      </c>
      <c r="J299" s="135">
        <v>3015.29</v>
      </c>
      <c r="K299" s="609">
        <v>13.646</v>
      </c>
      <c r="L299" s="135">
        <v>3015.29</v>
      </c>
      <c r="M299" s="164">
        <f t="shared" si="42"/>
        <v>0.00452560118595558</v>
      </c>
      <c r="N299" s="163">
        <v>343.549</v>
      </c>
      <c r="O299" s="163">
        <f t="shared" si="43"/>
        <v>1.5547657618338533</v>
      </c>
      <c r="P299" s="185">
        <f t="shared" si="44"/>
        <v>271.5360711573348</v>
      </c>
      <c r="Q299" s="251">
        <f t="shared" si="45"/>
        <v>93.2859457100312</v>
      </c>
      <c r="S299" s="97"/>
      <c r="T299" s="97"/>
    </row>
    <row r="300" spans="1:20" ht="12.75" customHeight="1">
      <c r="A300" s="412"/>
      <c r="B300" s="36">
        <v>8</v>
      </c>
      <c r="C300" s="281" t="s">
        <v>182</v>
      </c>
      <c r="D300" s="197">
        <v>38</v>
      </c>
      <c r="E300" s="197">
        <v>1982</v>
      </c>
      <c r="F300" s="609">
        <v>19.791</v>
      </c>
      <c r="G300" s="609">
        <v>2.897</v>
      </c>
      <c r="H300" s="609">
        <v>6.4</v>
      </c>
      <c r="I300" s="609">
        <v>10.494</v>
      </c>
      <c r="J300" s="135">
        <v>2278.82</v>
      </c>
      <c r="K300" s="609">
        <v>9.86</v>
      </c>
      <c r="L300" s="135">
        <v>2160.52</v>
      </c>
      <c r="M300" s="164">
        <f t="shared" si="42"/>
        <v>0.004563716142410161</v>
      </c>
      <c r="N300" s="163">
        <v>343.459</v>
      </c>
      <c r="O300" s="163">
        <f t="shared" si="43"/>
        <v>1.5674493825560514</v>
      </c>
      <c r="P300" s="185">
        <f t="shared" si="44"/>
        <v>273.82296854460964</v>
      </c>
      <c r="Q300" s="251">
        <f t="shared" si="45"/>
        <v>94.04696295336308</v>
      </c>
      <c r="S300" s="97"/>
      <c r="T300" s="97"/>
    </row>
    <row r="301" spans="1:20" ht="13.5" customHeight="1">
      <c r="A301" s="412"/>
      <c r="B301" s="36">
        <v>9</v>
      </c>
      <c r="C301" s="281" t="s">
        <v>185</v>
      </c>
      <c r="D301" s="197">
        <v>40</v>
      </c>
      <c r="E301" s="197">
        <v>1987</v>
      </c>
      <c r="F301" s="609">
        <v>19.712</v>
      </c>
      <c r="G301" s="609">
        <v>2.04</v>
      </c>
      <c r="H301" s="609">
        <v>6.4</v>
      </c>
      <c r="I301" s="609">
        <v>11.272</v>
      </c>
      <c r="J301" s="135">
        <v>2280.42</v>
      </c>
      <c r="K301" s="609">
        <v>11.272</v>
      </c>
      <c r="L301" s="135">
        <v>2280.42</v>
      </c>
      <c r="M301" s="164">
        <f t="shared" si="42"/>
        <v>0.0049429491058664635</v>
      </c>
      <c r="N301" s="163">
        <v>343.459</v>
      </c>
      <c r="O301" s="163">
        <f t="shared" si="43"/>
        <v>1.6977003569517897</v>
      </c>
      <c r="P301" s="185">
        <f t="shared" si="44"/>
        <v>296.57694635198783</v>
      </c>
      <c r="Q301" s="251">
        <f t="shared" si="45"/>
        <v>101.86202141710739</v>
      </c>
      <c r="S301" s="97"/>
      <c r="T301" s="97"/>
    </row>
    <row r="302" spans="1:20" ht="13.5" customHeight="1" thickBot="1">
      <c r="A302" s="413"/>
      <c r="B302" s="103">
        <v>10</v>
      </c>
      <c r="C302" s="296" t="s">
        <v>184</v>
      </c>
      <c r="D302" s="198">
        <v>20</v>
      </c>
      <c r="E302" s="198">
        <v>1969</v>
      </c>
      <c r="F302" s="613">
        <v>11.285</v>
      </c>
      <c r="G302" s="613">
        <v>1.122</v>
      </c>
      <c r="H302" s="613">
        <v>3.2</v>
      </c>
      <c r="I302" s="613">
        <v>6.963</v>
      </c>
      <c r="J302" s="276">
        <v>1259.31</v>
      </c>
      <c r="K302" s="613">
        <v>6.963</v>
      </c>
      <c r="L302" s="276">
        <v>1259.31</v>
      </c>
      <c r="M302" s="332">
        <f t="shared" si="42"/>
        <v>0.005529218381494628</v>
      </c>
      <c r="N302" s="260">
        <v>343.459</v>
      </c>
      <c r="O302" s="260">
        <f t="shared" si="43"/>
        <v>1.8990598160897636</v>
      </c>
      <c r="P302" s="260">
        <f t="shared" si="44"/>
        <v>331.7531028896777</v>
      </c>
      <c r="Q302" s="261">
        <f t="shared" si="45"/>
        <v>113.9435889653858</v>
      </c>
      <c r="S302" s="97"/>
      <c r="T302" s="97"/>
    </row>
    <row r="303" spans="1:20" ht="12.75">
      <c r="A303" s="528" t="s">
        <v>30</v>
      </c>
      <c r="B303" s="366">
        <v>1</v>
      </c>
      <c r="C303" s="529" t="s">
        <v>478</v>
      </c>
      <c r="D303" s="371">
        <v>24</v>
      </c>
      <c r="E303" s="371">
        <v>1960</v>
      </c>
      <c r="F303" s="671">
        <v>12.292</v>
      </c>
      <c r="G303" s="671">
        <v>1.122</v>
      </c>
      <c r="H303" s="671">
        <v>3.84</v>
      </c>
      <c r="I303" s="671">
        <v>7.33</v>
      </c>
      <c r="J303" s="952">
        <v>1110.04</v>
      </c>
      <c r="K303" s="671">
        <v>7.33</v>
      </c>
      <c r="L303" s="918">
        <v>1110.04</v>
      </c>
      <c r="M303" s="675">
        <f t="shared" si="42"/>
        <v>0.00660336564448128</v>
      </c>
      <c r="N303" s="674">
        <v>343.459</v>
      </c>
      <c r="O303" s="674">
        <f t="shared" si="43"/>
        <v>2.267985360887896</v>
      </c>
      <c r="P303" s="674">
        <f t="shared" si="44"/>
        <v>396.20193866887683</v>
      </c>
      <c r="Q303" s="676">
        <f t="shared" si="45"/>
        <v>136.07912165327377</v>
      </c>
      <c r="S303" s="97"/>
      <c r="T303" s="97"/>
    </row>
    <row r="304" spans="1:20" ht="12.75">
      <c r="A304" s="530"/>
      <c r="B304" s="367">
        <v>2</v>
      </c>
      <c r="C304" s="531" t="s">
        <v>191</v>
      </c>
      <c r="D304" s="368">
        <v>3</v>
      </c>
      <c r="E304" s="368">
        <v>1900</v>
      </c>
      <c r="F304" s="677">
        <v>6.406</v>
      </c>
      <c r="G304" s="677">
        <v>0.816</v>
      </c>
      <c r="H304" s="677">
        <v>1.92</v>
      </c>
      <c r="I304" s="677">
        <v>3.67</v>
      </c>
      <c r="J304" s="652">
        <v>558.26</v>
      </c>
      <c r="K304" s="677">
        <v>3.58</v>
      </c>
      <c r="L304" s="652">
        <v>485.29</v>
      </c>
      <c r="M304" s="679">
        <f t="shared" si="42"/>
        <v>0.007377032289970945</v>
      </c>
      <c r="N304" s="678">
        <v>343.459</v>
      </c>
      <c r="O304" s="678">
        <f t="shared" si="43"/>
        <v>2.533708133281131</v>
      </c>
      <c r="P304" s="674">
        <f t="shared" si="44"/>
        <v>442.6219373982567</v>
      </c>
      <c r="Q304" s="680">
        <f t="shared" si="45"/>
        <v>152.02248799686785</v>
      </c>
      <c r="S304" s="97"/>
      <c r="T304" s="97"/>
    </row>
    <row r="305" spans="1:20" ht="12.75">
      <c r="A305" s="530"/>
      <c r="B305" s="367">
        <v>3</v>
      </c>
      <c r="C305" s="531" t="s">
        <v>479</v>
      </c>
      <c r="D305" s="368">
        <v>12</v>
      </c>
      <c r="E305" s="368">
        <v>1980</v>
      </c>
      <c r="F305" s="677">
        <v>6.686</v>
      </c>
      <c r="G305" s="677">
        <v>1.02</v>
      </c>
      <c r="H305" s="677">
        <v>1.76</v>
      </c>
      <c r="I305" s="677">
        <v>3.906</v>
      </c>
      <c r="J305" s="652">
        <v>584.73</v>
      </c>
      <c r="K305" s="677">
        <v>3.91</v>
      </c>
      <c r="L305" s="652">
        <v>523.49</v>
      </c>
      <c r="M305" s="679">
        <f t="shared" si="42"/>
        <v>0.0074691016065254355</v>
      </c>
      <c r="N305" s="678">
        <v>343.459</v>
      </c>
      <c r="O305" s="678">
        <f t="shared" si="43"/>
        <v>2.5653301686756196</v>
      </c>
      <c r="P305" s="674">
        <f t="shared" si="44"/>
        <v>448.14609639152616</v>
      </c>
      <c r="Q305" s="680">
        <f t="shared" si="45"/>
        <v>153.9198101205372</v>
      </c>
      <c r="S305" s="97"/>
      <c r="T305" s="97"/>
    </row>
    <row r="306" spans="1:20" ht="12.75">
      <c r="A306" s="530"/>
      <c r="B306" s="367">
        <v>4</v>
      </c>
      <c r="C306" s="531" t="s">
        <v>480</v>
      </c>
      <c r="D306" s="368">
        <v>8</v>
      </c>
      <c r="E306" s="368">
        <v>1989</v>
      </c>
      <c r="F306" s="677">
        <v>5.231</v>
      </c>
      <c r="G306" s="677">
        <v>0.153</v>
      </c>
      <c r="H306" s="677">
        <v>0.08</v>
      </c>
      <c r="I306" s="677">
        <v>4.998</v>
      </c>
      <c r="J306" s="652">
        <v>729.13</v>
      </c>
      <c r="K306" s="677">
        <v>1.78</v>
      </c>
      <c r="L306" s="652">
        <v>236.04</v>
      </c>
      <c r="M306" s="679">
        <f t="shared" si="42"/>
        <v>0.00754109472970683</v>
      </c>
      <c r="N306" s="678">
        <v>343.459</v>
      </c>
      <c r="O306" s="678">
        <f t="shared" si="43"/>
        <v>2.590056854770378</v>
      </c>
      <c r="P306" s="674">
        <f t="shared" si="44"/>
        <v>452.46568378240977</v>
      </c>
      <c r="Q306" s="680">
        <f t="shared" si="45"/>
        <v>155.40341128622268</v>
      </c>
      <c r="S306" s="97"/>
      <c r="T306" s="97"/>
    </row>
    <row r="307" spans="1:20" ht="12.75">
      <c r="A307" s="530"/>
      <c r="B307" s="367">
        <v>5</v>
      </c>
      <c r="C307" s="531" t="s">
        <v>481</v>
      </c>
      <c r="D307" s="368">
        <v>45</v>
      </c>
      <c r="E307" s="368">
        <v>1968</v>
      </c>
      <c r="F307" s="677">
        <v>23.863</v>
      </c>
      <c r="G307" s="677">
        <v>2.55</v>
      </c>
      <c r="H307" s="677">
        <v>7.2</v>
      </c>
      <c r="I307" s="677">
        <v>14.113</v>
      </c>
      <c r="J307" s="652">
        <v>1855.91</v>
      </c>
      <c r="K307" s="677">
        <v>14.113</v>
      </c>
      <c r="L307" s="652">
        <v>1855.91</v>
      </c>
      <c r="M307" s="679">
        <f t="shared" si="42"/>
        <v>0.007604355814667736</v>
      </c>
      <c r="N307" s="674">
        <v>343.459</v>
      </c>
      <c r="O307" s="678">
        <f t="shared" si="43"/>
        <v>2.611784443749966</v>
      </c>
      <c r="P307" s="674">
        <f t="shared" si="44"/>
        <v>456.2613488800642</v>
      </c>
      <c r="Q307" s="680">
        <f t="shared" si="45"/>
        <v>156.70706662499796</v>
      </c>
      <c r="S307" s="97"/>
      <c r="T307" s="97"/>
    </row>
    <row r="308" spans="1:20" ht="12.75">
      <c r="A308" s="530"/>
      <c r="B308" s="367">
        <v>6</v>
      </c>
      <c r="C308" s="531" t="s">
        <v>190</v>
      </c>
      <c r="D308" s="368">
        <v>21</v>
      </c>
      <c r="E308" s="368">
        <v>1986</v>
      </c>
      <c r="F308" s="677">
        <v>14.334</v>
      </c>
      <c r="G308" s="677">
        <v>1.938</v>
      </c>
      <c r="H308" s="677">
        <v>3.52</v>
      </c>
      <c r="I308" s="677">
        <v>8.876</v>
      </c>
      <c r="J308" s="652">
        <v>1161.95</v>
      </c>
      <c r="K308" s="677">
        <v>8.38</v>
      </c>
      <c r="L308" s="652">
        <v>1097.49</v>
      </c>
      <c r="M308" s="679">
        <f t="shared" si="42"/>
        <v>0.0076356048802266995</v>
      </c>
      <c r="N308" s="678">
        <v>343.459</v>
      </c>
      <c r="O308" s="678">
        <f t="shared" si="43"/>
        <v>2.622517216557782</v>
      </c>
      <c r="P308" s="674">
        <f t="shared" si="44"/>
        <v>458.136292813602</v>
      </c>
      <c r="Q308" s="680">
        <f t="shared" si="45"/>
        <v>157.3510329934669</v>
      </c>
      <c r="S308" s="97"/>
      <c r="T308" s="97"/>
    </row>
    <row r="309" spans="1:20" ht="12.75">
      <c r="A309" s="530"/>
      <c r="B309" s="367">
        <v>7</v>
      </c>
      <c r="C309" s="531" t="s">
        <v>188</v>
      </c>
      <c r="D309" s="368">
        <v>23</v>
      </c>
      <c r="E309" s="368">
        <v>1963</v>
      </c>
      <c r="F309" s="677">
        <v>9.7568</v>
      </c>
      <c r="G309" s="677">
        <v>1.326</v>
      </c>
      <c r="H309" s="677">
        <v>0.24</v>
      </c>
      <c r="I309" s="677">
        <v>8.1908</v>
      </c>
      <c r="J309" s="652">
        <v>1070.85</v>
      </c>
      <c r="K309" s="677">
        <v>7.87</v>
      </c>
      <c r="L309" s="652">
        <v>1029.11</v>
      </c>
      <c r="M309" s="679">
        <f t="shared" si="42"/>
        <v>0.007647384633323941</v>
      </c>
      <c r="N309" s="678">
        <v>343.459</v>
      </c>
      <c r="O309" s="678">
        <f t="shared" si="43"/>
        <v>2.6265630787768077</v>
      </c>
      <c r="P309" s="674">
        <f t="shared" si="44"/>
        <v>458.84307799943645</v>
      </c>
      <c r="Q309" s="680">
        <f t="shared" si="45"/>
        <v>157.59378472660845</v>
      </c>
      <c r="S309" s="97"/>
      <c r="T309" s="97"/>
    </row>
    <row r="310" spans="1:20" ht="12.75">
      <c r="A310" s="530"/>
      <c r="B310" s="367">
        <v>8</v>
      </c>
      <c r="C310" s="531" t="s">
        <v>189</v>
      </c>
      <c r="D310" s="368">
        <v>12</v>
      </c>
      <c r="E310" s="368">
        <v>1980</v>
      </c>
      <c r="F310" s="677">
        <v>6.073</v>
      </c>
      <c r="G310" s="677">
        <v>0.357</v>
      </c>
      <c r="H310" s="677">
        <v>1.6</v>
      </c>
      <c r="I310" s="677">
        <v>4.116</v>
      </c>
      <c r="J310" s="652">
        <v>587.63</v>
      </c>
      <c r="K310" s="677">
        <v>3.99</v>
      </c>
      <c r="L310" s="652">
        <v>468.68</v>
      </c>
      <c r="M310" s="679">
        <f t="shared" si="42"/>
        <v>0.008513271315183068</v>
      </c>
      <c r="N310" s="674">
        <v>343.459</v>
      </c>
      <c r="O310" s="678">
        <f t="shared" si="43"/>
        <v>2.9239596526414613</v>
      </c>
      <c r="P310" s="674">
        <f t="shared" si="44"/>
        <v>510.79627891098414</v>
      </c>
      <c r="Q310" s="680">
        <f t="shared" si="45"/>
        <v>175.4375791584877</v>
      </c>
      <c r="S310" s="97"/>
      <c r="T310" s="97"/>
    </row>
    <row r="311" spans="1:20" ht="12.75">
      <c r="A311" s="532"/>
      <c r="B311" s="533">
        <v>9</v>
      </c>
      <c r="C311" s="531" t="s">
        <v>194</v>
      </c>
      <c r="D311" s="368">
        <v>4</v>
      </c>
      <c r="E311" s="368">
        <v>1947</v>
      </c>
      <c r="F311" s="677">
        <v>3.957</v>
      </c>
      <c r="G311" s="677">
        <v>0.663</v>
      </c>
      <c r="H311" s="677">
        <v>0.72</v>
      </c>
      <c r="I311" s="677">
        <v>2.574</v>
      </c>
      <c r="J311" s="652">
        <v>256.84</v>
      </c>
      <c r="K311" s="677">
        <v>2.24</v>
      </c>
      <c r="L311" s="652">
        <v>224.01</v>
      </c>
      <c r="M311" s="679">
        <f t="shared" si="42"/>
        <v>0.00999955359135753</v>
      </c>
      <c r="N311" s="678">
        <v>343.459</v>
      </c>
      <c r="O311" s="678">
        <f t="shared" si="43"/>
        <v>3.434436676934066</v>
      </c>
      <c r="P311" s="674">
        <f t="shared" si="44"/>
        <v>599.9732154814518</v>
      </c>
      <c r="Q311" s="680">
        <f t="shared" si="45"/>
        <v>206.06620061604397</v>
      </c>
      <c r="S311" s="97"/>
      <c r="T311" s="97"/>
    </row>
    <row r="312" spans="1:20" ht="13.5" thickBot="1">
      <c r="A312" s="534"/>
      <c r="B312" s="535">
        <v>10</v>
      </c>
      <c r="C312" s="536" t="s">
        <v>192</v>
      </c>
      <c r="D312" s="372">
        <v>6</v>
      </c>
      <c r="E312" s="372">
        <v>1910</v>
      </c>
      <c r="F312" s="681">
        <v>4.398</v>
      </c>
      <c r="G312" s="681">
        <v>0.306</v>
      </c>
      <c r="H312" s="681">
        <v>0.96</v>
      </c>
      <c r="I312" s="681">
        <v>3.132</v>
      </c>
      <c r="J312" s="658">
        <v>303.9</v>
      </c>
      <c r="K312" s="681">
        <v>3.132</v>
      </c>
      <c r="L312" s="658">
        <v>303.9</v>
      </c>
      <c r="M312" s="684">
        <f t="shared" si="42"/>
        <v>0.010306021717670288</v>
      </c>
      <c r="N312" s="683">
        <v>343.459</v>
      </c>
      <c r="O312" s="683">
        <f t="shared" si="43"/>
        <v>3.5396959131293193</v>
      </c>
      <c r="P312" s="683">
        <f t="shared" si="44"/>
        <v>618.3613030602173</v>
      </c>
      <c r="Q312" s="685">
        <f t="shared" si="45"/>
        <v>212.38175478775918</v>
      </c>
      <c r="S312" s="97"/>
      <c r="T312" s="97"/>
    </row>
    <row r="313" spans="1:20" ht="12.75">
      <c r="A313" s="418" t="s">
        <v>12</v>
      </c>
      <c r="B313" s="40">
        <v>1</v>
      </c>
      <c r="C313" s="524" t="s">
        <v>198</v>
      </c>
      <c r="D313" s="525">
        <v>19</v>
      </c>
      <c r="E313" s="525">
        <v>1961</v>
      </c>
      <c r="F313" s="733">
        <v>10.767</v>
      </c>
      <c r="G313" s="733">
        <v>1.326</v>
      </c>
      <c r="H313" s="733">
        <v>0.21</v>
      </c>
      <c r="I313" s="733">
        <v>9.231</v>
      </c>
      <c r="J313" s="953">
        <v>886.26</v>
      </c>
      <c r="K313" s="733">
        <v>6.97</v>
      </c>
      <c r="L313" s="922">
        <v>669.1</v>
      </c>
      <c r="M313" s="714">
        <f t="shared" si="42"/>
        <v>0.010416978030189806</v>
      </c>
      <c r="N313" s="715">
        <v>343.459</v>
      </c>
      <c r="O313" s="715">
        <f t="shared" si="43"/>
        <v>3.5778048572709604</v>
      </c>
      <c r="P313" s="715">
        <f t="shared" si="44"/>
        <v>625.0186818113883</v>
      </c>
      <c r="Q313" s="716">
        <f t="shared" si="45"/>
        <v>214.66829143625762</v>
      </c>
      <c r="S313" s="97"/>
      <c r="T313" s="97"/>
    </row>
    <row r="314" spans="1:20" ht="12.75">
      <c r="A314" s="382"/>
      <c r="B314" s="42">
        <v>2</v>
      </c>
      <c r="C314" s="282" t="s">
        <v>196</v>
      </c>
      <c r="D314" s="283">
        <v>9</v>
      </c>
      <c r="E314" s="283">
        <v>1925</v>
      </c>
      <c r="F314" s="727">
        <v>5.67</v>
      </c>
      <c r="G314" s="727">
        <v>0.459</v>
      </c>
      <c r="H314" s="727">
        <v>1.6</v>
      </c>
      <c r="I314" s="727">
        <v>3.611</v>
      </c>
      <c r="J314" s="751">
        <v>392.63</v>
      </c>
      <c r="K314" s="727">
        <v>3.48</v>
      </c>
      <c r="L314" s="751">
        <v>326.76</v>
      </c>
      <c r="M314" s="721">
        <f t="shared" si="42"/>
        <v>0.010650018362100624</v>
      </c>
      <c r="N314" s="722">
        <v>343.459</v>
      </c>
      <c r="O314" s="722">
        <f t="shared" si="43"/>
        <v>3.6578446566287184</v>
      </c>
      <c r="P314" s="715">
        <f t="shared" si="44"/>
        <v>639.0011017260375</v>
      </c>
      <c r="Q314" s="723">
        <f t="shared" si="45"/>
        <v>219.4706793977231</v>
      </c>
      <c r="S314" s="97"/>
      <c r="T314" s="97"/>
    </row>
    <row r="315" spans="1:20" ht="12.75">
      <c r="A315" s="382"/>
      <c r="B315" s="42">
        <v>3</v>
      </c>
      <c r="C315" s="282" t="s">
        <v>193</v>
      </c>
      <c r="D315" s="283">
        <v>6</v>
      </c>
      <c r="E315" s="283">
        <v>1930</v>
      </c>
      <c r="F315" s="727">
        <v>3.83</v>
      </c>
      <c r="G315" s="727">
        <v>0.102</v>
      </c>
      <c r="H315" s="727">
        <v>0.8</v>
      </c>
      <c r="I315" s="727">
        <v>2.928</v>
      </c>
      <c r="J315" s="751">
        <v>323.39</v>
      </c>
      <c r="K315" s="727">
        <v>2.85</v>
      </c>
      <c r="L315" s="751">
        <v>266.7</v>
      </c>
      <c r="M315" s="721">
        <f t="shared" si="42"/>
        <v>0.010686164229471317</v>
      </c>
      <c r="N315" s="722">
        <v>343.459</v>
      </c>
      <c r="O315" s="722">
        <f t="shared" si="43"/>
        <v>3.670259280089989</v>
      </c>
      <c r="P315" s="715">
        <f t="shared" si="44"/>
        <v>641.1698537682789</v>
      </c>
      <c r="Q315" s="723">
        <f t="shared" si="45"/>
        <v>220.2155568053993</v>
      </c>
      <c r="S315" s="97"/>
      <c r="T315" s="97"/>
    </row>
    <row r="316" spans="1:20" ht="12.75">
      <c r="A316" s="382"/>
      <c r="B316" s="42">
        <v>4</v>
      </c>
      <c r="C316" s="282" t="s">
        <v>199</v>
      </c>
      <c r="D316" s="283">
        <v>12</v>
      </c>
      <c r="E316" s="283">
        <v>1962</v>
      </c>
      <c r="F316" s="727">
        <v>7.693</v>
      </c>
      <c r="G316" s="727">
        <v>0.459</v>
      </c>
      <c r="H316" s="727">
        <v>0.14</v>
      </c>
      <c r="I316" s="727">
        <v>7.094</v>
      </c>
      <c r="J316" s="751">
        <v>864.16</v>
      </c>
      <c r="K316" s="727">
        <v>5.88</v>
      </c>
      <c r="L316" s="751">
        <v>544.13</v>
      </c>
      <c r="M316" s="721">
        <f t="shared" si="42"/>
        <v>0.010806241155606197</v>
      </c>
      <c r="N316" s="722">
        <v>343.459</v>
      </c>
      <c r="O316" s="722">
        <f t="shared" si="43"/>
        <v>3.711500781063349</v>
      </c>
      <c r="P316" s="715">
        <f t="shared" si="44"/>
        <v>648.3744693363719</v>
      </c>
      <c r="Q316" s="723">
        <f t="shared" si="45"/>
        <v>222.69004686380097</v>
      </c>
      <c r="S316" s="97"/>
      <c r="T316" s="97"/>
    </row>
    <row r="317" spans="1:20" ht="12.75">
      <c r="A317" s="382"/>
      <c r="B317" s="42">
        <v>5</v>
      </c>
      <c r="C317" s="539" t="s">
        <v>195</v>
      </c>
      <c r="D317" s="283">
        <v>4</v>
      </c>
      <c r="E317" s="283">
        <v>1930</v>
      </c>
      <c r="F317" s="727">
        <v>3.939</v>
      </c>
      <c r="G317" s="727">
        <v>0.408</v>
      </c>
      <c r="H317" s="727">
        <v>0.07</v>
      </c>
      <c r="I317" s="727">
        <v>3.461</v>
      </c>
      <c r="J317" s="751">
        <v>319.18</v>
      </c>
      <c r="K317" s="727">
        <v>1.73</v>
      </c>
      <c r="L317" s="751">
        <v>159.84</v>
      </c>
      <c r="M317" s="721">
        <f t="shared" si="42"/>
        <v>0.010823323323323322</v>
      </c>
      <c r="N317" s="42">
        <v>343.459</v>
      </c>
      <c r="O317" s="722">
        <f t="shared" si="43"/>
        <v>3.717367805305305</v>
      </c>
      <c r="P317" s="715">
        <f t="shared" si="44"/>
        <v>649.3993993993994</v>
      </c>
      <c r="Q317" s="723">
        <f t="shared" si="45"/>
        <v>223.04206831831831</v>
      </c>
      <c r="S317" s="97"/>
      <c r="T317" s="97"/>
    </row>
    <row r="318" spans="1:20" ht="12.75">
      <c r="A318" s="382"/>
      <c r="B318" s="42">
        <v>6</v>
      </c>
      <c r="C318" s="282" t="s">
        <v>200</v>
      </c>
      <c r="D318" s="283">
        <v>15</v>
      </c>
      <c r="E318" s="283">
        <v>1969</v>
      </c>
      <c r="F318" s="727">
        <v>8.098</v>
      </c>
      <c r="G318" s="727">
        <v>0.612</v>
      </c>
      <c r="H318" s="727">
        <v>0.15</v>
      </c>
      <c r="I318" s="727">
        <v>7.336</v>
      </c>
      <c r="J318" s="751">
        <v>617.45</v>
      </c>
      <c r="K318" s="727">
        <v>6.68</v>
      </c>
      <c r="L318" s="751">
        <v>562.44</v>
      </c>
      <c r="M318" s="721">
        <f t="shared" si="42"/>
        <v>0.011876822416613326</v>
      </c>
      <c r="N318" s="722">
        <v>343.459</v>
      </c>
      <c r="O318" s="722">
        <f t="shared" si="43"/>
        <v>4.079201550387596</v>
      </c>
      <c r="P318" s="715">
        <f t="shared" si="44"/>
        <v>712.6093449967996</v>
      </c>
      <c r="Q318" s="723">
        <f t="shared" si="45"/>
        <v>244.75209302325578</v>
      </c>
      <c r="S318" s="97"/>
      <c r="T318" s="97"/>
    </row>
    <row r="319" spans="1:20" ht="12.75">
      <c r="A319" s="382"/>
      <c r="B319" s="42">
        <v>7</v>
      </c>
      <c r="C319" s="282" t="s">
        <v>482</v>
      </c>
      <c r="D319" s="283">
        <v>12</v>
      </c>
      <c r="E319" s="283">
        <v>1968</v>
      </c>
      <c r="F319" s="727">
        <v>6.641</v>
      </c>
      <c r="G319" s="727">
        <v>0.153</v>
      </c>
      <c r="H319" s="727">
        <v>0.08</v>
      </c>
      <c r="I319" s="727">
        <v>6.408</v>
      </c>
      <c r="J319" s="751">
        <v>489.67</v>
      </c>
      <c r="K319" s="727">
        <v>4.91</v>
      </c>
      <c r="L319" s="751">
        <v>409.77</v>
      </c>
      <c r="M319" s="721">
        <f t="shared" si="42"/>
        <v>0.011982331551846158</v>
      </c>
      <c r="N319" s="722">
        <v>344.459</v>
      </c>
      <c r="O319" s="722">
        <f t="shared" si="43"/>
        <v>4.127421944017375</v>
      </c>
      <c r="P319" s="715">
        <f t="shared" si="44"/>
        <v>718.9398931107694</v>
      </c>
      <c r="Q319" s="723">
        <f t="shared" si="45"/>
        <v>247.6453166410425</v>
      </c>
      <c r="S319" s="97"/>
      <c r="T319" s="97"/>
    </row>
    <row r="320" spans="1:20" ht="12.75">
      <c r="A320" s="382"/>
      <c r="B320" s="42">
        <v>8</v>
      </c>
      <c r="C320" s="282" t="s">
        <v>197</v>
      </c>
      <c r="D320" s="283">
        <v>11</v>
      </c>
      <c r="E320" s="283">
        <v>1961</v>
      </c>
      <c r="F320" s="727">
        <v>7.521</v>
      </c>
      <c r="G320" s="727">
        <v>0.51</v>
      </c>
      <c r="H320" s="727">
        <v>0.11</v>
      </c>
      <c r="I320" s="727">
        <v>6.901</v>
      </c>
      <c r="J320" s="751">
        <v>524.32</v>
      </c>
      <c r="K320" s="727">
        <v>6.25</v>
      </c>
      <c r="L320" s="751">
        <v>474.9</v>
      </c>
      <c r="M320" s="721">
        <f t="shared" si="42"/>
        <v>0.013160665403242788</v>
      </c>
      <c r="N320" s="722">
        <v>343.459</v>
      </c>
      <c r="O320" s="722">
        <f t="shared" si="43"/>
        <v>4.520148978732365</v>
      </c>
      <c r="P320" s="715">
        <f t="shared" si="44"/>
        <v>789.6399241945674</v>
      </c>
      <c r="Q320" s="723">
        <f t="shared" si="45"/>
        <v>271.2089387239419</v>
      </c>
      <c r="S320" s="97"/>
      <c r="T320" s="97"/>
    </row>
    <row r="321" spans="1:20" ht="12.75">
      <c r="A321" s="382"/>
      <c r="B321" s="42">
        <v>9</v>
      </c>
      <c r="C321" s="539" t="s">
        <v>201</v>
      </c>
      <c r="D321" s="283">
        <v>18</v>
      </c>
      <c r="E321" s="283">
        <v>1961</v>
      </c>
      <c r="F321" s="727">
        <v>16.003</v>
      </c>
      <c r="G321" s="727">
        <v>1.938</v>
      </c>
      <c r="H321" s="727">
        <v>0.21</v>
      </c>
      <c r="I321" s="727">
        <v>13.855</v>
      </c>
      <c r="J321" s="751">
        <v>887.64</v>
      </c>
      <c r="K321" s="727">
        <v>11.35</v>
      </c>
      <c r="L321" s="751">
        <v>726.9</v>
      </c>
      <c r="M321" s="721">
        <f t="shared" si="42"/>
        <v>0.015614252304305958</v>
      </c>
      <c r="N321" s="42">
        <v>343.459</v>
      </c>
      <c r="O321" s="722">
        <f t="shared" si="43"/>
        <v>5.36285548218462</v>
      </c>
      <c r="P321" s="715">
        <f t="shared" si="44"/>
        <v>936.8551382583574</v>
      </c>
      <c r="Q321" s="723">
        <f t="shared" si="45"/>
        <v>321.7713289310772</v>
      </c>
      <c r="S321" s="97"/>
      <c r="T321" s="97"/>
    </row>
    <row r="322" spans="1:20" ht="13.5" thickBot="1">
      <c r="A322" s="383"/>
      <c r="B322" s="47">
        <v>10</v>
      </c>
      <c r="C322" s="526" t="s">
        <v>187</v>
      </c>
      <c r="D322" s="527">
        <v>4</v>
      </c>
      <c r="E322" s="527">
        <v>1914</v>
      </c>
      <c r="F322" s="728">
        <v>4.065</v>
      </c>
      <c r="G322" s="728">
        <v>0.204</v>
      </c>
      <c r="H322" s="728">
        <v>0.64</v>
      </c>
      <c r="I322" s="728">
        <v>3.221</v>
      </c>
      <c r="J322" s="926">
        <v>203.32</v>
      </c>
      <c r="K322" s="728">
        <v>2.39</v>
      </c>
      <c r="L322" s="926">
        <v>151.17</v>
      </c>
      <c r="M322" s="717">
        <f t="shared" si="42"/>
        <v>0.015810015214658996</v>
      </c>
      <c r="N322" s="718">
        <v>343.459</v>
      </c>
      <c r="O322" s="718">
        <f t="shared" si="43"/>
        <v>5.430092015611564</v>
      </c>
      <c r="P322" s="718">
        <f t="shared" si="44"/>
        <v>948.6009128795397</v>
      </c>
      <c r="Q322" s="719">
        <f t="shared" si="45"/>
        <v>325.8055209366938</v>
      </c>
      <c r="S322" s="97"/>
      <c r="T322" s="97"/>
    </row>
    <row r="323" spans="19:20" ht="12.75">
      <c r="S323" s="97"/>
      <c r="T323" s="97"/>
    </row>
    <row r="324" spans="19:20" ht="12.75">
      <c r="S324" s="97"/>
      <c r="T324" s="97"/>
    </row>
    <row r="325" spans="19:20" ht="12.75">
      <c r="S325" s="97"/>
      <c r="T325" s="97"/>
    </row>
    <row r="326" spans="19:20" ht="12.75">
      <c r="S326" s="97"/>
      <c r="T326" s="97"/>
    </row>
    <row r="327" spans="19:20" ht="12.75">
      <c r="S327" s="97"/>
      <c r="T327" s="97"/>
    </row>
    <row r="328" spans="19:20" ht="12.75">
      <c r="S328" s="97"/>
      <c r="T328" s="97"/>
    </row>
    <row r="329" spans="1:20" ht="15">
      <c r="A329" s="419" t="s">
        <v>63</v>
      </c>
      <c r="B329" s="419"/>
      <c r="C329" s="419"/>
      <c r="D329" s="419"/>
      <c r="E329" s="419"/>
      <c r="F329" s="419"/>
      <c r="G329" s="419"/>
      <c r="H329" s="419"/>
      <c r="I329" s="419"/>
      <c r="J329" s="419"/>
      <c r="K329" s="419"/>
      <c r="L329" s="419"/>
      <c r="M329" s="419"/>
      <c r="N329" s="419"/>
      <c r="O329" s="419"/>
      <c r="P329" s="419"/>
      <c r="Q329" s="419"/>
      <c r="S329" s="97"/>
      <c r="T329" s="97"/>
    </row>
    <row r="330" spans="1:20" ht="13.5" thickBot="1">
      <c r="A330" s="420" t="s">
        <v>483</v>
      </c>
      <c r="B330" s="420"/>
      <c r="C330" s="420"/>
      <c r="D330" s="420"/>
      <c r="E330" s="420"/>
      <c r="F330" s="420"/>
      <c r="G330" s="420"/>
      <c r="H330" s="420"/>
      <c r="I330" s="420"/>
      <c r="J330" s="420"/>
      <c r="K330" s="420"/>
      <c r="L330" s="420"/>
      <c r="M330" s="420"/>
      <c r="N330" s="420"/>
      <c r="O330" s="420"/>
      <c r="P330" s="420"/>
      <c r="Q330" s="420"/>
      <c r="S330" s="97"/>
      <c r="T330" s="97"/>
    </row>
    <row r="331" spans="1:20" ht="12.75" customHeight="1">
      <c r="A331" s="395" t="s">
        <v>1</v>
      </c>
      <c r="B331" s="435" t="s">
        <v>0</v>
      </c>
      <c r="C331" s="437" t="s">
        <v>2</v>
      </c>
      <c r="D331" s="384" t="s">
        <v>3</v>
      </c>
      <c r="E331" s="384" t="s">
        <v>13</v>
      </c>
      <c r="F331" s="386" t="s">
        <v>14</v>
      </c>
      <c r="G331" s="387"/>
      <c r="H331" s="387"/>
      <c r="I331" s="388"/>
      <c r="J331" s="384" t="s">
        <v>4</v>
      </c>
      <c r="K331" s="384" t="s">
        <v>15</v>
      </c>
      <c r="L331" s="384" t="s">
        <v>5</v>
      </c>
      <c r="M331" s="384" t="s">
        <v>6</v>
      </c>
      <c r="N331" s="384" t="s">
        <v>16</v>
      </c>
      <c r="O331" s="389" t="s">
        <v>17</v>
      </c>
      <c r="P331" s="384" t="s">
        <v>25</v>
      </c>
      <c r="Q331" s="391" t="s">
        <v>26</v>
      </c>
      <c r="S331" s="97"/>
      <c r="T331" s="97"/>
    </row>
    <row r="332" spans="1:20" s="2" customFormat="1" ht="33.75">
      <c r="A332" s="396"/>
      <c r="B332" s="436"/>
      <c r="C332" s="438"/>
      <c r="D332" s="385"/>
      <c r="E332" s="385"/>
      <c r="F332" s="37" t="s">
        <v>18</v>
      </c>
      <c r="G332" s="37" t="s">
        <v>19</v>
      </c>
      <c r="H332" s="37" t="s">
        <v>20</v>
      </c>
      <c r="I332" s="37" t="s">
        <v>21</v>
      </c>
      <c r="J332" s="385"/>
      <c r="K332" s="385"/>
      <c r="L332" s="385"/>
      <c r="M332" s="385"/>
      <c r="N332" s="385"/>
      <c r="O332" s="390"/>
      <c r="P332" s="385"/>
      <c r="Q332" s="392"/>
      <c r="S332" s="97"/>
      <c r="T332" s="97"/>
    </row>
    <row r="333" spans="1:20" s="3" customFormat="1" ht="13.5" customHeight="1" thickBot="1">
      <c r="A333" s="396"/>
      <c r="B333" s="436"/>
      <c r="C333" s="439"/>
      <c r="D333" s="65" t="s">
        <v>7</v>
      </c>
      <c r="E333" s="65" t="s">
        <v>8</v>
      </c>
      <c r="F333" s="65" t="s">
        <v>9</v>
      </c>
      <c r="G333" s="65" t="s">
        <v>9</v>
      </c>
      <c r="H333" s="65" t="s">
        <v>9</v>
      </c>
      <c r="I333" s="65" t="s">
        <v>9</v>
      </c>
      <c r="J333" s="65" t="s">
        <v>22</v>
      </c>
      <c r="K333" s="65" t="s">
        <v>9</v>
      </c>
      <c r="L333" s="65" t="s">
        <v>22</v>
      </c>
      <c r="M333" s="65" t="s">
        <v>23</v>
      </c>
      <c r="N333" s="65" t="s">
        <v>10</v>
      </c>
      <c r="O333" s="65" t="s">
        <v>24</v>
      </c>
      <c r="P333" s="66" t="s">
        <v>27</v>
      </c>
      <c r="Q333" s="67" t="s">
        <v>28</v>
      </c>
      <c r="S333" s="97"/>
      <c r="T333" s="97"/>
    </row>
    <row r="334" spans="1:20" ht="12.75">
      <c r="A334" s="417" t="s">
        <v>11</v>
      </c>
      <c r="B334" s="31">
        <v>1</v>
      </c>
      <c r="C334" s="583" t="s">
        <v>484</v>
      </c>
      <c r="D334" s="584">
        <v>55</v>
      </c>
      <c r="E334" s="584">
        <v>1990</v>
      </c>
      <c r="F334" s="1027">
        <v>19.855995</v>
      </c>
      <c r="G334" s="1027">
        <v>7.089</v>
      </c>
      <c r="H334" s="1027">
        <v>12.56</v>
      </c>
      <c r="I334" s="1027">
        <v>0.206995</v>
      </c>
      <c r="J334" s="1035">
        <v>3527.73</v>
      </c>
      <c r="K334" s="1027">
        <v>0.206995</v>
      </c>
      <c r="L334" s="1035">
        <v>3527.73</v>
      </c>
      <c r="M334" s="1046">
        <v>5.8E-05</v>
      </c>
      <c r="N334" s="311">
        <v>281.7</v>
      </c>
      <c r="O334" s="1011">
        <f aca="true" t="shared" si="46" ref="O334:O373">M334*N334*1.09</f>
        <v>0.017809074</v>
      </c>
      <c r="P334" s="1011">
        <f aca="true" t="shared" si="47" ref="P334:P373">M334*60*1000</f>
        <v>3.48</v>
      </c>
      <c r="Q334" s="280">
        <f aca="true" t="shared" si="48" ref="Q334:Q343">P334*N334/1000</f>
        <v>0.980316</v>
      </c>
      <c r="R334" s="6"/>
      <c r="S334" s="97"/>
      <c r="T334" s="97"/>
    </row>
    <row r="335" spans="1:20" ht="12.75">
      <c r="A335" s="376"/>
      <c r="B335" s="32">
        <v>2</v>
      </c>
      <c r="C335" s="580" t="s">
        <v>485</v>
      </c>
      <c r="D335" s="313">
        <v>46</v>
      </c>
      <c r="E335" s="313">
        <v>1993</v>
      </c>
      <c r="F335" s="1028">
        <v>17.038996</v>
      </c>
      <c r="G335" s="1028">
        <v>6.106944</v>
      </c>
      <c r="H335" s="1028">
        <v>9.84</v>
      </c>
      <c r="I335" s="1028">
        <v>1.092052</v>
      </c>
      <c r="J335" s="1036">
        <v>2941.14</v>
      </c>
      <c r="K335" s="1028">
        <v>1.005011</v>
      </c>
      <c r="L335" s="1036">
        <v>2706.72</v>
      </c>
      <c r="M335" s="1047">
        <v>0.000371</v>
      </c>
      <c r="N335" s="311">
        <v>281.7</v>
      </c>
      <c r="O335" s="214">
        <f t="shared" si="46"/>
        <v>0.113916663</v>
      </c>
      <c r="P335" s="214">
        <f t="shared" si="47"/>
        <v>22.26</v>
      </c>
      <c r="Q335" s="215">
        <f t="shared" si="48"/>
        <v>6.270642</v>
      </c>
      <c r="S335" s="97"/>
      <c r="T335" s="97"/>
    </row>
    <row r="336" spans="1:20" ht="12.75">
      <c r="A336" s="376"/>
      <c r="B336" s="32">
        <v>3</v>
      </c>
      <c r="C336" s="580" t="s">
        <v>486</v>
      </c>
      <c r="D336" s="313">
        <v>61</v>
      </c>
      <c r="E336" s="313">
        <v>1971</v>
      </c>
      <c r="F336" s="1028">
        <v>18.581601</v>
      </c>
      <c r="G336" s="1028">
        <v>7.0125</v>
      </c>
      <c r="H336" s="1028">
        <v>9.6</v>
      </c>
      <c r="I336" s="1028">
        <v>1.969101</v>
      </c>
      <c r="J336" s="1036">
        <v>3427.38</v>
      </c>
      <c r="K336" s="1028">
        <v>1.969101</v>
      </c>
      <c r="L336" s="1036">
        <v>3427.38</v>
      </c>
      <c r="M336" s="1047">
        <v>0.000574</v>
      </c>
      <c r="N336" s="311">
        <v>281.7</v>
      </c>
      <c r="O336" s="214">
        <f t="shared" si="46"/>
        <v>0.176248422</v>
      </c>
      <c r="P336" s="214">
        <f t="shared" si="47"/>
        <v>34.44</v>
      </c>
      <c r="Q336" s="215">
        <f t="shared" si="48"/>
        <v>9.701748</v>
      </c>
      <c r="S336" s="97"/>
      <c r="T336" s="97"/>
    </row>
    <row r="337" spans="1:20" ht="12.75">
      <c r="A337" s="376"/>
      <c r="B337" s="32">
        <v>4</v>
      </c>
      <c r="C337" s="580" t="s">
        <v>487</v>
      </c>
      <c r="D337" s="313">
        <v>25</v>
      </c>
      <c r="E337" s="313">
        <v>1976</v>
      </c>
      <c r="F337" s="1028">
        <v>7.782998</v>
      </c>
      <c r="G337" s="1028">
        <v>2.56989</v>
      </c>
      <c r="H337" s="1028">
        <v>4</v>
      </c>
      <c r="I337" s="1028">
        <v>1.213108</v>
      </c>
      <c r="J337" s="1036">
        <v>1309.93</v>
      </c>
      <c r="K337" s="1028">
        <v>1.167054</v>
      </c>
      <c r="L337" s="1036">
        <v>1260.2</v>
      </c>
      <c r="M337" s="1047">
        <v>0.000926</v>
      </c>
      <c r="N337" s="311">
        <v>281.7</v>
      </c>
      <c r="O337" s="214">
        <f t="shared" si="46"/>
        <v>0.284331078</v>
      </c>
      <c r="P337" s="214">
        <f t="shared" si="47"/>
        <v>55.559999999999995</v>
      </c>
      <c r="Q337" s="215">
        <f t="shared" si="48"/>
        <v>15.651251999999998</v>
      </c>
      <c r="S337" s="97"/>
      <c r="T337" s="97"/>
    </row>
    <row r="338" spans="1:20" ht="12.75">
      <c r="A338" s="376"/>
      <c r="B338" s="32">
        <v>5</v>
      </c>
      <c r="C338" s="580" t="s">
        <v>488</v>
      </c>
      <c r="D338" s="313">
        <v>55</v>
      </c>
      <c r="E338" s="313">
        <v>1993</v>
      </c>
      <c r="F338" s="1028">
        <v>20.018011</v>
      </c>
      <c r="G338" s="1028">
        <v>7.854</v>
      </c>
      <c r="H338" s="1028">
        <v>8.64</v>
      </c>
      <c r="I338" s="1028">
        <v>3.524011</v>
      </c>
      <c r="J338" s="1036">
        <v>3524.86</v>
      </c>
      <c r="K338" s="1028">
        <v>3.524011</v>
      </c>
      <c r="L338" s="1036">
        <v>3524.86</v>
      </c>
      <c r="M338" s="1047">
        <v>0.000999</v>
      </c>
      <c r="N338" s="311">
        <v>281.7</v>
      </c>
      <c r="O338" s="214">
        <f t="shared" si="46"/>
        <v>0.306745947</v>
      </c>
      <c r="P338" s="214">
        <f t="shared" si="47"/>
        <v>59.940000000000005</v>
      </c>
      <c r="Q338" s="215">
        <f t="shared" si="48"/>
        <v>16.885098000000003</v>
      </c>
      <c r="S338" s="97"/>
      <c r="T338" s="97"/>
    </row>
    <row r="339" spans="1:20" ht="12.75">
      <c r="A339" s="376"/>
      <c r="B339" s="32">
        <v>6</v>
      </c>
      <c r="C339" s="580" t="s">
        <v>489</v>
      </c>
      <c r="D339" s="313">
        <v>100</v>
      </c>
      <c r="E339" s="313">
        <v>1973</v>
      </c>
      <c r="F339" s="1028">
        <v>30.058005</v>
      </c>
      <c r="G339" s="1028">
        <v>9.041127</v>
      </c>
      <c r="H339" s="1028">
        <v>15.971</v>
      </c>
      <c r="I339" s="1028">
        <v>5.045878</v>
      </c>
      <c r="J339" s="1036">
        <v>4362.31</v>
      </c>
      <c r="K339" s="1028">
        <v>5.045878</v>
      </c>
      <c r="L339" s="1036">
        <v>4362.31</v>
      </c>
      <c r="M339" s="1047">
        <v>0.001156</v>
      </c>
      <c r="N339" s="311">
        <v>281.7</v>
      </c>
      <c r="O339" s="214">
        <f t="shared" si="46"/>
        <v>0.354953268</v>
      </c>
      <c r="P339" s="214">
        <f t="shared" si="47"/>
        <v>69.35999999999999</v>
      </c>
      <c r="Q339" s="215">
        <f t="shared" si="48"/>
        <v>19.538711999999997</v>
      </c>
      <c r="S339" s="97"/>
      <c r="T339" s="97"/>
    </row>
    <row r="340" spans="1:20" ht="12.75">
      <c r="A340" s="376"/>
      <c r="B340" s="32">
        <v>7</v>
      </c>
      <c r="C340" s="580" t="s">
        <v>490</v>
      </c>
      <c r="D340" s="313">
        <v>22</v>
      </c>
      <c r="E340" s="313">
        <v>2004</v>
      </c>
      <c r="F340" s="1028">
        <v>9.443</v>
      </c>
      <c r="G340" s="1028">
        <v>4.335</v>
      </c>
      <c r="H340" s="1028">
        <v>3.52</v>
      </c>
      <c r="I340" s="1028">
        <v>1.588</v>
      </c>
      <c r="J340" s="1036">
        <v>1200</v>
      </c>
      <c r="K340" s="1028">
        <v>1.588</v>
      </c>
      <c r="L340" s="1036">
        <v>1200</v>
      </c>
      <c r="M340" s="1047">
        <v>0.001323</v>
      </c>
      <c r="N340" s="311">
        <v>281.7</v>
      </c>
      <c r="O340" s="214">
        <f t="shared" si="46"/>
        <v>0.40623111900000003</v>
      </c>
      <c r="P340" s="214">
        <f t="shared" si="47"/>
        <v>79.38</v>
      </c>
      <c r="Q340" s="215">
        <f t="shared" si="48"/>
        <v>22.361345999999998</v>
      </c>
      <c r="S340" s="97"/>
      <c r="T340" s="97"/>
    </row>
    <row r="341" spans="1:20" ht="12.75">
      <c r="A341" s="376"/>
      <c r="B341" s="32">
        <v>8</v>
      </c>
      <c r="C341" s="580" t="s">
        <v>491</v>
      </c>
      <c r="D341" s="313">
        <v>20</v>
      </c>
      <c r="E341" s="313">
        <v>1992</v>
      </c>
      <c r="F341" s="1028">
        <v>7.523</v>
      </c>
      <c r="G341" s="1028">
        <v>2.856</v>
      </c>
      <c r="H341" s="1028">
        <v>3.2</v>
      </c>
      <c r="I341" s="1028">
        <v>1.467</v>
      </c>
      <c r="J341" s="1036">
        <v>1091.15</v>
      </c>
      <c r="K341" s="1028">
        <v>1.467</v>
      </c>
      <c r="L341" s="1036">
        <v>1091.15</v>
      </c>
      <c r="M341" s="1047">
        <v>0.001344</v>
      </c>
      <c r="N341" s="311">
        <v>281.7</v>
      </c>
      <c r="O341" s="214">
        <f t="shared" si="46"/>
        <v>0.412679232</v>
      </c>
      <c r="P341" s="214">
        <f t="shared" si="47"/>
        <v>80.63999999999999</v>
      </c>
      <c r="Q341" s="215">
        <f t="shared" si="48"/>
        <v>22.716287999999995</v>
      </c>
      <c r="S341" s="97"/>
      <c r="T341" s="97"/>
    </row>
    <row r="342" spans="1:20" ht="12.75">
      <c r="A342" s="376"/>
      <c r="B342" s="32">
        <v>9</v>
      </c>
      <c r="C342" s="580" t="s">
        <v>202</v>
      </c>
      <c r="D342" s="313">
        <v>25</v>
      </c>
      <c r="E342" s="313">
        <v>1978</v>
      </c>
      <c r="F342" s="1028">
        <v>5.443</v>
      </c>
      <c r="G342" s="1028">
        <v>2.5245</v>
      </c>
      <c r="H342" s="1028">
        <v>1</v>
      </c>
      <c r="I342" s="1028">
        <v>1.9185</v>
      </c>
      <c r="J342" s="1036">
        <v>1284.25</v>
      </c>
      <c r="K342" s="1028">
        <v>1.9185</v>
      </c>
      <c r="L342" s="1036">
        <v>1284.25</v>
      </c>
      <c r="M342" s="1047">
        <v>0.001493</v>
      </c>
      <c r="N342" s="311">
        <v>281.7</v>
      </c>
      <c r="O342" s="214">
        <f t="shared" si="46"/>
        <v>0.45843012899999996</v>
      </c>
      <c r="P342" s="214">
        <f t="shared" si="47"/>
        <v>89.58</v>
      </c>
      <c r="Q342" s="215">
        <f t="shared" si="48"/>
        <v>25.234685999999996</v>
      </c>
      <c r="S342" s="97"/>
      <c r="T342" s="97"/>
    </row>
    <row r="343" spans="1:20" s="110" customFormat="1" ht="13.5" thickBot="1">
      <c r="A343" s="377"/>
      <c r="B343" s="115">
        <v>10</v>
      </c>
      <c r="C343" s="831" t="s">
        <v>206</v>
      </c>
      <c r="D343" s="369">
        <v>54</v>
      </c>
      <c r="E343" s="369">
        <v>2008</v>
      </c>
      <c r="F343" s="1029">
        <v>11.066</v>
      </c>
      <c r="G343" s="1029">
        <v>4.7</v>
      </c>
      <c r="H343" s="1029">
        <v>0.154</v>
      </c>
      <c r="I343" s="1029">
        <v>12.338</v>
      </c>
      <c r="J343" s="1037">
        <v>3786.21</v>
      </c>
      <c r="K343" s="1029">
        <v>3.075</v>
      </c>
      <c r="L343" s="1037">
        <v>2030.27</v>
      </c>
      <c r="M343" s="1048">
        <v>0.0016293</v>
      </c>
      <c r="N343" s="1012">
        <v>281.7</v>
      </c>
      <c r="O343" s="1013">
        <f t="shared" si="46"/>
        <v>0.5002814529</v>
      </c>
      <c r="P343" s="1013">
        <f t="shared" si="47"/>
        <v>97.758</v>
      </c>
      <c r="Q343" s="1014">
        <f t="shared" si="48"/>
        <v>27.5384286</v>
      </c>
      <c r="S343" s="111"/>
      <c r="T343" s="111"/>
    </row>
    <row r="344" spans="1:20" ht="11.25" customHeight="1">
      <c r="A344" s="411" t="s">
        <v>29</v>
      </c>
      <c r="B344" s="34">
        <v>1</v>
      </c>
      <c r="C344" s="305" t="s">
        <v>205</v>
      </c>
      <c r="D344" s="196">
        <v>54</v>
      </c>
      <c r="E344" s="196">
        <v>1992</v>
      </c>
      <c r="F344" s="306">
        <v>19.431973</v>
      </c>
      <c r="G344" s="306">
        <v>6.139431</v>
      </c>
      <c r="H344" s="306">
        <v>8.64</v>
      </c>
      <c r="I344" s="306">
        <v>4.652569</v>
      </c>
      <c r="J344" s="1038">
        <v>2632.94</v>
      </c>
      <c r="K344" s="306">
        <v>4.652569</v>
      </c>
      <c r="L344" s="1038">
        <v>2632.94</v>
      </c>
      <c r="M344" s="1049">
        <v>0.001767</v>
      </c>
      <c r="N344" s="302">
        <v>281.7</v>
      </c>
      <c r="O344" s="286">
        <f t="shared" si="46"/>
        <v>0.542562651</v>
      </c>
      <c r="P344" s="286">
        <f t="shared" si="47"/>
        <v>106.02</v>
      </c>
      <c r="Q344" s="288">
        <f aca="true" t="shared" si="49" ref="Q344:Q373">N344*P344/1000</f>
        <v>29.865834</v>
      </c>
      <c r="S344" s="97"/>
      <c r="T344" s="97"/>
    </row>
    <row r="345" spans="1:20" ht="12.75" customHeight="1">
      <c r="A345" s="412"/>
      <c r="B345" s="36">
        <v>2</v>
      </c>
      <c r="C345" s="281" t="s">
        <v>203</v>
      </c>
      <c r="D345" s="197">
        <v>72</v>
      </c>
      <c r="E345" s="197">
        <v>1980</v>
      </c>
      <c r="F345" s="301">
        <v>26.998</v>
      </c>
      <c r="G345" s="301">
        <v>7.548</v>
      </c>
      <c r="H345" s="301">
        <v>11.52</v>
      </c>
      <c r="I345" s="301">
        <v>7.93</v>
      </c>
      <c r="J345" s="1039">
        <v>4220</v>
      </c>
      <c r="K345" s="301">
        <v>7.93</v>
      </c>
      <c r="L345" s="1039">
        <v>4220</v>
      </c>
      <c r="M345" s="1050">
        <v>0.001879</v>
      </c>
      <c r="N345" s="221">
        <v>281.7</v>
      </c>
      <c r="O345" s="222">
        <f t="shared" si="46"/>
        <v>0.5769525870000001</v>
      </c>
      <c r="P345" s="222">
        <f t="shared" si="47"/>
        <v>112.74000000000001</v>
      </c>
      <c r="Q345" s="223">
        <f t="shared" si="49"/>
        <v>31.758858</v>
      </c>
      <c r="S345" s="97"/>
      <c r="T345" s="97"/>
    </row>
    <row r="346" spans="1:20" ht="12.75" customHeight="1">
      <c r="A346" s="412"/>
      <c r="B346" s="36">
        <v>3</v>
      </c>
      <c r="C346" s="281" t="s">
        <v>492</v>
      </c>
      <c r="D346" s="197">
        <v>22</v>
      </c>
      <c r="E346" s="197">
        <v>1987</v>
      </c>
      <c r="F346" s="301">
        <v>8.672</v>
      </c>
      <c r="G346" s="301">
        <v>2.805</v>
      </c>
      <c r="H346" s="301">
        <v>3.52</v>
      </c>
      <c r="I346" s="301">
        <v>2.347</v>
      </c>
      <c r="J346" s="1039">
        <v>1234.8</v>
      </c>
      <c r="K346" s="301">
        <v>2.347</v>
      </c>
      <c r="L346" s="1039">
        <v>1234.8</v>
      </c>
      <c r="M346" s="1050">
        <v>0.0019</v>
      </c>
      <c r="N346" s="221">
        <v>281.7</v>
      </c>
      <c r="O346" s="222">
        <f t="shared" si="46"/>
        <v>0.5834007</v>
      </c>
      <c r="P346" s="222">
        <f t="shared" si="47"/>
        <v>114</v>
      </c>
      <c r="Q346" s="223">
        <f t="shared" si="49"/>
        <v>32.1138</v>
      </c>
      <c r="S346" s="97"/>
      <c r="T346" s="97"/>
    </row>
    <row r="347" spans="1:20" ht="12.75" customHeight="1">
      <c r="A347" s="412"/>
      <c r="B347" s="36">
        <v>4</v>
      </c>
      <c r="C347" s="281" t="s">
        <v>493</v>
      </c>
      <c r="D347" s="197">
        <v>104</v>
      </c>
      <c r="E347" s="197">
        <v>1965</v>
      </c>
      <c r="F347" s="301">
        <v>34.909996</v>
      </c>
      <c r="G347" s="301">
        <v>10.090452</v>
      </c>
      <c r="H347" s="301">
        <v>15.84</v>
      </c>
      <c r="I347" s="301">
        <v>8.979544</v>
      </c>
      <c r="J347" s="1039">
        <v>4447.51</v>
      </c>
      <c r="K347" s="301">
        <v>8.979544</v>
      </c>
      <c r="L347" s="1039">
        <v>4447.51</v>
      </c>
      <c r="M347" s="1050">
        <v>0.002019</v>
      </c>
      <c r="N347" s="221">
        <v>281.7</v>
      </c>
      <c r="O347" s="222">
        <f t="shared" si="46"/>
        <v>0.6199400070000001</v>
      </c>
      <c r="P347" s="222">
        <f t="shared" si="47"/>
        <v>121.14</v>
      </c>
      <c r="Q347" s="223">
        <f t="shared" si="49"/>
        <v>34.125138</v>
      </c>
      <c r="S347" s="97"/>
      <c r="T347" s="97"/>
    </row>
    <row r="348" spans="1:20" ht="12.75" customHeight="1">
      <c r="A348" s="412"/>
      <c r="B348" s="36">
        <v>5</v>
      </c>
      <c r="C348" s="281" t="s">
        <v>207</v>
      </c>
      <c r="D348" s="197">
        <v>56</v>
      </c>
      <c r="E348" s="197">
        <v>1991</v>
      </c>
      <c r="F348" s="301">
        <v>27.449977</v>
      </c>
      <c r="G348" s="301">
        <v>7.05993</v>
      </c>
      <c r="H348" s="301">
        <v>13.36</v>
      </c>
      <c r="I348" s="301">
        <v>7.03007</v>
      </c>
      <c r="J348" s="1039">
        <v>3478.2</v>
      </c>
      <c r="K348" s="301">
        <v>6.710461</v>
      </c>
      <c r="L348" s="1039">
        <v>3303.97</v>
      </c>
      <c r="M348" s="1050">
        <v>0.002031</v>
      </c>
      <c r="N348" s="221">
        <v>281.7</v>
      </c>
      <c r="O348" s="222">
        <f t="shared" si="46"/>
        <v>0.623624643</v>
      </c>
      <c r="P348" s="222">
        <f t="shared" si="47"/>
        <v>121.86</v>
      </c>
      <c r="Q348" s="223">
        <f t="shared" si="49"/>
        <v>34.327962</v>
      </c>
      <c r="S348" s="97"/>
      <c r="T348" s="97"/>
    </row>
    <row r="349" spans="1:20" ht="12.75" customHeight="1">
      <c r="A349" s="412"/>
      <c r="B349" s="36">
        <v>6</v>
      </c>
      <c r="C349" s="281" t="s">
        <v>494</v>
      </c>
      <c r="D349" s="197">
        <v>50</v>
      </c>
      <c r="E349" s="197">
        <v>1977</v>
      </c>
      <c r="F349" s="301">
        <v>16.154998</v>
      </c>
      <c r="G349" s="301">
        <v>4.284</v>
      </c>
      <c r="H349" s="301">
        <v>8</v>
      </c>
      <c r="I349" s="301">
        <v>3.870998</v>
      </c>
      <c r="J349" s="1039">
        <v>1826.29</v>
      </c>
      <c r="K349" s="301">
        <v>3.870998</v>
      </c>
      <c r="L349" s="1039">
        <v>1826.29</v>
      </c>
      <c r="M349" s="1050">
        <v>0.002119</v>
      </c>
      <c r="N349" s="221">
        <v>281.7</v>
      </c>
      <c r="O349" s="222">
        <f t="shared" si="46"/>
        <v>0.6506453069999999</v>
      </c>
      <c r="P349" s="222">
        <f t="shared" si="47"/>
        <v>127.13999999999997</v>
      </c>
      <c r="Q349" s="223">
        <f t="shared" si="49"/>
        <v>35.81533799999999</v>
      </c>
      <c r="S349" s="97"/>
      <c r="T349" s="97"/>
    </row>
    <row r="350" spans="1:20" ht="12.75" customHeight="1">
      <c r="A350" s="412"/>
      <c r="B350" s="36">
        <v>7</v>
      </c>
      <c r="C350" s="281" t="s">
        <v>204</v>
      </c>
      <c r="D350" s="197">
        <v>25</v>
      </c>
      <c r="E350" s="197">
        <v>1973</v>
      </c>
      <c r="F350" s="301">
        <v>9.462999</v>
      </c>
      <c r="G350" s="301">
        <v>2.652</v>
      </c>
      <c r="H350" s="301">
        <v>4</v>
      </c>
      <c r="I350" s="301">
        <v>2.810999</v>
      </c>
      <c r="J350" s="1039">
        <v>1292.7</v>
      </c>
      <c r="K350" s="301">
        <v>2.810999</v>
      </c>
      <c r="L350" s="1039">
        <v>1292.7</v>
      </c>
      <c r="M350" s="1050">
        <v>0.002174</v>
      </c>
      <c r="N350" s="221">
        <v>281.7</v>
      </c>
      <c r="O350" s="222">
        <f t="shared" si="46"/>
        <v>0.6675332220000001</v>
      </c>
      <c r="P350" s="222">
        <f t="shared" si="47"/>
        <v>130.44</v>
      </c>
      <c r="Q350" s="223">
        <f t="shared" si="49"/>
        <v>36.744947999999994</v>
      </c>
      <c r="S350" s="97"/>
      <c r="T350" s="97"/>
    </row>
    <row r="351" spans="1:20" ht="12.75" customHeight="1">
      <c r="A351" s="412"/>
      <c r="B351" s="36">
        <v>8</v>
      </c>
      <c r="C351" s="281" t="s">
        <v>495</v>
      </c>
      <c r="D351" s="197">
        <v>75</v>
      </c>
      <c r="E351" s="197">
        <v>1987</v>
      </c>
      <c r="F351" s="301">
        <v>28.149</v>
      </c>
      <c r="G351" s="301">
        <v>7.288308</v>
      </c>
      <c r="H351" s="301">
        <v>12</v>
      </c>
      <c r="I351" s="301">
        <v>8.860692</v>
      </c>
      <c r="J351" s="1039">
        <v>4017.2</v>
      </c>
      <c r="K351" s="301">
        <v>8.860692</v>
      </c>
      <c r="L351" s="1039">
        <v>4017.2</v>
      </c>
      <c r="M351" s="1050">
        <v>0.002205</v>
      </c>
      <c r="N351" s="221">
        <v>281.7</v>
      </c>
      <c r="O351" s="222">
        <f t="shared" si="46"/>
        <v>0.677051865</v>
      </c>
      <c r="P351" s="222">
        <f t="shared" si="47"/>
        <v>132.3</v>
      </c>
      <c r="Q351" s="223">
        <f t="shared" si="49"/>
        <v>37.268910000000005</v>
      </c>
      <c r="S351" s="97"/>
      <c r="T351" s="97"/>
    </row>
    <row r="352" spans="1:20" ht="13.5" customHeight="1">
      <c r="A352" s="412"/>
      <c r="B352" s="36">
        <v>9</v>
      </c>
      <c r="C352" s="281" t="s">
        <v>341</v>
      </c>
      <c r="D352" s="197">
        <v>36</v>
      </c>
      <c r="E352" s="197">
        <v>1981</v>
      </c>
      <c r="F352" s="301">
        <v>13.577</v>
      </c>
      <c r="G352" s="301">
        <v>3.264</v>
      </c>
      <c r="H352" s="301">
        <v>5.76</v>
      </c>
      <c r="I352" s="301">
        <v>4.553</v>
      </c>
      <c r="J352" s="1039">
        <v>1915.14</v>
      </c>
      <c r="K352" s="301">
        <v>4.473905</v>
      </c>
      <c r="L352" s="1039">
        <v>1881.87</v>
      </c>
      <c r="M352" s="1050">
        <v>0.002377</v>
      </c>
      <c r="N352" s="221">
        <v>281.7</v>
      </c>
      <c r="O352" s="222">
        <f t="shared" si="46"/>
        <v>0.7298649810000001</v>
      </c>
      <c r="P352" s="222">
        <f t="shared" si="47"/>
        <v>142.62000000000003</v>
      </c>
      <c r="Q352" s="223">
        <f t="shared" si="49"/>
        <v>40.17605400000001</v>
      </c>
      <c r="S352" s="97"/>
      <c r="T352" s="97"/>
    </row>
    <row r="353" spans="1:20" ht="13.5" customHeight="1" thickBot="1">
      <c r="A353" s="413"/>
      <c r="B353" s="103">
        <v>10</v>
      </c>
      <c r="C353" s="296" t="s">
        <v>496</v>
      </c>
      <c r="D353" s="198">
        <v>54</v>
      </c>
      <c r="E353" s="198">
        <v>1980</v>
      </c>
      <c r="F353" s="303">
        <v>27.0605</v>
      </c>
      <c r="G353" s="303">
        <v>5.3295</v>
      </c>
      <c r="H353" s="303">
        <v>12.96</v>
      </c>
      <c r="I353" s="303">
        <v>8.771</v>
      </c>
      <c r="J353" s="1040">
        <v>3558.84</v>
      </c>
      <c r="K353" s="303">
        <v>8.771</v>
      </c>
      <c r="L353" s="1040">
        <v>3558.84</v>
      </c>
      <c r="M353" s="1051">
        <v>0.002464</v>
      </c>
      <c r="N353" s="304">
        <v>281.7</v>
      </c>
      <c r="O353" s="291">
        <f t="shared" si="46"/>
        <v>0.756578592</v>
      </c>
      <c r="P353" s="291">
        <f t="shared" si="47"/>
        <v>147.84</v>
      </c>
      <c r="Q353" s="292">
        <f t="shared" si="49"/>
        <v>41.646527999999996</v>
      </c>
      <c r="S353" s="97"/>
      <c r="T353" s="97"/>
    </row>
    <row r="354" spans="1:20" ht="12.75">
      <c r="A354" s="528" t="s">
        <v>30</v>
      </c>
      <c r="B354" s="366">
        <v>1</v>
      </c>
      <c r="C354" s="832" t="s">
        <v>210</v>
      </c>
      <c r="D354" s="833">
        <v>4</v>
      </c>
      <c r="E354" s="833">
        <v>1850</v>
      </c>
      <c r="F354" s="1030">
        <v>2.48</v>
      </c>
      <c r="G354" s="1030">
        <v>0.459</v>
      </c>
      <c r="H354" s="1030">
        <v>0.64</v>
      </c>
      <c r="I354" s="1030">
        <v>1.381</v>
      </c>
      <c r="J354" s="1041">
        <v>190.97</v>
      </c>
      <c r="K354" s="1030">
        <v>1.120377</v>
      </c>
      <c r="L354" s="1041">
        <v>154.93</v>
      </c>
      <c r="M354" s="1052">
        <v>0.007231</v>
      </c>
      <c r="N354" s="1015">
        <v>281.7</v>
      </c>
      <c r="O354" s="1016">
        <f t="shared" si="46"/>
        <v>2.220300243</v>
      </c>
      <c r="P354" s="1016">
        <f t="shared" si="47"/>
        <v>433.85999999999996</v>
      </c>
      <c r="Q354" s="1017">
        <f t="shared" si="49"/>
        <v>122.21836199999998</v>
      </c>
      <c r="S354" s="97"/>
      <c r="T354" s="97"/>
    </row>
    <row r="355" spans="1:20" ht="12.75">
      <c r="A355" s="530"/>
      <c r="B355" s="367">
        <v>2</v>
      </c>
      <c r="C355" s="531" t="s">
        <v>211</v>
      </c>
      <c r="D355" s="368">
        <v>22</v>
      </c>
      <c r="E355" s="368">
        <v>1960</v>
      </c>
      <c r="F355" s="1031">
        <v>11.372</v>
      </c>
      <c r="G355" s="1031">
        <v>1.479</v>
      </c>
      <c r="H355" s="1031">
        <v>3.04</v>
      </c>
      <c r="I355" s="1031">
        <v>6.853</v>
      </c>
      <c r="J355" s="1042">
        <v>943.17</v>
      </c>
      <c r="K355" s="1031">
        <v>4.58298</v>
      </c>
      <c r="L355" s="1042">
        <v>630.75</v>
      </c>
      <c r="M355" s="1053">
        <v>0.007265</v>
      </c>
      <c r="N355" s="1018">
        <v>281.7</v>
      </c>
      <c r="O355" s="1019">
        <f t="shared" si="46"/>
        <v>2.230740045</v>
      </c>
      <c r="P355" s="1019">
        <f t="shared" si="47"/>
        <v>435.90000000000003</v>
      </c>
      <c r="Q355" s="1020">
        <f t="shared" si="49"/>
        <v>122.79303</v>
      </c>
      <c r="S355" s="97"/>
      <c r="T355" s="97"/>
    </row>
    <row r="356" spans="1:20" ht="12.75">
      <c r="A356" s="530"/>
      <c r="B356" s="367">
        <v>3</v>
      </c>
      <c r="C356" s="531" t="s">
        <v>497</v>
      </c>
      <c r="D356" s="368">
        <v>8</v>
      </c>
      <c r="E356" s="368">
        <v>1962</v>
      </c>
      <c r="F356" s="1031">
        <v>4.703999</v>
      </c>
      <c r="G356" s="1031">
        <v>1.02</v>
      </c>
      <c r="H356" s="1031">
        <v>0.97</v>
      </c>
      <c r="I356" s="1031">
        <v>2.713999</v>
      </c>
      <c r="J356" s="1042">
        <v>366.73</v>
      </c>
      <c r="K356" s="1031">
        <v>2.713999</v>
      </c>
      <c r="L356" s="1042">
        <v>366.73</v>
      </c>
      <c r="M356" s="1053">
        <v>0.0074</v>
      </c>
      <c r="N356" s="1018">
        <v>281.7</v>
      </c>
      <c r="O356" s="1019">
        <f t="shared" si="46"/>
        <v>2.2721922</v>
      </c>
      <c r="P356" s="1019">
        <f t="shared" si="47"/>
        <v>444</v>
      </c>
      <c r="Q356" s="1020">
        <f t="shared" si="49"/>
        <v>125.07479999999998</v>
      </c>
      <c r="S356" s="97"/>
      <c r="T356" s="97"/>
    </row>
    <row r="357" spans="1:20" ht="12.75">
      <c r="A357" s="530"/>
      <c r="B357" s="367">
        <v>4</v>
      </c>
      <c r="C357" s="531" t="s">
        <v>498</v>
      </c>
      <c r="D357" s="368">
        <v>9</v>
      </c>
      <c r="E357" s="368">
        <v>1986</v>
      </c>
      <c r="F357" s="1031">
        <v>4.842002</v>
      </c>
      <c r="G357" s="1031">
        <v>0.153</v>
      </c>
      <c r="H357" s="1031">
        <v>0.638279</v>
      </c>
      <c r="I357" s="1031">
        <v>4.050723</v>
      </c>
      <c r="J357" s="1042">
        <v>536.31</v>
      </c>
      <c r="K357" s="1031">
        <v>4.050723</v>
      </c>
      <c r="L357" s="1042">
        <v>536.31</v>
      </c>
      <c r="M357" s="1053">
        <v>0.007552</v>
      </c>
      <c r="N357" s="1018">
        <v>281.7</v>
      </c>
      <c r="O357" s="1019">
        <f t="shared" si="46"/>
        <v>2.318864256</v>
      </c>
      <c r="P357" s="1019">
        <f t="shared" si="47"/>
        <v>453.11999999999995</v>
      </c>
      <c r="Q357" s="1020">
        <f t="shared" si="49"/>
        <v>127.64390399999998</v>
      </c>
      <c r="S357" s="97"/>
      <c r="T357" s="97"/>
    </row>
    <row r="358" spans="1:20" ht="12.75">
      <c r="A358" s="530"/>
      <c r="B358" s="367">
        <v>5</v>
      </c>
      <c r="C358" s="531" t="s">
        <v>499</v>
      </c>
      <c r="D358" s="368">
        <v>32</v>
      </c>
      <c r="E358" s="368">
        <v>1964</v>
      </c>
      <c r="F358" s="1031">
        <v>13.283998</v>
      </c>
      <c r="G358" s="1031">
        <v>2.295</v>
      </c>
      <c r="H358" s="1031">
        <v>0.31</v>
      </c>
      <c r="I358" s="1031">
        <v>10.678998</v>
      </c>
      <c r="J358" s="1042">
        <v>1384.22</v>
      </c>
      <c r="K358" s="1031">
        <v>10.361071</v>
      </c>
      <c r="L358" s="1042">
        <v>1343.01</v>
      </c>
      <c r="M358" s="1053">
        <v>0.007714</v>
      </c>
      <c r="N358" s="1018">
        <v>281.7</v>
      </c>
      <c r="O358" s="1019">
        <f t="shared" si="46"/>
        <v>2.3686068420000006</v>
      </c>
      <c r="P358" s="1019">
        <f t="shared" si="47"/>
        <v>462.84000000000003</v>
      </c>
      <c r="Q358" s="1020">
        <f t="shared" si="49"/>
        <v>130.38202800000002</v>
      </c>
      <c r="S358" s="97"/>
      <c r="T358" s="97"/>
    </row>
    <row r="359" spans="1:20" ht="12.75">
      <c r="A359" s="530"/>
      <c r="B359" s="367">
        <v>6</v>
      </c>
      <c r="C359" s="531" t="s">
        <v>500</v>
      </c>
      <c r="D359" s="368">
        <v>12</v>
      </c>
      <c r="E359" s="368">
        <v>1972</v>
      </c>
      <c r="F359" s="1031">
        <v>4.157999</v>
      </c>
      <c r="G359" s="1031">
        <v>0</v>
      </c>
      <c r="H359" s="1031">
        <v>0</v>
      </c>
      <c r="I359" s="1031">
        <v>4.157999</v>
      </c>
      <c r="J359" s="1042">
        <v>532.47</v>
      </c>
      <c r="K359" s="1031">
        <v>4.157999</v>
      </c>
      <c r="L359" s="1042">
        <v>532.47</v>
      </c>
      <c r="M359" s="1053">
        <v>0.007808</v>
      </c>
      <c r="N359" s="1018">
        <v>281.7</v>
      </c>
      <c r="O359" s="1019">
        <f t="shared" si="46"/>
        <v>2.3974698240000003</v>
      </c>
      <c r="P359" s="1019">
        <f t="shared" si="47"/>
        <v>468.48</v>
      </c>
      <c r="Q359" s="1020">
        <f t="shared" si="49"/>
        <v>131.97081599999999</v>
      </c>
      <c r="S359" s="97"/>
      <c r="T359" s="97"/>
    </row>
    <row r="360" spans="1:20" ht="12.75">
      <c r="A360" s="530"/>
      <c r="B360" s="367">
        <v>7</v>
      </c>
      <c r="C360" s="531" t="s">
        <v>501</v>
      </c>
      <c r="D360" s="368">
        <v>24</v>
      </c>
      <c r="E360" s="368">
        <v>1983</v>
      </c>
      <c r="F360" s="1031">
        <v>11.575997</v>
      </c>
      <c r="G360" s="1031">
        <v>0.123531</v>
      </c>
      <c r="H360" s="1031">
        <v>0</v>
      </c>
      <c r="I360" s="1031">
        <v>11.452466</v>
      </c>
      <c r="J360" s="1042">
        <v>1443.53</v>
      </c>
      <c r="K360" s="1031">
        <v>11.452466</v>
      </c>
      <c r="L360" s="1042">
        <v>1443.53</v>
      </c>
      <c r="M360" s="1053">
        <v>0.007933</v>
      </c>
      <c r="N360" s="1018">
        <v>281.7</v>
      </c>
      <c r="O360" s="1019">
        <f t="shared" si="46"/>
        <v>2.4358514490000003</v>
      </c>
      <c r="P360" s="1019">
        <f t="shared" si="47"/>
        <v>475.9800000000001</v>
      </c>
      <c r="Q360" s="1020">
        <f t="shared" si="49"/>
        <v>134.08356600000002</v>
      </c>
      <c r="S360" s="97"/>
      <c r="T360" s="97"/>
    </row>
    <row r="361" spans="1:20" ht="12.75">
      <c r="A361" s="530"/>
      <c r="B361" s="367">
        <v>8</v>
      </c>
      <c r="C361" s="531" t="s">
        <v>502</v>
      </c>
      <c r="D361" s="368">
        <v>12</v>
      </c>
      <c r="E361" s="368">
        <v>1971</v>
      </c>
      <c r="F361" s="1031">
        <v>4.352999</v>
      </c>
      <c r="G361" s="1031">
        <v>0</v>
      </c>
      <c r="H361" s="1031">
        <v>0</v>
      </c>
      <c r="I361" s="1031">
        <v>4.352999</v>
      </c>
      <c r="J361" s="1042">
        <v>538.8</v>
      </c>
      <c r="K361" s="1031">
        <v>4.352999</v>
      </c>
      <c r="L361" s="1042">
        <v>538.8</v>
      </c>
      <c r="M361" s="1053">
        <v>0.008079</v>
      </c>
      <c r="N361" s="1018">
        <v>281.7</v>
      </c>
      <c r="O361" s="1019">
        <f t="shared" si="46"/>
        <v>2.480681187</v>
      </c>
      <c r="P361" s="1019">
        <f t="shared" si="47"/>
        <v>484.73999999999995</v>
      </c>
      <c r="Q361" s="1020">
        <f t="shared" si="49"/>
        <v>136.55125799999996</v>
      </c>
      <c r="S361" s="97"/>
      <c r="T361" s="97"/>
    </row>
    <row r="362" spans="1:20" ht="12.75">
      <c r="A362" s="532"/>
      <c r="B362" s="533">
        <v>9</v>
      </c>
      <c r="C362" s="531" t="s">
        <v>503</v>
      </c>
      <c r="D362" s="368">
        <v>13</v>
      </c>
      <c r="E362" s="368">
        <v>1977</v>
      </c>
      <c r="F362" s="1031">
        <v>6.730001</v>
      </c>
      <c r="G362" s="1031">
        <v>0.051</v>
      </c>
      <c r="H362" s="1031">
        <v>1.006447</v>
      </c>
      <c r="I362" s="1031">
        <v>5.672554</v>
      </c>
      <c r="J362" s="1042">
        <v>663.15</v>
      </c>
      <c r="K362" s="1031">
        <v>5.672554</v>
      </c>
      <c r="L362" s="1042">
        <v>663.15</v>
      </c>
      <c r="M362" s="1053">
        <v>0.008553</v>
      </c>
      <c r="N362" s="1018">
        <v>281.7</v>
      </c>
      <c r="O362" s="1019">
        <f t="shared" si="46"/>
        <v>2.626224309</v>
      </c>
      <c r="P362" s="1019">
        <f t="shared" si="47"/>
        <v>513.18</v>
      </c>
      <c r="Q362" s="1020">
        <f t="shared" si="49"/>
        <v>144.562806</v>
      </c>
      <c r="S362" s="97"/>
      <c r="T362" s="97"/>
    </row>
    <row r="363" spans="1:20" ht="13.5" thickBot="1">
      <c r="A363" s="534"/>
      <c r="B363" s="535">
        <v>10</v>
      </c>
      <c r="C363" s="536" t="s">
        <v>208</v>
      </c>
      <c r="D363" s="372">
        <v>8</v>
      </c>
      <c r="E363" s="372">
        <v>1970</v>
      </c>
      <c r="F363" s="1032">
        <v>3.968001</v>
      </c>
      <c r="G363" s="1032">
        <v>0.255</v>
      </c>
      <c r="H363" s="1032">
        <v>0.96</v>
      </c>
      <c r="I363" s="1032">
        <v>2.753001</v>
      </c>
      <c r="J363" s="1043">
        <v>321.83</v>
      </c>
      <c r="K363" s="1032">
        <v>1.931369</v>
      </c>
      <c r="L363" s="1043">
        <v>225.78</v>
      </c>
      <c r="M363" s="1054">
        <v>0.008554</v>
      </c>
      <c r="N363" s="1021">
        <v>281.7</v>
      </c>
      <c r="O363" s="1022">
        <f t="shared" si="46"/>
        <v>2.6265313620000006</v>
      </c>
      <c r="P363" s="1022">
        <f t="shared" si="47"/>
        <v>513.24</v>
      </c>
      <c r="Q363" s="1023">
        <f t="shared" si="49"/>
        <v>144.57970799999998</v>
      </c>
      <c r="S363" s="97"/>
      <c r="T363" s="97"/>
    </row>
    <row r="364" spans="1:20" ht="12.75">
      <c r="A364" s="418" t="s">
        <v>12</v>
      </c>
      <c r="B364" s="88">
        <v>1</v>
      </c>
      <c r="C364" s="349" t="s">
        <v>504</v>
      </c>
      <c r="D364" s="346">
        <v>12</v>
      </c>
      <c r="E364" s="346">
        <v>1973</v>
      </c>
      <c r="F364" s="1033">
        <v>4.403602</v>
      </c>
      <c r="G364" s="1033">
        <v>0</v>
      </c>
      <c r="H364" s="1033">
        <v>0</v>
      </c>
      <c r="I364" s="1033">
        <v>4.403602</v>
      </c>
      <c r="J364" s="1044">
        <v>510.06</v>
      </c>
      <c r="K364" s="1033">
        <v>4.403602</v>
      </c>
      <c r="L364" s="1044">
        <v>510.06</v>
      </c>
      <c r="M364" s="1055">
        <v>0.008633</v>
      </c>
      <c r="N364" s="348">
        <v>281.7</v>
      </c>
      <c r="O364" s="317">
        <f t="shared" si="46"/>
        <v>2.650788549</v>
      </c>
      <c r="P364" s="317">
        <f t="shared" si="47"/>
        <v>517.98</v>
      </c>
      <c r="Q364" s="231">
        <f t="shared" si="49"/>
        <v>145.914966</v>
      </c>
      <c r="S364" s="97"/>
      <c r="T364" s="97"/>
    </row>
    <row r="365" spans="1:20" ht="12.75">
      <c r="A365" s="382"/>
      <c r="B365" s="42">
        <v>2</v>
      </c>
      <c r="C365" s="282" t="s">
        <v>505</v>
      </c>
      <c r="D365" s="283">
        <v>4</v>
      </c>
      <c r="E365" s="283">
        <v>1958</v>
      </c>
      <c r="F365" s="724">
        <v>2.76</v>
      </c>
      <c r="G365" s="724">
        <v>0.306</v>
      </c>
      <c r="H365" s="724">
        <v>0.32</v>
      </c>
      <c r="I365" s="724">
        <v>2.134</v>
      </c>
      <c r="J365" s="320">
        <v>241.48</v>
      </c>
      <c r="K365" s="724">
        <v>2.134</v>
      </c>
      <c r="L365" s="320">
        <v>241.48</v>
      </c>
      <c r="M365" s="1056">
        <v>0.008837</v>
      </c>
      <c r="N365" s="309">
        <v>281.7</v>
      </c>
      <c r="O365" s="319">
        <f t="shared" si="46"/>
        <v>2.713427361</v>
      </c>
      <c r="P365" s="319">
        <f t="shared" si="47"/>
        <v>530.2199999999999</v>
      </c>
      <c r="Q365" s="318">
        <f t="shared" si="49"/>
        <v>149.36297399999995</v>
      </c>
      <c r="S365" s="97"/>
      <c r="T365" s="97"/>
    </row>
    <row r="366" spans="1:20" ht="12.75">
      <c r="A366" s="382"/>
      <c r="B366" s="42">
        <v>3</v>
      </c>
      <c r="C366" s="282" t="s">
        <v>506</v>
      </c>
      <c r="D366" s="283">
        <v>9</v>
      </c>
      <c r="E366" s="283">
        <v>1989</v>
      </c>
      <c r="F366" s="724">
        <v>5.314998</v>
      </c>
      <c r="G366" s="724">
        <v>0.051</v>
      </c>
      <c r="H366" s="724">
        <v>0.557418</v>
      </c>
      <c r="I366" s="724">
        <v>4.70658</v>
      </c>
      <c r="J366" s="320">
        <v>530.14</v>
      </c>
      <c r="K366" s="724">
        <v>4.70658</v>
      </c>
      <c r="L366" s="320">
        <v>530.14</v>
      </c>
      <c r="M366" s="1056">
        <v>0.008877</v>
      </c>
      <c r="N366" s="309">
        <v>281.7</v>
      </c>
      <c r="O366" s="319">
        <f t="shared" si="46"/>
        <v>2.725709481</v>
      </c>
      <c r="P366" s="319">
        <f t="shared" si="47"/>
        <v>532.62</v>
      </c>
      <c r="Q366" s="318">
        <f t="shared" si="49"/>
        <v>150.039054</v>
      </c>
      <c r="S366" s="97"/>
      <c r="T366" s="97"/>
    </row>
    <row r="367" spans="1:20" ht="12.75">
      <c r="A367" s="382"/>
      <c r="B367" s="42">
        <v>4</v>
      </c>
      <c r="C367" s="282" t="s">
        <v>507</v>
      </c>
      <c r="D367" s="283">
        <v>24</v>
      </c>
      <c r="E367" s="283">
        <v>1961</v>
      </c>
      <c r="F367" s="724">
        <v>13.420001</v>
      </c>
      <c r="G367" s="724">
        <v>1.726452</v>
      </c>
      <c r="H367" s="724">
        <v>3.6</v>
      </c>
      <c r="I367" s="724">
        <v>8.093549</v>
      </c>
      <c r="J367" s="320">
        <v>887.52</v>
      </c>
      <c r="K367" s="724">
        <v>6.54628</v>
      </c>
      <c r="L367" s="320">
        <v>717.85</v>
      </c>
      <c r="M367" s="1056">
        <v>0.009119</v>
      </c>
      <c r="N367" s="309">
        <v>281.7</v>
      </c>
      <c r="O367" s="319">
        <f t="shared" si="46"/>
        <v>2.800016307</v>
      </c>
      <c r="P367" s="319">
        <f t="shared" si="47"/>
        <v>547.1400000000001</v>
      </c>
      <c r="Q367" s="318">
        <f t="shared" si="49"/>
        <v>154.12933800000002</v>
      </c>
      <c r="S367" s="97"/>
      <c r="T367" s="97"/>
    </row>
    <row r="368" spans="1:20" ht="12.75">
      <c r="A368" s="382"/>
      <c r="B368" s="42">
        <v>5</v>
      </c>
      <c r="C368" s="282" t="s">
        <v>508</v>
      </c>
      <c r="D368" s="283">
        <v>7</v>
      </c>
      <c r="E368" s="283">
        <v>1900</v>
      </c>
      <c r="F368" s="724">
        <v>3.79</v>
      </c>
      <c r="G368" s="724">
        <v>0.400452</v>
      </c>
      <c r="H368" s="724">
        <v>0.96</v>
      </c>
      <c r="I368" s="724">
        <v>2.429548</v>
      </c>
      <c r="J368" s="320">
        <v>263.54</v>
      </c>
      <c r="K368" s="724">
        <v>1.442665</v>
      </c>
      <c r="L368" s="320">
        <v>156.49</v>
      </c>
      <c r="M368" s="1056">
        <v>0.009218</v>
      </c>
      <c r="N368" s="309">
        <v>281.7</v>
      </c>
      <c r="O368" s="319">
        <f t="shared" si="46"/>
        <v>2.8304145540000003</v>
      </c>
      <c r="P368" s="319">
        <f t="shared" si="47"/>
        <v>553.08</v>
      </c>
      <c r="Q368" s="318">
        <f t="shared" si="49"/>
        <v>155.802636</v>
      </c>
      <c r="S368" s="97"/>
      <c r="T368" s="97"/>
    </row>
    <row r="369" spans="1:20" ht="12.75">
      <c r="A369" s="382"/>
      <c r="B369" s="42">
        <v>6</v>
      </c>
      <c r="C369" s="282" t="s">
        <v>212</v>
      </c>
      <c r="D369" s="283">
        <v>8</v>
      </c>
      <c r="E369" s="283">
        <v>1962</v>
      </c>
      <c r="F369" s="724">
        <v>4.921999</v>
      </c>
      <c r="G369" s="724">
        <v>0.306</v>
      </c>
      <c r="H369" s="724">
        <v>1.2</v>
      </c>
      <c r="I369" s="724">
        <v>3.415999</v>
      </c>
      <c r="J369" s="320">
        <v>363.26</v>
      </c>
      <c r="K369" s="724">
        <v>2.347547</v>
      </c>
      <c r="L369" s="320">
        <v>249.64</v>
      </c>
      <c r="M369" s="1056">
        <v>0.009403</v>
      </c>
      <c r="N369" s="309">
        <v>281.7</v>
      </c>
      <c r="O369" s="319">
        <f t="shared" si="46"/>
        <v>2.887219359</v>
      </c>
      <c r="P369" s="319">
        <f t="shared" si="47"/>
        <v>564.1800000000001</v>
      </c>
      <c r="Q369" s="318">
        <f t="shared" si="49"/>
        <v>158.92950600000003</v>
      </c>
      <c r="S369" s="97"/>
      <c r="T369" s="97"/>
    </row>
    <row r="370" spans="1:20" ht="12.75">
      <c r="A370" s="382"/>
      <c r="B370" s="42">
        <v>7</v>
      </c>
      <c r="C370" s="282" t="s">
        <v>209</v>
      </c>
      <c r="D370" s="283">
        <v>9</v>
      </c>
      <c r="E370" s="283">
        <v>1965</v>
      </c>
      <c r="F370" s="724">
        <v>4.778001</v>
      </c>
      <c r="G370" s="724">
        <v>0.816</v>
      </c>
      <c r="H370" s="724">
        <v>0.07</v>
      </c>
      <c r="I370" s="724">
        <v>3.892001</v>
      </c>
      <c r="J370" s="320">
        <v>399.34</v>
      </c>
      <c r="K370" s="724">
        <v>3.892001</v>
      </c>
      <c r="L370" s="320">
        <v>399.34</v>
      </c>
      <c r="M370" s="1056">
        <v>0.009746</v>
      </c>
      <c r="N370" s="309">
        <v>281.7</v>
      </c>
      <c r="O370" s="319">
        <f t="shared" si="46"/>
        <v>2.992538538</v>
      </c>
      <c r="P370" s="319">
        <f t="shared" si="47"/>
        <v>584.76</v>
      </c>
      <c r="Q370" s="318">
        <f t="shared" si="49"/>
        <v>164.726892</v>
      </c>
      <c r="S370" s="97"/>
      <c r="T370" s="97"/>
    </row>
    <row r="371" spans="1:20" ht="12.75">
      <c r="A371" s="382"/>
      <c r="B371" s="42">
        <v>8</v>
      </c>
      <c r="C371" s="282" t="s">
        <v>509</v>
      </c>
      <c r="D371" s="283">
        <v>5</v>
      </c>
      <c r="E371" s="283">
        <v>1880</v>
      </c>
      <c r="F371" s="724">
        <v>3.324</v>
      </c>
      <c r="G371" s="724">
        <v>0.51</v>
      </c>
      <c r="H371" s="724">
        <v>0.72</v>
      </c>
      <c r="I371" s="724">
        <v>2.094</v>
      </c>
      <c r="J371" s="320">
        <v>377.71</v>
      </c>
      <c r="K371" s="724">
        <v>1.879572</v>
      </c>
      <c r="L371" s="320">
        <v>184.32</v>
      </c>
      <c r="M371" s="1056">
        <v>0.010197</v>
      </c>
      <c r="N371" s="309">
        <v>281.7</v>
      </c>
      <c r="O371" s="319">
        <f t="shared" si="46"/>
        <v>3.131019441</v>
      </c>
      <c r="P371" s="319">
        <f t="shared" si="47"/>
        <v>611.8199999999999</v>
      </c>
      <c r="Q371" s="318">
        <f t="shared" si="49"/>
        <v>172.349694</v>
      </c>
      <c r="S371" s="97"/>
      <c r="T371" s="97"/>
    </row>
    <row r="372" spans="1:20" ht="12.75">
      <c r="A372" s="382"/>
      <c r="B372" s="42">
        <v>9</v>
      </c>
      <c r="C372" s="539" t="s">
        <v>214</v>
      </c>
      <c r="D372" s="283">
        <v>6</v>
      </c>
      <c r="E372" s="283">
        <v>1959</v>
      </c>
      <c r="F372" s="724">
        <v>4.820999</v>
      </c>
      <c r="G372" s="724">
        <v>0.561</v>
      </c>
      <c r="H372" s="724">
        <v>0.96</v>
      </c>
      <c r="I372" s="724">
        <v>3.299999</v>
      </c>
      <c r="J372" s="320">
        <v>317.83</v>
      </c>
      <c r="K372" s="724">
        <v>3.299999</v>
      </c>
      <c r="L372" s="320">
        <v>317.83</v>
      </c>
      <c r="M372" s="1056">
        <v>0.010382</v>
      </c>
      <c r="N372" s="309">
        <v>281.7</v>
      </c>
      <c r="O372" s="319">
        <f t="shared" si="46"/>
        <v>3.1878242460000004</v>
      </c>
      <c r="P372" s="319">
        <f t="shared" si="47"/>
        <v>622.9200000000001</v>
      </c>
      <c r="Q372" s="318">
        <f t="shared" si="49"/>
        <v>175.47656400000002</v>
      </c>
      <c r="S372" s="97"/>
      <c r="T372" s="97"/>
    </row>
    <row r="373" spans="1:20" ht="13.5" thickBot="1">
      <c r="A373" s="383"/>
      <c r="B373" s="47">
        <v>10</v>
      </c>
      <c r="C373" s="834" t="s">
        <v>213</v>
      </c>
      <c r="D373" s="527">
        <v>4</v>
      </c>
      <c r="E373" s="527">
        <v>1870</v>
      </c>
      <c r="F373" s="1034">
        <v>2.967</v>
      </c>
      <c r="G373" s="1034">
        <v>0.4335</v>
      </c>
      <c r="H373" s="1034">
        <v>0.64</v>
      </c>
      <c r="I373" s="1034">
        <v>1.8935</v>
      </c>
      <c r="J373" s="1045">
        <v>160.97</v>
      </c>
      <c r="K373" s="1034">
        <v>1.8935</v>
      </c>
      <c r="L373" s="1045">
        <v>160.97</v>
      </c>
      <c r="M373" s="1057">
        <v>0.011763</v>
      </c>
      <c r="N373" s="1024">
        <v>281.7</v>
      </c>
      <c r="O373" s="1025">
        <f t="shared" si="46"/>
        <v>3.611864439</v>
      </c>
      <c r="P373" s="1025">
        <f t="shared" si="47"/>
        <v>705.78</v>
      </c>
      <c r="Q373" s="1026">
        <f t="shared" si="49"/>
        <v>198.81822599999998</v>
      </c>
      <c r="S373" s="97"/>
      <c r="T373" s="97"/>
    </row>
    <row r="374" spans="19:20" ht="12.75">
      <c r="S374" s="97"/>
      <c r="T374" s="97"/>
    </row>
    <row r="375" spans="19:20" ht="12.75">
      <c r="S375" s="97"/>
      <c r="T375" s="97"/>
    </row>
    <row r="376" spans="19:20" ht="12.75">
      <c r="S376" s="97"/>
      <c r="T376" s="97"/>
    </row>
    <row r="377" spans="19:20" ht="12.75">
      <c r="S377" s="97"/>
      <c r="T377" s="97"/>
    </row>
    <row r="378" spans="1:20" ht="15">
      <c r="A378" s="419" t="s">
        <v>64</v>
      </c>
      <c r="B378" s="419"/>
      <c r="C378" s="419"/>
      <c r="D378" s="419"/>
      <c r="E378" s="419"/>
      <c r="F378" s="419"/>
      <c r="G378" s="419"/>
      <c r="H378" s="419"/>
      <c r="I378" s="419"/>
      <c r="J378" s="419"/>
      <c r="K378" s="419"/>
      <c r="L378" s="419"/>
      <c r="M378" s="419"/>
      <c r="N378" s="419"/>
      <c r="O378" s="419"/>
      <c r="P378" s="419"/>
      <c r="Q378" s="419"/>
      <c r="S378" s="97"/>
      <c r="T378" s="97"/>
    </row>
    <row r="379" spans="1:20" ht="13.5" thickBot="1">
      <c r="A379" s="420" t="s">
        <v>510</v>
      </c>
      <c r="B379" s="420"/>
      <c r="C379" s="420"/>
      <c r="D379" s="420"/>
      <c r="E379" s="420"/>
      <c r="F379" s="420"/>
      <c r="G379" s="420"/>
      <c r="H379" s="420"/>
      <c r="I379" s="420"/>
      <c r="J379" s="420"/>
      <c r="K379" s="420"/>
      <c r="L379" s="420"/>
      <c r="M379" s="420"/>
      <c r="N379" s="420"/>
      <c r="O379" s="420"/>
      <c r="P379" s="420"/>
      <c r="Q379" s="420"/>
      <c r="S379" s="97"/>
      <c r="T379" s="97"/>
    </row>
    <row r="380" spans="1:20" ht="12.75" customHeight="1">
      <c r="A380" s="395" t="s">
        <v>1</v>
      </c>
      <c r="B380" s="397" t="s">
        <v>0</v>
      </c>
      <c r="C380" s="384" t="s">
        <v>2</v>
      </c>
      <c r="D380" s="384" t="s">
        <v>3</v>
      </c>
      <c r="E380" s="384" t="s">
        <v>13</v>
      </c>
      <c r="F380" s="386" t="s">
        <v>14</v>
      </c>
      <c r="G380" s="387"/>
      <c r="H380" s="387"/>
      <c r="I380" s="388"/>
      <c r="J380" s="384" t="s">
        <v>4</v>
      </c>
      <c r="K380" s="384" t="s">
        <v>15</v>
      </c>
      <c r="L380" s="384" t="s">
        <v>5</v>
      </c>
      <c r="M380" s="384" t="s">
        <v>6</v>
      </c>
      <c r="N380" s="384" t="s">
        <v>16</v>
      </c>
      <c r="O380" s="389" t="s">
        <v>17</v>
      </c>
      <c r="P380" s="384" t="s">
        <v>25</v>
      </c>
      <c r="Q380" s="391" t="s">
        <v>26</v>
      </c>
      <c r="S380" s="97"/>
      <c r="T380" s="97"/>
    </row>
    <row r="381" spans="1:20" s="2" customFormat="1" ht="33.75">
      <c r="A381" s="396"/>
      <c r="B381" s="398"/>
      <c r="C381" s="399"/>
      <c r="D381" s="385"/>
      <c r="E381" s="385"/>
      <c r="F381" s="37" t="s">
        <v>18</v>
      </c>
      <c r="G381" s="37" t="s">
        <v>19</v>
      </c>
      <c r="H381" s="37" t="s">
        <v>20</v>
      </c>
      <c r="I381" s="37" t="s">
        <v>21</v>
      </c>
      <c r="J381" s="385"/>
      <c r="K381" s="385"/>
      <c r="L381" s="385"/>
      <c r="M381" s="385"/>
      <c r="N381" s="385"/>
      <c r="O381" s="390"/>
      <c r="P381" s="385"/>
      <c r="Q381" s="392"/>
      <c r="S381" s="97"/>
      <c r="T381" s="97"/>
    </row>
    <row r="382" spans="1:20" s="3" customFormat="1" ht="13.5" customHeight="1" thickBot="1">
      <c r="A382" s="396"/>
      <c r="B382" s="398"/>
      <c r="C382" s="416"/>
      <c r="D382" s="65" t="s">
        <v>7</v>
      </c>
      <c r="E382" s="65" t="s">
        <v>8</v>
      </c>
      <c r="F382" s="65" t="s">
        <v>9</v>
      </c>
      <c r="G382" s="65" t="s">
        <v>9</v>
      </c>
      <c r="H382" s="65" t="s">
        <v>9</v>
      </c>
      <c r="I382" s="65" t="s">
        <v>9</v>
      </c>
      <c r="J382" s="65" t="s">
        <v>22</v>
      </c>
      <c r="K382" s="65" t="s">
        <v>9</v>
      </c>
      <c r="L382" s="65" t="s">
        <v>22</v>
      </c>
      <c r="M382" s="65" t="s">
        <v>23</v>
      </c>
      <c r="N382" s="65" t="s">
        <v>10</v>
      </c>
      <c r="O382" s="65" t="s">
        <v>24</v>
      </c>
      <c r="P382" s="66" t="s">
        <v>27</v>
      </c>
      <c r="Q382" s="67" t="s">
        <v>28</v>
      </c>
      <c r="S382" s="97"/>
      <c r="T382" s="97"/>
    </row>
    <row r="383" spans="1:20" ht="11.25" customHeight="1">
      <c r="A383" s="411" t="s">
        <v>29</v>
      </c>
      <c r="B383" s="34">
        <v>1</v>
      </c>
      <c r="C383" s="35" t="s">
        <v>511</v>
      </c>
      <c r="D383" s="36">
        <v>52</v>
      </c>
      <c r="E383" s="36">
        <v>1973</v>
      </c>
      <c r="F383" s="608">
        <v>19.690972</v>
      </c>
      <c r="G383" s="608">
        <v>3.571173</v>
      </c>
      <c r="H383" s="608">
        <v>7.913129</v>
      </c>
      <c r="I383" s="609">
        <v>8.20667</v>
      </c>
      <c r="J383" s="951">
        <v>2742.82</v>
      </c>
      <c r="K383" s="608">
        <v>6.802696</v>
      </c>
      <c r="L383" s="951">
        <v>2625.72</v>
      </c>
      <c r="M383" s="184">
        <f aca="true" t="shared" si="50" ref="M383:M388">K383/L383</f>
        <v>0.002590792620690706</v>
      </c>
      <c r="N383" s="185">
        <v>247.6</v>
      </c>
      <c r="O383" s="185">
        <f aca="true" t="shared" si="51" ref="O383:O388">M383*N383</f>
        <v>0.6414802528830188</v>
      </c>
      <c r="P383" s="185">
        <f aca="true" t="shared" si="52" ref="P383:P388">M383*60*1000</f>
        <v>155.44755724144235</v>
      </c>
      <c r="Q383" s="259">
        <f aca="true" t="shared" si="53" ref="Q383:Q388">P383*N383/1000</f>
        <v>38.48881517298113</v>
      </c>
      <c r="S383" s="97"/>
      <c r="T383" s="97"/>
    </row>
    <row r="384" spans="1:20" ht="12.75" customHeight="1">
      <c r="A384" s="412"/>
      <c r="B384" s="36">
        <v>2</v>
      </c>
      <c r="C384" s="35" t="s">
        <v>512</v>
      </c>
      <c r="D384" s="36">
        <v>30</v>
      </c>
      <c r="E384" s="36">
        <v>1987</v>
      </c>
      <c r="F384" s="609">
        <v>11.250981</v>
      </c>
      <c r="G384" s="609">
        <v>2.461413</v>
      </c>
      <c r="H384" s="609">
        <v>4.8</v>
      </c>
      <c r="I384" s="609">
        <v>3.989568</v>
      </c>
      <c r="J384" s="135">
        <v>1510.61</v>
      </c>
      <c r="K384" s="609">
        <v>3.798964</v>
      </c>
      <c r="L384" s="135">
        <v>1454.73</v>
      </c>
      <c r="M384" s="184">
        <f t="shared" si="50"/>
        <v>0.0026114564214665265</v>
      </c>
      <c r="N384" s="185">
        <v>247.6</v>
      </c>
      <c r="O384" s="185">
        <f t="shared" si="51"/>
        <v>0.6465966099551119</v>
      </c>
      <c r="P384" s="185">
        <f t="shared" si="52"/>
        <v>156.6873852879916</v>
      </c>
      <c r="Q384" s="259">
        <f t="shared" si="53"/>
        <v>38.79579659730672</v>
      </c>
      <c r="S384" s="97"/>
      <c r="T384" s="97"/>
    </row>
    <row r="385" spans="1:20" ht="12.75" customHeight="1">
      <c r="A385" s="412"/>
      <c r="B385" s="36">
        <v>3</v>
      </c>
      <c r="C385" s="35" t="s">
        <v>513</v>
      </c>
      <c r="D385" s="36">
        <v>34</v>
      </c>
      <c r="E385" s="36">
        <v>1973</v>
      </c>
      <c r="F385" s="609">
        <v>12.195986</v>
      </c>
      <c r="G385" s="609">
        <v>2.420256</v>
      </c>
      <c r="H385" s="609">
        <v>5.077838</v>
      </c>
      <c r="I385" s="609">
        <v>4.697892</v>
      </c>
      <c r="J385" s="135">
        <v>1759.84</v>
      </c>
      <c r="K385" s="609">
        <v>4.697906</v>
      </c>
      <c r="L385" s="135">
        <v>1759.84</v>
      </c>
      <c r="M385" s="164">
        <f t="shared" si="50"/>
        <v>0.0026695074552232022</v>
      </c>
      <c r="N385" s="185">
        <v>247.6</v>
      </c>
      <c r="O385" s="185">
        <f t="shared" si="51"/>
        <v>0.6609700459132648</v>
      </c>
      <c r="P385" s="185">
        <f t="shared" si="52"/>
        <v>160.17044731339215</v>
      </c>
      <c r="Q385" s="251">
        <f t="shared" si="53"/>
        <v>39.658202754795894</v>
      </c>
      <c r="S385" s="97"/>
      <c r="T385" s="97"/>
    </row>
    <row r="386" spans="1:20" ht="12.75" customHeight="1">
      <c r="A386" s="412"/>
      <c r="B386" s="36">
        <v>4</v>
      </c>
      <c r="C386" s="35" t="s">
        <v>514</v>
      </c>
      <c r="D386" s="36">
        <v>16</v>
      </c>
      <c r="E386" s="36">
        <v>1984</v>
      </c>
      <c r="F386" s="609">
        <v>4.488837</v>
      </c>
      <c r="G386" s="609">
        <v>0.578442</v>
      </c>
      <c r="H386" s="609">
        <v>1.738714</v>
      </c>
      <c r="I386" s="609">
        <v>2.171681</v>
      </c>
      <c r="J386" s="135">
        <v>766.75</v>
      </c>
      <c r="K386" s="609">
        <v>1.872926</v>
      </c>
      <c r="L386" s="135">
        <v>609.7</v>
      </c>
      <c r="M386" s="164">
        <f t="shared" si="50"/>
        <v>0.0030718812530752828</v>
      </c>
      <c r="N386" s="185">
        <v>247.6</v>
      </c>
      <c r="O386" s="163">
        <f t="shared" si="51"/>
        <v>0.76059779826144</v>
      </c>
      <c r="P386" s="185">
        <f t="shared" si="52"/>
        <v>184.31287518451697</v>
      </c>
      <c r="Q386" s="251">
        <f t="shared" si="53"/>
        <v>45.6358678956864</v>
      </c>
      <c r="S386" s="97"/>
      <c r="T386" s="97"/>
    </row>
    <row r="387" spans="1:20" ht="12.75" customHeight="1">
      <c r="A387" s="412"/>
      <c r="B387" s="36">
        <v>5</v>
      </c>
      <c r="C387" s="35" t="s">
        <v>515</v>
      </c>
      <c r="D387" s="36">
        <v>12</v>
      </c>
      <c r="E387" s="36">
        <v>1963</v>
      </c>
      <c r="F387" s="609">
        <v>4.673991</v>
      </c>
      <c r="G387" s="609">
        <v>0.877812</v>
      </c>
      <c r="H387" s="609">
        <v>1.89678</v>
      </c>
      <c r="I387" s="609">
        <v>1.899399</v>
      </c>
      <c r="J387" s="135">
        <v>528.5</v>
      </c>
      <c r="K387" s="609">
        <v>1.899406</v>
      </c>
      <c r="L387" s="135">
        <v>528.5</v>
      </c>
      <c r="M387" s="164">
        <f t="shared" si="50"/>
        <v>0.003593956480605487</v>
      </c>
      <c r="N387" s="185">
        <v>247.6</v>
      </c>
      <c r="O387" s="163">
        <f t="shared" si="51"/>
        <v>0.8898636245979186</v>
      </c>
      <c r="P387" s="185">
        <f t="shared" si="52"/>
        <v>215.63738883632922</v>
      </c>
      <c r="Q387" s="251">
        <f t="shared" si="53"/>
        <v>53.391817475875115</v>
      </c>
      <c r="S387" s="97"/>
      <c r="T387" s="97"/>
    </row>
    <row r="388" spans="1:20" ht="12.75" customHeight="1">
      <c r="A388" s="412"/>
      <c r="B388" s="36">
        <v>6</v>
      </c>
      <c r="C388" s="35" t="s">
        <v>516</v>
      </c>
      <c r="D388" s="36">
        <v>32</v>
      </c>
      <c r="E388" s="36">
        <v>1977</v>
      </c>
      <c r="F388" s="609">
        <v>16.014985</v>
      </c>
      <c r="G388" s="609">
        <v>2.29245</v>
      </c>
      <c r="H388" s="609">
        <v>6.954848</v>
      </c>
      <c r="I388" s="609">
        <v>6.767687</v>
      </c>
      <c r="J388" s="135">
        <v>1794.45</v>
      </c>
      <c r="K388" s="609">
        <v>6.767701</v>
      </c>
      <c r="L388" s="135">
        <v>1794.45</v>
      </c>
      <c r="M388" s="164">
        <f t="shared" si="50"/>
        <v>0.003771462565131377</v>
      </c>
      <c r="N388" s="185">
        <v>247.6</v>
      </c>
      <c r="O388" s="163">
        <f t="shared" si="51"/>
        <v>0.933814131126529</v>
      </c>
      <c r="P388" s="185">
        <f t="shared" si="52"/>
        <v>226.28775390788263</v>
      </c>
      <c r="Q388" s="251">
        <f t="shared" si="53"/>
        <v>56.028847867591736</v>
      </c>
      <c r="S388" s="97"/>
      <c r="T388" s="97"/>
    </row>
    <row r="389" spans="1:20" ht="12.75" customHeight="1">
      <c r="A389" s="412"/>
      <c r="B389" s="36">
        <v>7</v>
      </c>
      <c r="C389" s="35"/>
      <c r="D389" s="168"/>
      <c r="E389" s="168"/>
      <c r="F389" s="876"/>
      <c r="G389" s="876"/>
      <c r="H389" s="876"/>
      <c r="I389" s="876"/>
      <c r="J389" s="890"/>
      <c r="K389" s="876"/>
      <c r="L389" s="890"/>
      <c r="M389" s="168"/>
      <c r="N389" s="168"/>
      <c r="O389" s="169"/>
      <c r="P389" s="169"/>
      <c r="Q389" s="171"/>
      <c r="S389" s="97"/>
      <c r="T389" s="97"/>
    </row>
    <row r="390" spans="1:20" ht="16.5" customHeight="1" thickBot="1">
      <c r="A390" s="413"/>
      <c r="B390" s="103"/>
      <c r="C390" s="102"/>
      <c r="D390" s="103"/>
      <c r="E390" s="103"/>
      <c r="F390" s="1064"/>
      <c r="G390" s="1064"/>
      <c r="H390" s="1064"/>
      <c r="I390" s="1064"/>
      <c r="J390" s="1059"/>
      <c r="K390" s="1064"/>
      <c r="L390" s="1059"/>
      <c r="M390" s="1060"/>
      <c r="N390" s="1058"/>
      <c r="O390" s="1061"/>
      <c r="P390" s="260"/>
      <c r="Q390" s="261"/>
      <c r="S390" s="97"/>
      <c r="T390" s="97"/>
    </row>
    <row r="391" spans="1:20" ht="12.75">
      <c r="A391" s="528" t="s">
        <v>30</v>
      </c>
      <c r="B391" s="366">
        <v>1</v>
      </c>
      <c r="C391" s="627" t="s">
        <v>215</v>
      </c>
      <c r="D391" s="366">
        <v>45</v>
      </c>
      <c r="E391" s="366">
        <v>1972</v>
      </c>
      <c r="F391" s="671">
        <v>23.369003</v>
      </c>
      <c r="G391" s="671">
        <v>3.57765</v>
      </c>
      <c r="H391" s="671">
        <v>7.2</v>
      </c>
      <c r="I391" s="671">
        <v>12.591353</v>
      </c>
      <c r="J391" s="952">
        <v>1840.92</v>
      </c>
      <c r="K391" s="671">
        <v>12.591353</v>
      </c>
      <c r="L391" s="918">
        <v>1840.92</v>
      </c>
      <c r="M391" s="675">
        <f>K391/L391</f>
        <v>0.006839706777046259</v>
      </c>
      <c r="N391" s="674">
        <v>247.6</v>
      </c>
      <c r="O391" s="674">
        <f>M391*N391</f>
        <v>1.6935113979966536</v>
      </c>
      <c r="P391" s="674">
        <f>M391*60*1000</f>
        <v>410.38240662277553</v>
      </c>
      <c r="Q391" s="676">
        <f>P391*N391/1000</f>
        <v>101.61068387979923</v>
      </c>
      <c r="S391" s="97"/>
      <c r="T391" s="97"/>
    </row>
    <row r="392" spans="1:20" ht="12.75">
      <c r="A392" s="530"/>
      <c r="B392" s="367">
        <v>2</v>
      </c>
      <c r="C392" s="633" t="s">
        <v>517</v>
      </c>
      <c r="D392" s="367">
        <v>28</v>
      </c>
      <c r="E392" s="367">
        <v>1963</v>
      </c>
      <c r="F392" s="677">
        <v>12.027998</v>
      </c>
      <c r="G392" s="677">
        <v>2.958</v>
      </c>
      <c r="H392" s="677">
        <v>0</v>
      </c>
      <c r="I392" s="677">
        <v>9.069998</v>
      </c>
      <c r="J392" s="652">
        <v>1271.69</v>
      </c>
      <c r="K392" s="677">
        <v>5.435618</v>
      </c>
      <c r="L392" s="652">
        <v>731.26</v>
      </c>
      <c r="M392" s="679">
        <f>K392/L392</f>
        <v>0.007433222109783114</v>
      </c>
      <c r="N392" s="674">
        <v>247.6</v>
      </c>
      <c r="O392" s="678">
        <f>M392*N392</f>
        <v>1.8404657943822988</v>
      </c>
      <c r="P392" s="674">
        <f>M392*60*1000</f>
        <v>445.9933265869868</v>
      </c>
      <c r="Q392" s="680">
        <f>P392*N392/1000</f>
        <v>110.42794766293794</v>
      </c>
      <c r="S392" s="97"/>
      <c r="T392" s="97"/>
    </row>
    <row r="393" spans="1:20" ht="12.75">
      <c r="A393" s="530"/>
      <c r="B393" s="367">
        <v>3</v>
      </c>
      <c r="C393" s="633" t="s">
        <v>518</v>
      </c>
      <c r="D393" s="367">
        <v>40</v>
      </c>
      <c r="E393" s="367">
        <v>1978</v>
      </c>
      <c r="F393" s="677">
        <v>26.221999</v>
      </c>
      <c r="G393" s="677">
        <v>3.158991</v>
      </c>
      <c r="H393" s="677">
        <v>6.3226</v>
      </c>
      <c r="I393" s="677">
        <v>16.740408</v>
      </c>
      <c r="J393" s="652">
        <v>2108.1</v>
      </c>
      <c r="K393" s="677">
        <v>16.740408</v>
      </c>
      <c r="L393" s="652">
        <v>2108.1</v>
      </c>
      <c r="M393" s="679">
        <f>K393/L393</f>
        <v>0.007940993311512736</v>
      </c>
      <c r="N393" s="674">
        <v>247.6</v>
      </c>
      <c r="O393" s="678">
        <f>M393*N393</f>
        <v>1.9661899439305535</v>
      </c>
      <c r="P393" s="674">
        <f>M393*60*1000</f>
        <v>476.45959869076415</v>
      </c>
      <c r="Q393" s="680">
        <f>P393*N393/1000</f>
        <v>117.9713966358332</v>
      </c>
      <c r="S393" s="97"/>
      <c r="T393" s="97"/>
    </row>
    <row r="394" spans="1:20" ht="12.75">
      <c r="A394" s="530"/>
      <c r="B394" s="367">
        <v>4</v>
      </c>
      <c r="C394" s="633" t="s">
        <v>519</v>
      </c>
      <c r="D394" s="367">
        <v>36</v>
      </c>
      <c r="E394" s="367">
        <v>1972</v>
      </c>
      <c r="F394" s="677">
        <v>20.548</v>
      </c>
      <c r="G394" s="677">
        <v>2.583507</v>
      </c>
      <c r="H394" s="677">
        <v>5.69034</v>
      </c>
      <c r="I394" s="677">
        <v>12.274153</v>
      </c>
      <c r="J394" s="652">
        <v>1516.82</v>
      </c>
      <c r="K394" s="677">
        <v>11.826664</v>
      </c>
      <c r="L394" s="652">
        <v>1461.52</v>
      </c>
      <c r="M394" s="679">
        <f>K394/L394</f>
        <v>0.008092030215118506</v>
      </c>
      <c r="N394" s="674">
        <v>247.6</v>
      </c>
      <c r="O394" s="678">
        <f>M394*N394</f>
        <v>2.003586681263342</v>
      </c>
      <c r="P394" s="674">
        <f>M394*60*1000</f>
        <v>485.52181290711036</v>
      </c>
      <c r="Q394" s="680">
        <f>P394*N394/1000</f>
        <v>120.21520087580052</v>
      </c>
      <c r="S394" s="97"/>
      <c r="T394" s="97"/>
    </row>
    <row r="395" spans="1:20" ht="12.75">
      <c r="A395" s="530"/>
      <c r="B395" s="367">
        <v>5</v>
      </c>
      <c r="C395" s="633"/>
      <c r="D395" s="634"/>
      <c r="E395" s="634"/>
      <c r="F395" s="879"/>
      <c r="G395" s="879"/>
      <c r="H395" s="879"/>
      <c r="I395" s="879"/>
      <c r="J395" s="893"/>
      <c r="K395" s="879"/>
      <c r="L395" s="893"/>
      <c r="M395" s="634"/>
      <c r="N395" s="634"/>
      <c r="O395" s="691"/>
      <c r="P395" s="692"/>
      <c r="Q395" s="637"/>
      <c r="S395" s="97"/>
      <c r="T395" s="97"/>
    </row>
    <row r="396" spans="1:20" ht="12.75">
      <c r="A396" s="530"/>
      <c r="B396" s="367">
        <v>6</v>
      </c>
      <c r="C396" s="633"/>
      <c r="D396" s="367"/>
      <c r="E396" s="367"/>
      <c r="F396" s="677"/>
      <c r="G396" s="677"/>
      <c r="H396" s="677"/>
      <c r="I396" s="677"/>
      <c r="J396" s="652"/>
      <c r="K396" s="677"/>
      <c r="L396" s="652"/>
      <c r="M396" s="679"/>
      <c r="N396" s="678"/>
      <c r="O396" s="1062"/>
      <c r="P396" s="678"/>
      <c r="Q396" s="680"/>
      <c r="S396" s="97"/>
      <c r="T396" s="97"/>
    </row>
    <row r="397" spans="1:20" ht="12.75">
      <c r="A397" s="530"/>
      <c r="B397" s="367">
        <v>7</v>
      </c>
      <c r="C397" s="633"/>
      <c r="D397" s="367"/>
      <c r="E397" s="367"/>
      <c r="F397" s="677"/>
      <c r="G397" s="677"/>
      <c r="H397" s="677"/>
      <c r="I397" s="677"/>
      <c r="J397" s="652"/>
      <c r="K397" s="677"/>
      <c r="L397" s="652"/>
      <c r="M397" s="679"/>
      <c r="N397" s="678"/>
      <c r="O397" s="1062"/>
      <c r="P397" s="678"/>
      <c r="Q397" s="680"/>
      <c r="S397" s="97"/>
      <c r="T397" s="97"/>
    </row>
    <row r="398" spans="1:20" ht="13.5" thickBot="1">
      <c r="A398" s="534"/>
      <c r="B398" s="535">
        <v>8</v>
      </c>
      <c r="C398" s="640"/>
      <c r="D398" s="535"/>
      <c r="E398" s="535"/>
      <c r="F398" s="681"/>
      <c r="G398" s="681"/>
      <c r="H398" s="681"/>
      <c r="I398" s="681"/>
      <c r="J398" s="658"/>
      <c r="K398" s="681"/>
      <c r="L398" s="658"/>
      <c r="M398" s="684"/>
      <c r="N398" s="683"/>
      <c r="O398" s="1063"/>
      <c r="P398" s="683"/>
      <c r="Q398" s="685"/>
      <c r="S398" s="97"/>
      <c r="T398" s="97"/>
    </row>
    <row r="399" spans="1:20" ht="12.75">
      <c r="A399" s="418" t="s">
        <v>12</v>
      </c>
      <c r="B399" s="40">
        <v>1</v>
      </c>
      <c r="C399" s="645" t="s">
        <v>520</v>
      </c>
      <c r="D399" s="40">
        <v>24</v>
      </c>
      <c r="E399" s="40">
        <v>1969</v>
      </c>
      <c r="F399" s="733">
        <v>13.370998</v>
      </c>
      <c r="G399" s="733">
        <v>1.757511</v>
      </c>
      <c r="H399" s="733">
        <v>3.635495</v>
      </c>
      <c r="I399" s="733">
        <v>7.977992</v>
      </c>
      <c r="J399" s="953">
        <v>1137.96</v>
      </c>
      <c r="K399" s="733">
        <v>7.977992</v>
      </c>
      <c r="L399" s="922">
        <v>964.42</v>
      </c>
      <c r="M399" s="714">
        <f aca="true" t="shared" si="54" ref="M399:M406">K399/L399</f>
        <v>0.00827232118786421</v>
      </c>
      <c r="N399" s="715">
        <v>247.6</v>
      </c>
      <c r="O399" s="715">
        <f aca="true" t="shared" si="55" ref="O399:O406">M399*N399</f>
        <v>2.0482267261151783</v>
      </c>
      <c r="P399" s="715">
        <f aca="true" t="shared" si="56" ref="P399:P406">M399*60*1000</f>
        <v>496.33927127185257</v>
      </c>
      <c r="Q399" s="716">
        <f aca="true" t="shared" si="57" ref="Q399:Q406">P399*N399/1000</f>
        <v>122.8936035669107</v>
      </c>
      <c r="S399" s="97"/>
      <c r="T399" s="97"/>
    </row>
    <row r="400" spans="1:20" ht="12.75">
      <c r="A400" s="382"/>
      <c r="B400" s="42">
        <v>2</v>
      </c>
      <c r="C400" s="52" t="s">
        <v>521</v>
      </c>
      <c r="D400" s="42">
        <v>24</v>
      </c>
      <c r="E400" s="42">
        <v>1965</v>
      </c>
      <c r="F400" s="727">
        <v>14.89</v>
      </c>
      <c r="G400" s="727">
        <v>1.683</v>
      </c>
      <c r="H400" s="727">
        <v>3.79356</v>
      </c>
      <c r="I400" s="727">
        <v>9.41344</v>
      </c>
      <c r="J400" s="751">
        <v>1116.83</v>
      </c>
      <c r="K400" s="727">
        <v>8.277333</v>
      </c>
      <c r="L400" s="751">
        <v>982.04</v>
      </c>
      <c r="M400" s="721">
        <f t="shared" si="54"/>
        <v>0.008428712679727914</v>
      </c>
      <c r="N400" s="715">
        <v>247.6</v>
      </c>
      <c r="O400" s="722">
        <f t="shared" si="55"/>
        <v>2.0869492595006314</v>
      </c>
      <c r="P400" s="715">
        <f t="shared" si="56"/>
        <v>505.72276078367486</v>
      </c>
      <c r="Q400" s="723">
        <f t="shared" si="57"/>
        <v>125.2169555700379</v>
      </c>
      <c r="S400" s="97"/>
      <c r="T400" s="97"/>
    </row>
    <row r="401" spans="1:20" ht="12.75">
      <c r="A401" s="382"/>
      <c r="B401" s="42">
        <v>3</v>
      </c>
      <c r="C401" s="52" t="s">
        <v>522</v>
      </c>
      <c r="D401" s="42">
        <v>9</v>
      </c>
      <c r="E401" s="42">
        <v>1968</v>
      </c>
      <c r="F401" s="727">
        <v>5.597002</v>
      </c>
      <c r="G401" s="727">
        <v>0.561</v>
      </c>
      <c r="H401" s="727">
        <v>1.422585</v>
      </c>
      <c r="I401" s="727">
        <v>3.613417</v>
      </c>
      <c r="J401" s="751">
        <v>412.22</v>
      </c>
      <c r="K401" s="727">
        <v>3.613417</v>
      </c>
      <c r="L401" s="751">
        <v>412.22</v>
      </c>
      <c r="M401" s="721">
        <f t="shared" si="54"/>
        <v>0.008765748871961574</v>
      </c>
      <c r="N401" s="715">
        <v>247.6</v>
      </c>
      <c r="O401" s="722">
        <f t="shared" si="55"/>
        <v>2.1703994206976858</v>
      </c>
      <c r="P401" s="715">
        <f t="shared" si="56"/>
        <v>525.9449323176945</v>
      </c>
      <c r="Q401" s="723">
        <f t="shared" si="57"/>
        <v>130.22396524186112</v>
      </c>
      <c r="S401" s="97"/>
      <c r="T401" s="97"/>
    </row>
    <row r="402" spans="1:20" ht="12.75">
      <c r="A402" s="382"/>
      <c r="B402" s="42">
        <v>4</v>
      </c>
      <c r="C402" s="52" t="s">
        <v>523</v>
      </c>
      <c r="D402" s="42">
        <v>23</v>
      </c>
      <c r="E402" s="42">
        <v>1970</v>
      </c>
      <c r="F402" s="727">
        <v>14.288997</v>
      </c>
      <c r="G402" s="727">
        <v>0.999345</v>
      </c>
      <c r="H402" s="727">
        <v>3.47743</v>
      </c>
      <c r="I402" s="727">
        <v>9.812222</v>
      </c>
      <c r="J402" s="751">
        <v>1095.22</v>
      </c>
      <c r="K402" s="727">
        <v>8.443222</v>
      </c>
      <c r="L402" s="751">
        <v>947.22</v>
      </c>
      <c r="M402" s="721">
        <f t="shared" si="54"/>
        <v>0.008913686366419628</v>
      </c>
      <c r="N402" s="715">
        <v>247.6</v>
      </c>
      <c r="O402" s="722">
        <f t="shared" si="55"/>
        <v>2.2070287443254997</v>
      </c>
      <c r="P402" s="715">
        <f t="shared" si="56"/>
        <v>534.8211819851776</v>
      </c>
      <c r="Q402" s="723">
        <f t="shared" si="57"/>
        <v>132.42172465952999</v>
      </c>
      <c r="S402" s="97"/>
      <c r="T402" s="97"/>
    </row>
    <row r="403" spans="1:20" ht="12.75">
      <c r="A403" s="382"/>
      <c r="B403" s="42">
        <v>5</v>
      </c>
      <c r="C403" s="52" t="s">
        <v>524</v>
      </c>
      <c r="D403" s="42">
        <v>25</v>
      </c>
      <c r="E403" s="42">
        <v>1964</v>
      </c>
      <c r="F403" s="727">
        <v>14.793998</v>
      </c>
      <c r="G403" s="727">
        <v>0.8415</v>
      </c>
      <c r="H403" s="727">
        <v>3.793559</v>
      </c>
      <c r="I403" s="727">
        <v>10.158939</v>
      </c>
      <c r="J403" s="751">
        <v>1114.14</v>
      </c>
      <c r="K403" s="727">
        <v>8.700576</v>
      </c>
      <c r="L403" s="751">
        <v>954.2</v>
      </c>
      <c r="M403" s="721">
        <f t="shared" si="54"/>
        <v>0.009118189058897505</v>
      </c>
      <c r="N403" s="715">
        <v>247.6</v>
      </c>
      <c r="O403" s="722">
        <f t="shared" si="55"/>
        <v>2.2576636109830224</v>
      </c>
      <c r="P403" s="715">
        <f t="shared" si="56"/>
        <v>547.0913435338504</v>
      </c>
      <c r="Q403" s="723">
        <f t="shared" si="57"/>
        <v>135.45981665898134</v>
      </c>
      <c r="S403" s="97"/>
      <c r="T403" s="97"/>
    </row>
    <row r="404" spans="1:20" ht="12.75">
      <c r="A404" s="382"/>
      <c r="B404" s="42">
        <v>6</v>
      </c>
      <c r="C404" s="52" t="s">
        <v>525</v>
      </c>
      <c r="D404" s="42">
        <v>13</v>
      </c>
      <c r="E404" s="42">
        <v>1958</v>
      </c>
      <c r="F404" s="727">
        <v>8.425</v>
      </c>
      <c r="G404" s="727">
        <v>0.51</v>
      </c>
      <c r="H404" s="727">
        <v>1.45</v>
      </c>
      <c r="I404" s="727">
        <v>6.465</v>
      </c>
      <c r="J404" s="751">
        <v>693.99</v>
      </c>
      <c r="K404" s="727">
        <v>2.442389</v>
      </c>
      <c r="L404" s="751">
        <v>262.18</v>
      </c>
      <c r="M404" s="721">
        <f t="shared" si="54"/>
        <v>0.009315695323823326</v>
      </c>
      <c r="N404" s="715">
        <v>247.6</v>
      </c>
      <c r="O404" s="722">
        <f t="shared" si="55"/>
        <v>2.3065661621786555</v>
      </c>
      <c r="P404" s="715">
        <f t="shared" si="56"/>
        <v>558.9417194293997</v>
      </c>
      <c r="Q404" s="723">
        <f t="shared" si="57"/>
        <v>138.39396973071933</v>
      </c>
      <c r="S404" s="97"/>
      <c r="T404" s="97"/>
    </row>
    <row r="405" spans="1:20" ht="12.75">
      <c r="A405" s="382"/>
      <c r="B405" s="42">
        <v>7</v>
      </c>
      <c r="C405" s="52" t="s">
        <v>526</v>
      </c>
      <c r="D405" s="42">
        <v>18</v>
      </c>
      <c r="E405" s="42">
        <v>1967</v>
      </c>
      <c r="F405" s="727">
        <v>7.970997</v>
      </c>
      <c r="G405" s="727">
        <v>1.581</v>
      </c>
      <c r="H405" s="727">
        <v>0</v>
      </c>
      <c r="I405" s="727">
        <v>6.389997</v>
      </c>
      <c r="J405" s="751">
        <v>597.08</v>
      </c>
      <c r="K405" s="727">
        <v>6.389997</v>
      </c>
      <c r="L405" s="751">
        <v>597.08</v>
      </c>
      <c r="M405" s="721">
        <f t="shared" si="54"/>
        <v>0.010702078448449118</v>
      </c>
      <c r="N405" s="715">
        <v>247.6</v>
      </c>
      <c r="O405" s="722">
        <f t="shared" si="55"/>
        <v>2.6498346238360018</v>
      </c>
      <c r="P405" s="715">
        <f t="shared" si="56"/>
        <v>642.1247069069472</v>
      </c>
      <c r="Q405" s="723">
        <f t="shared" si="57"/>
        <v>158.9900774301601</v>
      </c>
      <c r="S405" s="97"/>
      <c r="T405" s="97"/>
    </row>
    <row r="406" spans="1:20" ht="13.5" thickBot="1">
      <c r="A406" s="383"/>
      <c r="B406" s="47">
        <v>8</v>
      </c>
      <c r="C406" s="56" t="s">
        <v>216</v>
      </c>
      <c r="D406" s="47">
        <v>47</v>
      </c>
      <c r="E406" s="47">
        <v>1981</v>
      </c>
      <c r="F406" s="728">
        <v>17.389999</v>
      </c>
      <c r="G406" s="728">
        <v>0.26775</v>
      </c>
      <c r="H406" s="728">
        <v>0.231168</v>
      </c>
      <c r="I406" s="728">
        <v>16.891081</v>
      </c>
      <c r="J406" s="926">
        <v>1526.37</v>
      </c>
      <c r="K406" s="728">
        <v>16.510294</v>
      </c>
      <c r="L406" s="926">
        <v>1491.96</v>
      </c>
      <c r="M406" s="717">
        <f t="shared" si="54"/>
        <v>0.011066177377409581</v>
      </c>
      <c r="N406" s="718">
        <v>247.6</v>
      </c>
      <c r="O406" s="718">
        <f t="shared" si="55"/>
        <v>2.739985518646612</v>
      </c>
      <c r="P406" s="718">
        <f t="shared" si="56"/>
        <v>663.9706426445748</v>
      </c>
      <c r="Q406" s="719">
        <f t="shared" si="57"/>
        <v>164.3991311187967</v>
      </c>
      <c r="S406" s="97"/>
      <c r="T406" s="97"/>
    </row>
    <row r="407" spans="19:20" ht="12.75">
      <c r="S407" s="97"/>
      <c r="T407" s="97"/>
    </row>
    <row r="408" spans="19:20" ht="12.75">
      <c r="S408" s="97"/>
      <c r="T408" s="97"/>
    </row>
    <row r="409" spans="19:20" ht="12.75">
      <c r="S409" s="97"/>
      <c r="T409" s="97"/>
    </row>
    <row r="410" spans="19:20" ht="12.75">
      <c r="S410" s="97"/>
      <c r="T410" s="97"/>
    </row>
    <row r="411" spans="19:20" ht="12.75">
      <c r="S411" s="97"/>
      <c r="T411" s="97"/>
    </row>
    <row r="412" spans="19:20" ht="12.75">
      <c r="S412" s="97"/>
      <c r="T412" s="97"/>
    </row>
    <row r="413" spans="1:20" ht="15">
      <c r="A413" s="419" t="s">
        <v>65</v>
      </c>
      <c r="B413" s="419"/>
      <c r="C413" s="419"/>
      <c r="D413" s="419"/>
      <c r="E413" s="419"/>
      <c r="F413" s="419"/>
      <c r="G413" s="419"/>
      <c r="H413" s="419"/>
      <c r="I413" s="419"/>
      <c r="J413" s="419"/>
      <c r="K413" s="419"/>
      <c r="L413" s="419"/>
      <c r="M413" s="419"/>
      <c r="N413" s="419"/>
      <c r="O413" s="419"/>
      <c r="P413" s="419"/>
      <c r="Q413" s="419"/>
      <c r="S413" s="97"/>
      <c r="T413" s="97"/>
    </row>
    <row r="414" spans="1:20" ht="13.5" thickBot="1">
      <c r="A414" s="420" t="s">
        <v>527</v>
      </c>
      <c r="B414" s="420"/>
      <c r="C414" s="420"/>
      <c r="D414" s="420"/>
      <c r="E414" s="420"/>
      <c r="F414" s="420"/>
      <c r="G414" s="420"/>
      <c r="H414" s="420"/>
      <c r="I414" s="420"/>
      <c r="J414" s="420"/>
      <c r="K414" s="420"/>
      <c r="L414" s="420"/>
      <c r="M414" s="420"/>
      <c r="N414" s="420"/>
      <c r="O414" s="420"/>
      <c r="P414" s="420"/>
      <c r="Q414" s="420"/>
      <c r="S414" s="97"/>
      <c r="T414" s="97"/>
    </row>
    <row r="415" spans="1:20" ht="12.75" customHeight="1">
      <c r="A415" s="427" t="s">
        <v>1</v>
      </c>
      <c r="B415" s="430" t="s">
        <v>0</v>
      </c>
      <c r="C415" s="385" t="s">
        <v>2</v>
      </c>
      <c r="D415" s="385" t="s">
        <v>3</v>
      </c>
      <c r="E415" s="385" t="s">
        <v>13</v>
      </c>
      <c r="F415" s="434" t="s">
        <v>14</v>
      </c>
      <c r="G415" s="434"/>
      <c r="H415" s="434"/>
      <c r="I415" s="434"/>
      <c r="J415" s="385" t="s">
        <v>4</v>
      </c>
      <c r="K415" s="385" t="s">
        <v>15</v>
      </c>
      <c r="L415" s="385" t="s">
        <v>5</v>
      </c>
      <c r="M415" s="385" t="s">
        <v>6</v>
      </c>
      <c r="N415" s="385" t="s">
        <v>16</v>
      </c>
      <c r="O415" s="385" t="s">
        <v>17</v>
      </c>
      <c r="P415" s="385" t="s">
        <v>25</v>
      </c>
      <c r="Q415" s="392" t="s">
        <v>26</v>
      </c>
      <c r="S415" s="97"/>
      <c r="T415" s="97"/>
    </row>
    <row r="416" spans="1:20" s="2" customFormat="1" ht="33.75">
      <c r="A416" s="428"/>
      <c r="B416" s="431"/>
      <c r="C416" s="425"/>
      <c r="D416" s="425"/>
      <c r="E416" s="425"/>
      <c r="F416" s="37" t="s">
        <v>18</v>
      </c>
      <c r="G416" s="37" t="s">
        <v>19</v>
      </c>
      <c r="H416" s="37" t="s">
        <v>20</v>
      </c>
      <c r="I416" s="37" t="s">
        <v>21</v>
      </c>
      <c r="J416" s="425"/>
      <c r="K416" s="425"/>
      <c r="L416" s="425"/>
      <c r="M416" s="425"/>
      <c r="N416" s="425"/>
      <c r="O416" s="425"/>
      <c r="P416" s="425"/>
      <c r="Q416" s="426"/>
      <c r="S416" s="97"/>
      <c r="T416" s="97"/>
    </row>
    <row r="417" spans="1:20" s="3" customFormat="1" ht="13.5" customHeight="1" thickBot="1">
      <c r="A417" s="429"/>
      <c r="B417" s="432"/>
      <c r="C417" s="781"/>
      <c r="D417" s="65" t="s">
        <v>7</v>
      </c>
      <c r="E417" s="65" t="s">
        <v>8</v>
      </c>
      <c r="F417" s="65" t="s">
        <v>9</v>
      </c>
      <c r="G417" s="65" t="s">
        <v>9</v>
      </c>
      <c r="H417" s="65" t="s">
        <v>9</v>
      </c>
      <c r="I417" s="65" t="s">
        <v>9</v>
      </c>
      <c r="J417" s="65" t="s">
        <v>22</v>
      </c>
      <c r="K417" s="65" t="s">
        <v>9</v>
      </c>
      <c r="L417" s="65" t="s">
        <v>22</v>
      </c>
      <c r="M417" s="65" t="s">
        <v>23</v>
      </c>
      <c r="N417" s="65" t="s">
        <v>10</v>
      </c>
      <c r="O417" s="65" t="s">
        <v>24</v>
      </c>
      <c r="P417" s="65" t="s">
        <v>27</v>
      </c>
      <c r="Q417" s="67" t="s">
        <v>28</v>
      </c>
      <c r="S417" s="97"/>
      <c r="T417" s="97"/>
    </row>
    <row r="418" spans="1:20" ht="12.75">
      <c r="A418" s="400" t="s">
        <v>11</v>
      </c>
      <c r="B418" s="780">
        <v>1</v>
      </c>
      <c r="C418" s="580" t="s">
        <v>528</v>
      </c>
      <c r="D418" s="310">
        <v>39</v>
      </c>
      <c r="E418" s="310">
        <v>1985</v>
      </c>
      <c r="F418" s="1076">
        <f aca="true" t="shared" si="58" ref="F418:F457">G418+H418+I418</f>
        <v>10.86</v>
      </c>
      <c r="G418" s="1076">
        <v>4.13</v>
      </c>
      <c r="H418" s="1076">
        <v>6.32</v>
      </c>
      <c r="I418" s="1076">
        <v>0.41</v>
      </c>
      <c r="J418" s="1080">
        <v>2285.27</v>
      </c>
      <c r="K418" s="1076">
        <v>0.41</v>
      </c>
      <c r="L418" s="1080">
        <v>2285.27</v>
      </c>
      <c r="M418" s="1065">
        <f aca="true" t="shared" si="59" ref="M418:M457">K418/L418</f>
        <v>0.00017940987279402434</v>
      </c>
      <c r="N418" s="1066">
        <v>320.7</v>
      </c>
      <c r="O418" s="1067">
        <f aca="true" t="shared" si="60" ref="O418:O457">M418*N418</f>
        <v>0.05753674620504361</v>
      </c>
      <c r="P418" s="1067">
        <f aca="true" t="shared" si="61" ref="P418:P457">M418*60*1000</f>
        <v>10.76459236764146</v>
      </c>
      <c r="Q418" s="280">
        <f aca="true" t="shared" si="62" ref="Q418:Q457">P418*N418/1000</f>
        <v>3.452204772302616</v>
      </c>
      <c r="R418" s="6"/>
      <c r="S418" s="97"/>
      <c r="T418" s="97"/>
    </row>
    <row r="419" spans="1:20" ht="12.75">
      <c r="A419" s="401"/>
      <c r="B419" s="143">
        <v>2</v>
      </c>
      <c r="C419" s="580" t="s">
        <v>529</v>
      </c>
      <c r="D419" s="313">
        <v>45</v>
      </c>
      <c r="E419" s="313">
        <v>1991</v>
      </c>
      <c r="F419" s="1028">
        <f t="shared" si="58"/>
        <v>11.08</v>
      </c>
      <c r="G419" s="1028">
        <v>3.78</v>
      </c>
      <c r="H419" s="1028">
        <v>6.24</v>
      </c>
      <c r="I419" s="1028">
        <v>1.06</v>
      </c>
      <c r="J419" s="1036">
        <v>2321.73</v>
      </c>
      <c r="K419" s="1028">
        <v>1.06</v>
      </c>
      <c r="L419" s="1036">
        <v>2321.73</v>
      </c>
      <c r="M419" s="212">
        <f t="shared" si="59"/>
        <v>0.00045655610256145206</v>
      </c>
      <c r="N419" s="213">
        <v>320.7</v>
      </c>
      <c r="O419" s="214">
        <f t="shared" si="60"/>
        <v>0.14641754209145766</v>
      </c>
      <c r="P419" s="214">
        <f t="shared" si="61"/>
        <v>27.393366153687126</v>
      </c>
      <c r="Q419" s="215">
        <f t="shared" si="62"/>
        <v>8.785052525487462</v>
      </c>
      <c r="S419" s="97"/>
      <c r="T419" s="97"/>
    </row>
    <row r="420" spans="1:20" ht="12.75">
      <c r="A420" s="401"/>
      <c r="B420" s="143">
        <v>3</v>
      </c>
      <c r="C420" s="580" t="s">
        <v>530</v>
      </c>
      <c r="D420" s="313">
        <v>44</v>
      </c>
      <c r="E420" s="313">
        <v>1975</v>
      </c>
      <c r="F420" s="1028">
        <f t="shared" si="58"/>
        <v>12</v>
      </c>
      <c r="G420" s="1028">
        <v>3.2</v>
      </c>
      <c r="H420" s="1028">
        <v>7.04</v>
      </c>
      <c r="I420" s="1028">
        <v>1.76</v>
      </c>
      <c r="J420" s="1036">
        <v>2309.11</v>
      </c>
      <c r="K420" s="1028">
        <v>1.76</v>
      </c>
      <c r="L420" s="1036">
        <v>2309.11</v>
      </c>
      <c r="M420" s="212">
        <f t="shared" si="59"/>
        <v>0.0007621984227689456</v>
      </c>
      <c r="N420" s="213">
        <v>320.7</v>
      </c>
      <c r="O420" s="214">
        <f t="shared" si="60"/>
        <v>0.24443703418200083</v>
      </c>
      <c r="P420" s="214">
        <f t="shared" si="61"/>
        <v>45.731905366136736</v>
      </c>
      <c r="Q420" s="215">
        <f t="shared" si="62"/>
        <v>14.66622205092005</v>
      </c>
      <c r="S420" s="97"/>
      <c r="T420" s="97"/>
    </row>
    <row r="421" spans="1:20" ht="12.75">
      <c r="A421" s="401"/>
      <c r="B421" s="143">
        <v>4</v>
      </c>
      <c r="C421" s="580" t="s">
        <v>531</v>
      </c>
      <c r="D421" s="313">
        <v>45</v>
      </c>
      <c r="E421" s="313">
        <v>1981</v>
      </c>
      <c r="F421" s="1028">
        <f t="shared" si="58"/>
        <v>15.64</v>
      </c>
      <c r="G421" s="1028">
        <v>5.6</v>
      </c>
      <c r="H421" s="1028">
        <v>7.2</v>
      </c>
      <c r="I421" s="1028">
        <v>2.84</v>
      </c>
      <c r="J421" s="1036">
        <v>2323.16</v>
      </c>
      <c r="K421" s="1028">
        <v>2.84</v>
      </c>
      <c r="L421" s="1036">
        <v>2323.16</v>
      </c>
      <c r="M421" s="212">
        <f t="shared" si="59"/>
        <v>0.001222472838719675</v>
      </c>
      <c r="N421" s="213">
        <v>320.7</v>
      </c>
      <c r="O421" s="214">
        <f t="shared" si="60"/>
        <v>0.3920470393773997</v>
      </c>
      <c r="P421" s="214">
        <f t="shared" si="61"/>
        <v>73.34837032318049</v>
      </c>
      <c r="Q421" s="215">
        <f t="shared" si="62"/>
        <v>23.522822362643982</v>
      </c>
      <c r="S421" s="97"/>
      <c r="T421" s="97"/>
    </row>
    <row r="422" spans="1:20" ht="12.75">
      <c r="A422" s="401"/>
      <c r="B422" s="143">
        <v>5</v>
      </c>
      <c r="C422" s="580" t="s">
        <v>532</v>
      </c>
      <c r="D422" s="313">
        <v>60</v>
      </c>
      <c r="E422" s="313">
        <v>1989</v>
      </c>
      <c r="F422" s="1028">
        <f t="shared" si="58"/>
        <v>21.37</v>
      </c>
      <c r="G422" s="1028">
        <v>4.38</v>
      </c>
      <c r="H422" s="1028">
        <v>9.6</v>
      </c>
      <c r="I422" s="1028">
        <v>7.39</v>
      </c>
      <c r="J422" s="1036">
        <v>2434.08</v>
      </c>
      <c r="K422" s="1028">
        <v>7.39</v>
      </c>
      <c r="L422" s="1036">
        <v>2362.11</v>
      </c>
      <c r="M422" s="212">
        <f t="shared" si="59"/>
        <v>0.0031285587885407536</v>
      </c>
      <c r="N422" s="213">
        <v>320.7</v>
      </c>
      <c r="O422" s="214">
        <f t="shared" si="60"/>
        <v>1.0033288034850196</v>
      </c>
      <c r="P422" s="214">
        <f t="shared" si="61"/>
        <v>187.71352731244522</v>
      </c>
      <c r="Q422" s="215">
        <f t="shared" si="62"/>
        <v>60.19972820910118</v>
      </c>
      <c r="S422" s="97"/>
      <c r="T422" s="97"/>
    </row>
    <row r="423" spans="1:20" ht="12.75">
      <c r="A423" s="401"/>
      <c r="B423" s="143">
        <v>6</v>
      </c>
      <c r="C423" s="580" t="s">
        <v>533</v>
      </c>
      <c r="D423" s="313">
        <v>30</v>
      </c>
      <c r="E423" s="313">
        <v>1986</v>
      </c>
      <c r="F423" s="1028">
        <f t="shared" si="58"/>
        <v>12.27</v>
      </c>
      <c r="G423" s="1028">
        <v>2.42</v>
      </c>
      <c r="H423" s="1028">
        <v>4.8</v>
      </c>
      <c r="I423" s="1028">
        <v>5.05</v>
      </c>
      <c r="J423" s="1036">
        <v>1589.97</v>
      </c>
      <c r="K423" s="1028">
        <v>5.05</v>
      </c>
      <c r="L423" s="1036">
        <v>1589.97</v>
      </c>
      <c r="M423" s="212">
        <f t="shared" si="59"/>
        <v>0.003176160556488487</v>
      </c>
      <c r="N423" s="213">
        <v>320.7</v>
      </c>
      <c r="O423" s="214">
        <f t="shared" si="60"/>
        <v>1.0185946904658578</v>
      </c>
      <c r="P423" s="214">
        <f t="shared" si="61"/>
        <v>190.56963338930925</v>
      </c>
      <c r="Q423" s="215">
        <f t="shared" si="62"/>
        <v>61.11568142795147</v>
      </c>
      <c r="S423" s="97"/>
      <c r="T423" s="97"/>
    </row>
    <row r="424" spans="1:20" ht="12.75">
      <c r="A424" s="401"/>
      <c r="B424" s="143">
        <v>7</v>
      </c>
      <c r="C424" s="580" t="s">
        <v>534</v>
      </c>
      <c r="D424" s="313">
        <v>30</v>
      </c>
      <c r="E424" s="313">
        <v>1989</v>
      </c>
      <c r="F424" s="1028">
        <f t="shared" si="58"/>
        <v>15.07</v>
      </c>
      <c r="G424" s="1028">
        <v>5.16</v>
      </c>
      <c r="H424" s="1028">
        <v>4.8</v>
      </c>
      <c r="I424" s="1028">
        <v>5.11</v>
      </c>
      <c r="J424" s="1036">
        <v>1596.56</v>
      </c>
      <c r="K424" s="1028">
        <v>5.11</v>
      </c>
      <c r="L424" s="1036">
        <v>1596.56</v>
      </c>
      <c r="M424" s="212">
        <f t="shared" si="59"/>
        <v>0.00320063135741845</v>
      </c>
      <c r="N424" s="213">
        <v>320.7</v>
      </c>
      <c r="O424" s="214">
        <f t="shared" si="60"/>
        <v>1.026442476324097</v>
      </c>
      <c r="P424" s="214">
        <f t="shared" si="61"/>
        <v>192.037881445107</v>
      </c>
      <c r="Q424" s="215">
        <f t="shared" si="62"/>
        <v>61.586548579445804</v>
      </c>
      <c r="S424" s="97"/>
      <c r="T424" s="97"/>
    </row>
    <row r="425" spans="1:20" ht="12.75">
      <c r="A425" s="401"/>
      <c r="B425" s="143">
        <v>8</v>
      </c>
      <c r="C425" s="580" t="s">
        <v>535</v>
      </c>
      <c r="D425" s="313">
        <v>45</v>
      </c>
      <c r="E425" s="313">
        <v>1986</v>
      </c>
      <c r="F425" s="1028">
        <f t="shared" si="58"/>
        <v>22.5</v>
      </c>
      <c r="G425" s="1028">
        <v>7.84</v>
      </c>
      <c r="H425" s="1028">
        <v>7.2</v>
      </c>
      <c r="I425" s="1028">
        <v>7.46</v>
      </c>
      <c r="J425" s="1036">
        <v>2321.7</v>
      </c>
      <c r="K425" s="1028">
        <v>7.46</v>
      </c>
      <c r="L425" s="1036">
        <v>2321.7</v>
      </c>
      <c r="M425" s="212">
        <f t="shared" si="59"/>
        <v>0.0032131627686608952</v>
      </c>
      <c r="N425" s="213">
        <v>320.7</v>
      </c>
      <c r="O425" s="214">
        <f t="shared" si="60"/>
        <v>1.030461299909549</v>
      </c>
      <c r="P425" s="214">
        <f t="shared" si="61"/>
        <v>192.7897661196537</v>
      </c>
      <c r="Q425" s="215">
        <f t="shared" si="62"/>
        <v>61.827677994572944</v>
      </c>
      <c r="S425" s="97"/>
      <c r="T425" s="97"/>
    </row>
    <row r="426" spans="1:20" ht="12.75">
      <c r="A426" s="401"/>
      <c r="B426" s="143">
        <v>9</v>
      </c>
      <c r="C426" s="580" t="s">
        <v>536</v>
      </c>
      <c r="D426" s="313">
        <v>40</v>
      </c>
      <c r="E426" s="313">
        <v>1984</v>
      </c>
      <c r="F426" s="1028">
        <f t="shared" si="58"/>
        <v>15.669999999999998</v>
      </c>
      <c r="G426" s="1028">
        <v>2.55</v>
      </c>
      <c r="H426" s="1028">
        <v>6.24</v>
      </c>
      <c r="I426" s="1028">
        <v>6.88</v>
      </c>
      <c r="J426" s="1036">
        <v>2180.47</v>
      </c>
      <c r="K426" s="1028">
        <v>6.88</v>
      </c>
      <c r="L426" s="1036">
        <v>2121.01</v>
      </c>
      <c r="M426" s="212">
        <f t="shared" si="59"/>
        <v>0.00324373765328782</v>
      </c>
      <c r="N426" s="213">
        <v>320.7</v>
      </c>
      <c r="O426" s="214">
        <f t="shared" si="60"/>
        <v>1.040266665409404</v>
      </c>
      <c r="P426" s="214">
        <f t="shared" si="61"/>
        <v>194.6242591972692</v>
      </c>
      <c r="Q426" s="215">
        <f t="shared" si="62"/>
        <v>62.41599992456423</v>
      </c>
      <c r="S426" s="97"/>
      <c r="T426" s="97"/>
    </row>
    <row r="427" spans="1:20" ht="13.5" thickBot="1">
      <c r="A427" s="402"/>
      <c r="B427" s="764">
        <v>10</v>
      </c>
      <c r="C427" s="831" t="s">
        <v>537</v>
      </c>
      <c r="D427" s="369">
        <v>29</v>
      </c>
      <c r="E427" s="369">
        <v>1996</v>
      </c>
      <c r="F427" s="1029">
        <f t="shared" si="58"/>
        <v>12.43</v>
      </c>
      <c r="G427" s="1029">
        <v>3.35</v>
      </c>
      <c r="H427" s="1029">
        <v>4.48</v>
      </c>
      <c r="I427" s="1029">
        <v>4.6</v>
      </c>
      <c r="J427" s="1037">
        <v>1512.06</v>
      </c>
      <c r="K427" s="1029">
        <v>4.6</v>
      </c>
      <c r="L427" s="1037">
        <v>1411.12</v>
      </c>
      <c r="M427" s="1068">
        <f t="shared" si="59"/>
        <v>0.0032598219853733207</v>
      </c>
      <c r="N427" s="1012">
        <v>320.7</v>
      </c>
      <c r="O427" s="1013">
        <f t="shared" si="60"/>
        <v>1.045424910709224</v>
      </c>
      <c r="P427" s="1013">
        <f t="shared" si="61"/>
        <v>195.58931912239925</v>
      </c>
      <c r="Q427" s="1014">
        <f t="shared" si="62"/>
        <v>62.725494642553436</v>
      </c>
      <c r="S427" s="97"/>
      <c r="T427" s="97"/>
    </row>
    <row r="428" spans="1:20" ht="11.25" customHeight="1">
      <c r="A428" s="403" t="s">
        <v>29</v>
      </c>
      <c r="B428" s="765">
        <v>1</v>
      </c>
      <c r="C428" s="305" t="s">
        <v>538</v>
      </c>
      <c r="D428" s="370">
        <v>54</v>
      </c>
      <c r="E428" s="370">
        <v>1982</v>
      </c>
      <c r="F428" s="1077">
        <f t="shared" si="58"/>
        <v>26.64</v>
      </c>
      <c r="G428" s="1077">
        <v>7.51</v>
      </c>
      <c r="H428" s="1077">
        <v>9.13</v>
      </c>
      <c r="I428" s="1077">
        <v>10</v>
      </c>
      <c r="J428" s="1081">
        <v>2985.21</v>
      </c>
      <c r="K428" s="1077">
        <v>10</v>
      </c>
      <c r="L428" s="1081">
        <v>2985.21</v>
      </c>
      <c r="M428" s="216">
        <f t="shared" si="59"/>
        <v>0.003349848084389373</v>
      </c>
      <c r="N428" s="217">
        <v>320.7</v>
      </c>
      <c r="O428" s="218">
        <f t="shared" si="60"/>
        <v>1.0742962806636718</v>
      </c>
      <c r="P428" s="218">
        <f t="shared" si="61"/>
        <v>200.99088506336238</v>
      </c>
      <c r="Q428" s="219">
        <f t="shared" si="62"/>
        <v>64.45777683982031</v>
      </c>
      <c r="S428" s="97"/>
      <c r="T428" s="97"/>
    </row>
    <row r="429" spans="1:20" ht="12.75" customHeight="1">
      <c r="A429" s="404"/>
      <c r="B429" s="147">
        <v>2</v>
      </c>
      <c r="C429" s="281" t="s">
        <v>539</v>
      </c>
      <c r="D429" s="197">
        <v>65</v>
      </c>
      <c r="E429" s="197">
        <v>1970</v>
      </c>
      <c r="F429" s="301">
        <f t="shared" si="58"/>
        <v>29.080000000000002</v>
      </c>
      <c r="G429" s="301">
        <v>7.79</v>
      </c>
      <c r="H429" s="301">
        <v>10.4</v>
      </c>
      <c r="I429" s="301">
        <v>10.89</v>
      </c>
      <c r="J429" s="1039">
        <v>3205.96</v>
      </c>
      <c r="K429" s="301">
        <v>10.89</v>
      </c>
      <c r="L429" s="1039">
        <v>3205.96</v>
      </c>
      <c r="M429" s="220">
        <f t="shared" si="59"/>
        <v>0.003396798462862918</v>
      </c>
      <c r="N429" s="221">
        <v>320.7</v>
      </c>
      <c r="O429" s="222">
        <f t="shared" si="60"/>
        <v>1.0893532670401378</v>
      </c>
      <c r="P429" s="222">
        <f t="shared" si="61"/>
        <v>203.80790777177506</v>
      </c>
      <c r="Q429" s="223">
        <f t="shared" si="62"/>
        <v>65.36119602240825</v>
      </c>
      <c r="S429" s="97"/>
      <c r="T429" s="97"/>
    </row>
    <row r="430" spans="1:20" ht="12.75" customHeight="1">
      <c r="A430" s="404"/>
      <c r="B430" s="147">
        <v>3</v>
      </c>
      <c r="C430" s="281" t="s">
        <v>540</v>
      </c>
      <c r="D430" s="197">
        <v>64</v>
      </c>
      <c r="E430" s="197">
        <v>1971</v>
      </c>
      <c r="F430" s="301">
        <f t="shared" si="58"/>
        <v>29.560000000000002</v>
      </c>
      <c r="G430" s="301">
        <v>8.51</v>
      </c>
      <c r="H430" s="301">
        <v>10.24</v>
      </c>
      <c r="I430" s="301">
        <v>10.81</v>
      </c>
      <c r="J430" s="1039">
        <v>3220.32</v>
      </c>
      <c r="K430" s="301">
        <v>10.81</v>
      </c>
      <c r="L430" s="1039">
        <v>3120.96</v>
      </c>
      <c r="M430" s="220">
        <f t="shared" si="59"/>
        <v>0.0034636778427150623</v>
      </c>
      <c r="N430" s="221">
        <v>320.7</v>
      </c>
      <c r="O430" s="222">
        <f t="shared" si="60"/>
        <v>1.1108014841587204</v>
      </c>
      <c r="P430" s="222">
        <f t="shared" si="61"/>
        <v>207.82067056290373</v>
      </c>
      <c r="Q430" s="223">
        <f t="shared" si="62"/>
        <v>66.64808904952324</v>
      </c>
      <c r="S430" s="97"/>
      <c r="T430" s="97"/>
    </row>
    <row r="431" spans="1:20" ht="12.75" customHeight="1">
      <c r="A431" s="404"/>
      <c r="B431" s="147">
        <v>4</v>
      </c>
      <c r="C431" s="281" t="s">
        <v>541</v>
      </c>
      <c r="D431" s="197">
        <v>45</v>
      </c>
      <c r="E431" s="197">
        <v>1983</v>
      </c>
      <c r="F431" s="301">
        <f t="shared" si="58"/>
        <v>18.4</v>
      </c>
      <c r="G431" s="301">
        <v>3.05</v>
      </c>
      <c r="H431" s="301">
        <v>7.2</v>
      </c>
      <c r="I431" s="301">
        <v>8.15</v>
      </c>
      <c r="J431" s="1039">
        <v>2323.8</v>
      </c>
      <c r="K431" s="301">
        <v>8.15</v>
      </c>
      <c r="L431" s="1039">
        <v>2323.8</v>
      </c>
      <c r="M431" s="220">
        <f t="shared" si="59"/>
        <v>0.003507186504862725</v>
      </c>
      <c r="N431" s="221">
        <v>320.7</v>
      </c>
      <c r="O431" s="222">
        <f t="shared" si="60"/>
        <v>1.1247547121094759</v>
      </c>
      <c r="P431" s="222">
        <f t="shared" si="61"/>
        <v>210.4311902917635</v>
      </c>
      <c r="Q431" s="223">
        <f t="shared" si="62"/>
        <v>67.48528272656854</v>
      </c>
      <c r="S431" s="97"/>
      <c r="T431" s="97"/>
    </row>
    <row r="432" spans="1:20" ht="12.75" customHeight="1">
      <c r="A432" s="404"/>
      <c r="B432" s="147">
        <v>5</v>
      </c>
      <c r="C432" s="281" t="s">
        <v>542</v>
      </c>
      <c r="D432" s="197">
        <v>66</v>
      </c>
      <c r="E432" s="197">
        <v>1972</v>
      </c>
      <c r="F432" s="301">
        <f t="shared" si="58"/>
        <v>28.189999999999998</v>
      </c>
      <c r="G432" s="301">
        <v>6.25</v>
      </c>
      <c r="H432" s="301">
        <v>10.4</v>
      </c>
      <c r="I432" s="301">
        <v>11.54</v>
      </c>
      <c r="J432" s="1039">
        <v>3215.54</v>
      </c>
      <c r="K432" s="301">
        <v>11.54</v>
      </c>
      <c r="L432" s="1039">
        <v>3215.54</v>
      </c>
      <c r="M432" s="220">
        <f t="shared" si="59"/>
        <v>0.003588821784210428</v>
      </c>
      <c r="N432" s="221">
        <v>320.7</v>
      </c>
      <c r="O432" s="222">
        <f t="shared" si="60"/>
        <v>1.1509351461962842</v>
      </c>
      <c r="P432" s="222">
        <f t="shared" si="61"/>
        <v>215.32930705262567</v>
      </c>
      <c r="Q432" s="223">
        <f t="shared" si="62"/>
        <v>69.05610877177705</v>
      </c>
      <c r="S432" s="97"/>
      <c r="T432" s="97"/>
    </row>
    <row r="433" spans="1:20" ht="12.75" customHeight="1">
      <c r="A433" s="404"/>
      <c r="B433" s="147">
        <v>6</v>
      </c>
      <c r="C433" s="281" t="s">
        <v>543</v>
      </c>
      <c r="D433" s="197">
        <v>75</v>
      </c>
      <c r="E433" s="197">
        <v>1981</v>
      </c>
      <c r="F433" s="301">
        <f t="shared" si="58"/>
        <v>32.41</v>
      </c>
      <c r="G433" s="301">
        <v>6.25</v>
      </c>
      <c r="H433" s="301">
        <v>11.84</v>
      </c>
      <c r="I433" s="301">
        <v>14.32</v>
      </c>
      <c r="J433" s="1039">
        <v>4034.29</v>
      </c>
      <c r="K433" s="301">
        <v>14.32</v>
      </c>
      <c r="L433" s="1039">
        <v>3952.66</v>
      </c>
      <c r="M433" s="220">
        <f t="shared" si="59"/>
        <v>0.0036228767462923705</v>
      </c>
      <c r="N433" s="221">
        <v>320.7</v>
      </c>
      <c r="O433" s="222">
        <f t="shared" si="60"/>
        <v>1.161856572535963</v>
      </c>
      <c r="P433" s="222">
        <f t="shared" si="61"/>
        <v>217.37260477754222</v>
      </c>
      <c r="Q433" s="223">
        <f t="shared" si="62"/>
        <v>69.71139435215778</v>
      </c>
      <c r="S433" s="97"/>
      <c r="T433" s="97"/>
    </row>
    <row r="434" spans="1:20" ht="12.75" customHeight="1">
      <c r="A434" s="404"/>
      <c r="B434" s="147">
        <v>7</v>
      </c>
      <c r="C434" s="281" t="s">
        <v>544</v>
      </c>
      <c r="D434" s="197">
        <v>23</v>
      </c>
      <c r="E434" s="197">
        <v>1997</v>
      </c>
      <c r="F434" s="301">
        <f t="shared" si="58"/>
        <v>10.9</v>
      </c>
      <c r="G434" s="301">
        <v>2.03</v>
      </c>
      <c r="H434" s="301">
        <v>3.68</v>
      </c>
      <c r="I434" s="301">
        <v>5.19</v>
      </c>
      <c r="J434" s="1039">
        <v>1402.29</v>
      </c>
      <c r="K434" s="301">
        <v>5.19</v>
      </c>
      <c r="L434" s="1039">
        <v>1352.84</v>
      </c>
      <c r="M434" s="220">
        <f t="shared" si="59"/>
        <v>0.003836373850566217</v>
      </c>
      <c r="N434" s="221">
        <v>320.7</v>
      </c>
      <c r="O434" s="222">
        <f t="shared" si="60"/>
        <v>1.2303250938765857</v>
      </c>
      <c r="P434" s="222">
        <f t="shared" si="61"/>
        <v>230.18243103397302</v>
      </c>
      <c r="Q434" s="223">
        <f t="shared" si="62"/>
        <v>73.81950563259514</v>
      </c>
      <c r="S434" s="97"/>
      <c r="T434" s="97"/>
    </row>
    <row r="435" spans="1:20" ht="12.75" customHeight="1">
      <c r="A435" s="404"/>
      <c r="B435" s="147">
        <v>8</v>
      </c>
      <c r="C435" s="281" t="s">
        <v>545</v>
      </c>
      <c r="D435" s="197">
        <v>34</v>
      </c>
      <c r="E435" s="197">
        <v>1972</v>
      </c>
      <c r="F435" s="301">
        <f t="shared" si="58"/>
        <v>15.68</v>
      </c>
      <c r="G435" s="301">
        <v>3.18</v>
      </c>
      <c r="H435" s="301">
        <v>5.44</v>
      </c>
      <c r="I435" s="301">
        <v>7.06</v>
      </c>
      <c r="J435" s="1039">
        <v>1864.09</v>
      </c>
      <c r="K435" s="301">
        <v>7.06</v>
      </c>
      <c r="L435" s="1039">
        <v>1797.15</v>
      </c>
      <c r="M435" s="220">
        <f t="shared" si="59"/>
        <v>0.0039284422557938955</v>
      </c>
      <c r="N435" s="221">
        <v>320.7</v>
      </c>
      <c r="O435" s="222">
        <f t="shared" si="60"/>
        <v>1.2598514314331022</v>
      </c>
      <c r="P435" s="222">
        <f t="shared" si="61"/>
        <v>235.70653534763372</v>
      </c>
      <c r="Q435" s="223">
        <f t="shared" si="62"/>
        <v>75.59108588598613</v>
      </c>
      <c r="S435" s="97"/>
      <c r="T435" s="97"/>
    </row>
    <row r="436" spans="1:20" ht="13.5" customHeight="1">
      <c r="A436" s="404"/>
      <c r="B436" s="147">
        <v>9</v>
      </c>
      <c r="C436" s="281" t="s">
        <v>546</v>
      </c>
      <c r="D436" s="197">
        <v>44</v>
      </c>
      <c r="E436" s="197">
        <v>1988</v>
      </c>
      <c r="F436" s="301">
        <f t="shared" si="58"/>
        <v>20.41</v>
      </c>
      <c r="G436" s="301">
        <v>4.32</v>
      </c>
      <c r="H436" s="301">
        <v>7.04</v>
      </c>
      <c r="I436" s="301">
        <v>9.05</v>
      </c>
      <c r="J436" s="1039">
        <v>2297.82</v>
      </c>
      <c r="K436" s="301">
        <v>9.05</v>
      </c>
      <c r="L436" s="1039">
        <v>2297.82</v>
      </c>
      <c r="M436" s="220">
        <f t="shared" si="59"/>
        <v>0.00393851563655987</v>
      </c>
      <c r="N436" s="221">
        <v>320.7</v>
      </c>
      <c r="O436" s="222">
        <f t="shared" si="60"/>
        <v>1.2630819646447502</v>
      </c>
      <c r="P436" s="222">
        <f t="shared" si="61"/>
        <v>236.3109381935922</v>
      </c>
      <c r="Q436" s="223">
        <f t="shared" si="62"/>
        <v>75.78491787868501</v>
      </c>
      <c r="S436" s="97"/>
      <c r="T436" s="97"/>
    </row>
    <row r="437" spans="1:20" ht="13.5" customHeight="1" thickBot="1">
      <c r="A437" s="405"/>
      <c r="B437" s="148">
        <v>10</v>
      </c>
      <c r="C437" s="835" t="s">
        <v>547</v>
      </c>
      <c r="D437" s="198">
        <v>45</v>
      </c>
      <c r="E437" s="198">
        <v>1987</v>
      </c>
      <c r="F437" s="303">
        <f t="shared" si="58"/>
        <v>20.3</v>
      </c>
      <c r="G437" s="303">
        <v>3.86</v>
      </c>
      <c r="H437" s="303">
        <v>7.2</v>
      </c>
      <c r="I437" s="303">
        <v>9.24</v>
      </c>
      <c r="J437" s="1040">
        <v>2339.68</v>
      </c>
      <c r="K437" s="303">
        <v>9.24</v>
      </c>
      <c r="L437" s="1040">
        <v>2339.68</v>
      </c>
      <c r="M437" s="289">
        <f t="shared" si="59"/>
        <v>0.003949258018190522</v>
      </c>
      <c r="N437" s="304">
        <v>320.7</v>
      </c>
      <c r="O437" s="291">
        <f t="shared" si="60"/>
        <v>1.2665270464337002</v>
      </c>
      <c r="P437" s="291">
        <f t="shared" si="61"/>
        <v>236.9554810914313</v>
      </c>
      <c r="Q437" s="292">
        <f t="shared" si="62"/>
        <v>75.991622786022</v>
      </c>
      <c r="S437" s="97"/>
      <c r="T437" s="97"/>
    </row>
    <row r="438" spans="1:20" ht="12.75">
      <c r="A438" s="693" t="s">
        <v>30</v>
      </c>
      <c r="B438" s="759">
        <v>1</v>
      </c>
      <c r="C438" s="529" t="s">
        <v>548</v>
      </c>
      <c r="D438" s="371">
        <v>32</v>
      </c>
      <c r="E438" s="371">
        <v>1963</v>
      </c>
      <c r="F438" s="1078">
        <f t="shared" si="58"/>
        <v>10.52</v>
      </c>
      <c r="G438" s="1078">
        <v>0</v>
      </c>
      <c r="H438" s="1078">
        <v>0</v>
      </c>
      <c r="I438" s="1078">
        <v>10.52</v>
      </c>
      <c r="J438" s="1082">
        <v>1402.34</v>
      </c>
      <c r="K438" s="1078">
        <v>10.52</v>
      </c>
      <c r="L438" s="1082">
        <v>1402.34</v>
      </c>
      <c r="M438" s="1069">
        <f t="shared" si="59"/>
        <v>0.007501747079880771</v>
      </c>
      <c r="N438" s="1070">
        <v>320.7</v>
      </c>
      <c r="O438" s="1071">
        <f t="shared" si="60"/>
        <v>2.4058102885177632</v>
      </c>
      <c r="P438" s="1071">
        <f t="shared" si="61"/>
        <v>450.1048247928463</v>
      </c>
      <c r="Q438" s="1072">
        <f t="shared" si="62"/>
        <v>144.3486173110658</v>
      </c>
      <c r="S438" s="97"/>
      <c r="T438" s="97"/>
    </row>
    <row r="439" spans="1:20" ht="12.75">
      <c r="A439" s="694"/>
      <c r="B439" s="664">
        <v>2</v>
      </c>
      <c r="C439" s="531" t="s">
        <v>549</v>
      </c>
      <c r="D439" s="368">
        <v>43</v>
      </c>
      <c r="E439" s="368">
        <v>1971</v>
      </c>
      <c r="F439" s="1031">
        <f t="shared" si="58"/>
        <v>13.32</v>
      </c>
      <c r="G439" s="1031">
        <v>0</v>
      </c>
      <c r="H439" s="1031">
        <v>0</v>
      </c>
      <c r="I439" s="1031">
        <v>13.32</v>
      </c>
      <c r="J439" s="1042">
        <v>1845.28</v>
      </c>
      <c r="K439" s="1031">
        <v>13.32</v>
      </c>
      <c r="L439" s="1042">
        <v>1764.48</v>
      </c>
      <c r="M439" s="1073">
        <f t="shared" si="59"/>
        <v>0.007548966267682263</v>
      </c>
      <c r="N439" s="1018">
        <v>320.7</v>
      </c>
      <c r="O439" s="1019">
        <f t="shared" si="60"/>
        <v>2.420953482045702</v>
      </c>
      <c r="P439" s="1019">
        <f t="shared" si="61"/>
        <v>452.9379760609358</v>
      </c>
      <c r="Q439" s="1020">
        <f t="shared" si="62"/>
        <v>145.2572089227421</v>
      </c>
      <c r="S439" s="97"/>
      <c r="T439" s="97"/>
    </row>
    <row r="440" spans="1:20" ht="12.75">
      <c r="A440" s="694"/>
      <c r="B440" s="664">
        <v>3</v>
      </c>
      <c r="C440" s="531" t="s">
        <v>550</v>
      </c>
      <c r="D440" s="368">
        <v>34</v>
      </c>
      <c r="E440" s="368">
        <v>1960</v>
      </c>
      <c r="F440" s="1031">
        <f t="shared" si="58"/>
        <v>11.23</v>
      </c>
      <c r="G440" s="1031">
        <v>0</v>
      </c>
      <c r="H440" s="1031">
        <v>0</v>
      </c>
      <c r="I440" s="1031">
        <v>11.23</v>
      </c>
      <c r="J440" s="1042">
        <v>1562.13</v>
      </c>
      <c r="K440" s="1031">
        <v>11.23</v>
      </c>
      <c r="L440" s="1042">
        <v>1483.17</v>
      </c>
      <c r="M440" s="1073">
        <f t="shared" si="59"/>
        <v>0.007571620245824821</v>
      </c>
      <c r="N440" s="1018">
        <v>320.7</v>
      </c>
      <c r="O440" s="1019">
        <f t="shared" si="60"/>
        <v>2.42821861283602</v>
      </c>
      <c r="P440" s="1019">
        <f t="shared" si="61"/>
        <v>454.2972147494892</v>
      </c>
      <c r="Q440" s="1020">
        <f t="shared" si="62"/>
        <v>145.6931167701612</v>
      </c>
      <c r="S440" s="97"/>
      <c r="T440" s="97"/>
    </row>
    <row r="441" spans="1:20" ht="12.75">
      <c r="A441" s="694"/>
      <c r="B441" s="664">
        <v>4</v>
      </c>
      <c r="C441" s="531" t="s">
        <v>551</v>
      </c>
      <c r="D441" s="368">
        <v>4</v>
      </c>
      <c r="E441" s="368">
        <v>1929</v>
      </c>
      <c r="F441" s="1031">
        <f t="shared" si="58"/>
        <v>1.12</v>
      </c>
      <c r="G441" s="1031">
        <v>0</v>
      </c>
      <c r="H441" s="1031">
        <v>0</v>
      </c>
      <c r="I441" s="1031">
        <v>1.12</v>
      </c>
      <c r="J441" s="1042">
        <v>147.21</v>
      </c>
      <c r="K441" s="1031">
        <v>1.12</v>
      </c>
      <c r="L441" s="1042">
        <v>147.21</v>
      </c>
      <c r="M441" s="1073">
        <f t="shared" si="59"/>
        <v>0.007608178792201617</v>
      </c>
      <c r="N441" s="1018">
        <v>320.7</v>
      </c>
      <c r="O441" s="1019">
        <f t="shared" si="60"/>
        <v>2.4399429386590583</v>
      </c>
      <c r="P441" s="1019">
        <f t="shared" si="61"/>
        <v>456.490727532097</v>
      </c>
      <c r="Q441" s="1020">
        <f t="shared" si="62"/>
        <v>146.3965763195435</v>
      </c>
      <c r="S441" s="97"/>
      <c r="T441" s="97"/>
    </row>
    <row r="442" spans="1:20" ht="12.75">
      <c r="A442" s="694"/>
      <c r="B442" s="664">
        <v>5</v>
      </c>
      <c r="C442" s="531" t="s">
        <v>552</v>
      </c>
      <c r="D442" s="368">
        <v>44</v>
      </c>
      <c r="E442" s="368">
        <v>1964</v>
      </c>
      <c r="F442" s="1031">
        <f t="shared" si="58"/>
        <v>14.21</v>
      </c>
      <c r="G442" s="1031">
        <v>0</v>
      </c>
      <c r="H442" s="1031">
        <v>0</v>
      </c>
      <c r="I442" s="1031">
        <v>14.21</v>
      </c>
      <c r="J442" s="1042">
        <v>1865.95</v>
      </c>
      <c r="K442" s="1031">
        <v>14.21</v>
      </c>
      <c r="L442" s="1042">
        <v>1865.95</v>
      </c>
      <c r="M442" s="1073">
        <f t="shared" si="59"/>
        <v>0.007615423778772208</v>
      </c>
      <c r="N442" s="1018">
        <v>320.7</v>
      </c>
      <c r="O442" s="1019">
        <f t="shared" si="60"/>
        <v>2.442266405852247</v>
      </c>
      <c r="P442" s="1019">
        <f t="shared" si="61"/>
        <v>456.9254267263325</v>
      </c>
      <c r="Q442" s="1020">
        <f t="shared" si="62"/>
        <v>146.53598435113483</v>
      </c>
      <c r="S442" s="97"/>
      <c r="T442" s="97"/>
    </row>
    <row r="443" spans="1:20" ht="12.75">
      <c r="A443" s="694"/>
      <c r="B443" s="664">
        <v>6</v>
      </c>
      <c r="C443" s="531" t="s">
        <v>553</v>
      </c>
      <c r="D443" s="368">
        <v>29</v>
      </c>
      <c r="E443" s="368">
        <v>1962</v>
      </c>
      <c r="F443" s="1031">
        <f t="shared" si="58"/>
        <v>9.73</v>
      </c>
      <c r="G443" s="1031">
        <v>0</v>
      </c>
      <c r="H443" s="1031">
        <v>0</v>
      </c>
      <c r="I443" s="1031">
        <v>9.73</v>
      </c>
      <c r="J443" s="1042">
        <v>1326.36</v>
      </c>
      <c r="K443" s="1031">
        <v>9.73</v>
      </c>
      <c r="L443" s="1042">
        <v>1271.96</v>
      </c>
      <c r="M443" s="1073">
        <f t="shared" si="59"/>
        <v>0.007649611623007013</v>
      </c>
      <c r="N443" s="1018">
        <v>320.7</v>
      </c>
      <c r="O443" s="1019">
        <f t="shared" si="60"/>
        <v>2.453230447498349</v>
      </c>
      <c r="P443" s="1019">
        <f t="shared" si="61"/>
        <v>458.9766973804208</v>
      </c>
      <c r="Q443" s="1020">
        <f t="shared" si="62"/>
        <v>147.19382684990094</v>
      </c>
      <c r="S443" s="97"/>
      <c r="T443" s="97"/>
    </row>
    <row r="444" spans="1:20" ht="12.75">
      <c r="A444" s="694"/>
      <c r="B444" s="664">
        <v>7</v>
      </c>
      <c r="C444" s="531" t="s">
        <v>554</v>
      </c>
      <c r="D444" s="368">
        <v>39</v>
      </c>
      <c r="E444" s="368">
        <v>1970</v>
      </c>
      <c r="F444" s="1031">
        <f t="shared" si="58"/>
        <v>14.17</v>
      </c>
      <c r="G444" s="1031">
        <v>0</v>
      </c>
      <c r="H444" s="1031">
        <v>0</v>
      </c>
      <c r="I444" s="1031">
        <v>14.17</v>
      </c>
      <c r="J444" s="1042">
        <v>1844.65</v>
      </c>
      <c r="K444" s="1031">
        <v>14.17</v>
      </c>
      <c r="L444" s="1042">
        <v>1844.65</v>
      </c>
      <c r="M444" s="1073">
        <f t="shared" si="59"/>
        <v>0.007681674030303851</v>
      </c>
      <c r="N444" s="1018">
        <v>320.7</v>
      </c>
      <c r="O444" s="1019">
        <f t="shared" si="60"/>
        <v>2.4635128615184447</v>
      </c>
      <c r="P444" s="1019">
        <f t="shared" si="61"/>
        <v>460.90044181823106</v>
      </c>
      <c r="Q444" s="1020">
        <f t="shared" si="62"/>
        <v>147.8107716911067</v>
      </c>
      <c r="S444" s="97"/>
      <c r="T444" s="97"/>
    </row>
    <row r="445" spans="1:20" ht="12.75">
      <c r="A445" s="694"/>
      <c r="B445" s="664">
        <v>8</v>
      </c>
      <c r="C445" s="531" t="s">
        <v>555</v>
      </c>
      <c r="D445" s="368">
        <v>7</v>
      </c>
      <c r="E445" s="368">
        <v>1942</v>
      </c>
      <c r="F445" s="1031">
        <f t="shared" si="58"/>
        <v>2.18</v>
      </c>
      <c r="G445" s="1031">
        <v>0</v>
      </c>
      <c r="H445" s="1031">
        <v>0</v>
      </c>
      <c r="I445" s="1031">
        <v>2.18</v>
      </c>
      <c r="J445" s="1042">
        <v>280.84</v>
      </c>
      <c r="K445" s="1031">
        <v>2.18</v>
      </c>
      <c r="L445" s="1042">
        <v>280.84</v>
      </c>
      <c r="M445" s="1073">
        <f t="shared" si="59"/>
        <v>0.007762427004700186</v>
      </c>
      <c r="N445" s="1018">
        <v>320.7</v>
      </c>
      <c r="O445" s="1019">
        <f t="shared" si="60"/>
        <v>2.4894103404073498</v>
      </c>
      <c r="P445" s="1019">
        <f t="shared" si="61"/>
        <v>465.74562028201115</v>
      </c>
      <c r="Q445" s="1020">
        <f t="shared" si="62"/>
        <v>149.36462042444097</v>
      </c>
      <c r="S445" s="97"/>
      <c r="T445" s="97"/>
    </row>
    <row r="446" spans="1:20" ht="12.75">
      <c r="A446" s="694"/>
      <c r="B446" s="664">
        <v>9</v>
      </c>
      <c r="C446" s="531" t="s">
        <v>556</v>
      </c>
      <c r="D446" s="368">
        <v>31</v>
      </c>
      <c r="E446" s="368">
        <v>1993</v>
      </c>
      <c r="F446" s="1031">
        <f t="shared" si="58"/>
        <v>21.8</v>
      </c>
      <c r="G446" s="1031">
        <v>2.44</v>
      </c>
      <c r="H446" s="1031">
        <v>4.8</v>
      </c>
      <c r="I446" s="1031">
        <v>14.56</v>
      </c>
      <c r="J446" s="1042">
        <v>1782.26</v>
      </c>
      <c r="K446" s="1031">
        <v>14.56</v>
      </c>
      <c r="L446" s="1042">
        <v>1872.26</v>
      </c>
      <c r="M446" s="1073">
        <f t="shared" si="59"/>
        <v>0.007776697680877656</v>
      </c>
      <c r="N446" s="1018">
        <v>320.7</v>
      </c>
      <c r="O446" s="1019">
        <f t="shared" si="60"/>
        <v>2.4939869462574644</v>
      </c>
      <c r="P446" s="1019">
        <f t="shared" si="61"/>
        <v>466.60186085265934</v>
      </c>
      <c r="Q446" s="1020">
        <f t="shared" si="62"/>
        <v>149.63921677544786</v>
      </c>
      <c r="S446" s="97"/>
      <c r="T446" s="97"/>
    </row>
    <row r="447" spans="1:20" ht="13.5" thickBot="1">
      <c r="A447" s="695"/>
      <c r="B447" s="667">
        <v>10</v>
      </c>
      <c r="C447" s="836" t="s">
        <v>557</v>
      </c>
      <c r="D447" s="372">
        <v>10</v>
      </c>
      <c r="E447" s="372">
        <v>1925</v>
      </c>
      <c r="F447" s="1032">
        <f t="shared" si="58"/>
        <v>5.68</v>
      </c>
      <c r="G447" s="1032">
        <v>0.57</v>
      </c>
      <c r="H447" s="1032">
        <v>1.52</v>
      </c>
      <c r="I447" s="1032">
        <v>3.59</v>
      </c>
      <c r="J447" s="1043">
        <v>547.67</v>
      </c>
      <c r="K447" s="1032">
        <v>3.59</v>
      </c>
      <c r="L447" s="1043">
        <v>458.42</v>
      </c>
      <c r="M447" s="1074">
        <f t="shared" si="59"/>
        <v>0.00783124645521574</v>
      </c>
      <c r="N447" s="1021">
        <v>320.7</v>
      </c>
      <c r="O447" s="1022">
        <f t="shared" si="60"/>
        <v>2.5114807381876876</v>
      </c>
      <c r="P447" s="1022">
        <f t="shared" si="61"/>
        <v>469.8747873129444</v>
      </c>
      <c r="Q447" s="1023">
        <f t="shared" si="62"/>
        <v>150.6888442912613</v>
      </c>
      <c r="S447" s="97"/>
      <c r="T447" s="97"/>
    </row>
    <row r="448" spans="1:20" ht="12.75">
      <c r="A448" s="406" t="s">
        <v>12</v>
      </c>
      <c r="B448" s="760">
        <v>1</v>
      </c>
      <c r="C448" s="524" t="s">
        <v>558</v>
      </c>
      <c r="D448" s="525">
        <v>21</v>
      </c>
      <c r="E448" s="525">
        <v>1996</v>
      </c>
      <c r="F448" s="1079">
        <f t="shared" si="58"/>
        <v>15.690000000000001</v>
      </c>
      <c r="G448" s="1079">
        <v>2.29</v>
      </c>
      <c r="H448" s="1079">
        <v>3.01</v>
      </c>
      <c r="I448" s="1079">
        <v>10.39</v>
      </c>
      <c r="J448" s="1083">
        <v>1743.47</v>
      </c>
      <c r="K448" s="1079">
        <v>10.39</v>
      </c>
      <c r="L448" s="1083">
        <v>1298.64</v>
      </c>
      <c r="M448" s="228">
        <f t="shared" si="59"/>
        <v>0.00800067763198423</v>
      </c>
      <c r="N448" s="229">
        <v>320.7</v>
      </c>
      <c r="O448" s="230">
        <f t="shared" si="60"/>
        <v>2.5658173165773426</v>
      </c>
      <c r="P448" s="230">
        <f t="shared" si="61"/>
        <v>480.04065791905384</v>
      </c>
      <c r="Q448" s="231">
        <f t="shared" si="62"/>
        <v>153.94903899464055</v>
      </c>
      <c r="S448" s="97"/>
      <c r="T448" s="97"/>
    </row>
    <row r="449" spans="1:20" ht="12.75">
      <c r="A449" s="407"/>
      <c r="B449" s="41">
        <v>2</v>
      </c>
      <c r="C449" s="282" t="s">
        <v>559</v>
      </c>
      <c r="D449" s="283">
        <v>5</v>
      </c>
      <c r="E449" s="283">
        <v>1920</v>
      </c>
      <c r="F449" s="724">
        <f t="shared" si="58"/>
        <v>2.8600000000000003</v>
      </c>
      <c r="G449" s="724">
        <v>0.21</v>
      </c>
      <c r="H449" s="724">
        <v>0.8</v>
      </c>
      <c r="I449" s="724">
        <v>1.85</v>
      </c>
      <c r="J449" s="320">
        <v>453.88</v>
      </c>
      <c r="K449" s="724">
        <v>1.85</v>
      </c>
      <c r="L449" s="320">
        <v>228.72</v>
      </c>
      <c r="M449" s="308">
        <f t="shared" si="59"/>
        <v>0.008088492479888073</v>
      </c>
      <c r="N449" s="309">
        <v>320.7</v>
      </c>
      <c r="O449" s="319">
        <f t="shared" si="60"/>
        <v>2.593979538300105</v>
      </c>
      <c r="P449" s="319">
        <f t="shared" si="61"/>
        <v>485.30954879328436</v>
      </c>
      <c r="Q449" s="318">
        <f t="shared" si="62"/>
        <v>155.63877229800627</v>
      </c>
      <c r="S449" s="97"/>
      <c r="T449" s="97"/>
    </row>
    <row r="450" spans="1:20" ht="12.75">
      <c r="A450" s="407"/>
      <c r="B450" s="41">
        <v>3</v>
      </c>
      <c r="C450" s="282" t="s">
        <v>560</v>
      </c>
      <c r="D450" s="283">
        <v>5</v>
      </c>
      <c r="E450" s="283">
        <v>1923</v>
      </c>
      <c r="F450" s="724">
        <f t="shared" si="58"/>
        <v>1.72</v>
      </c>
      <c r="G450" s="724">
        <v>0</v>
      </c>
      <c r="H450" s="724">
        <v>0</v>
      </c>
      <c r="I450" s="724">
        <v>1.72</v>
      </c>
      <c r="J450" s="320">
        <v>208.38</v>
      </c>
      <c r="K450" s="724">
        <v>1.72</v>
      </c>
      <c r="L450" s="320">
        <v>208.38</v>
      </c>
      <c r="M450" s="308">
        <f t="shared" si="59"/>
        <v>0.008254151070160283</v>
      </c>
      <c r="N450" s="309">
        <v>320.7</v>
      </c>
      <c r="O450" s="319">
        <f t="shared" si="60"/>
        <v>2.647106248200403</v>
      </c>
      <c r="P450" s="319">
        <f t="shared" si="61"/>
        <v>495.249064209617</v>
      </c>
      <c r="Q450" s="318">
        <f t="shared" si="62"/>
        <v>158.82637489202418</v>
      </c>
      <c r="S450" s="97"/>
      <c r="T450" s="97"/>
    </row>
    <row r="451" spans="1:20" ht="12.75">
      <c r="A451" s="407"/>
      <c r="B451" s="41">
        <v>4</v>
      </c>
      <c r="C451" s="282" t="s">
        <v>561</v>
      </c>
      <c r="D451" s="283">
        <v>8</v>
      </c>
      <c r="E451" s="283">
        <v>1959</v>
      </c>
      <c r="F451" s="724">
        <f t="shared" si="58"/>
        <v>3.36</v>
      </c>
      <c r="G451" s="724">
        <v>0</v>
      </c>
      <c r="H451" s="724">
        <v>0</v>
      </c>
      <c r="I451" s="724">
        <v>3.36</v>
      </c>
      <c r="J451" s="320">
        <v>441.56</v>
      </c>
      <c r="K451" s="724">
        <v>3.36</v>
      </c>
      <c r="L451" s="320">
        <v>400.91</v>
      </c>
      <c r="M451" s="308">
        <f t="shared" si="59"/>
        <v>0.008380933376568306</v>
      </c>
      <c r="N451" s="309">
        <v>320.7</v>
      </c>
      <c r="O451" s="319">
        <f t="shared" si="60"/>
        <v>2.687765333865456</v>
      </c>
      <c r="P451" s="319">
        <f t="shared" si="61"/>
        <v>502.85600259409836</v>
      </c>
      <c r="Q451" s="318">
        <f t="shared" si="62"/>
        <v>161.26592003192735</v>
      </c>
      <c r="S451" s="97"/>
      <c r="T451" s="97"/>
    </row>
    <row r="452" spans="1:20" ht="12.75">
      <c r="A452" s="407"/>
      <c r="B452" s="41">
        <v>5</v>
      </c>
      <c r="C452" s="282" t="s">
        <v>562</v>
      </c>
      <c r="D452" s="283">
        <v>13</v>
      </c>
      <c r="E452" s="283">
        <v>1970</v>
      </c>
      <c r="F452" s="724">
        <f t="shared" si="58"/>
        <v>6.64</v>
      </c>
      <c r="G452" s="724">
        <v>0</v>
      </c>
      <c r="H452" s="724">
        <v>0</v>
      </c>
      <c r="I452" s="724">
        <v>6.64</v>
      </c>
      <c r="J452" s="320">
        <v>829.09</v>
      </c>
      <c r="K452" s="724">
        <v>6.64</v>
      </c>
      <c r="L452" s="320">
        <v>776.93</v>
      </c>
      <c r="M452" s="308">
        <f t="shared" si="59"/>
        <v>0.008546458496904483</v>
      </c>
      <c r="N452" s="309">
        <v>320.7</v>
      </c>
      <c r="O452" s="319">
        <f t="shared" si="60"/>
        <v>2.7408492399572677</v>
      </c>
      <c r="P452" s="319">
        <f t="shared" si="61"/>
        <v>512.7875098142689</v>
      </c>
      <c r="Q452" s="318">
        <f t="shared" si="62"/>
        <v>164.45095439743602</v>
      </c>
      <c r="S452" s="97"/>
      <c r="T452" s="97"/>
    </row>
    <row r="453" spans="1:20" ht="12.75">
      <c r="A453" s="407"/>
      <c r="B453" s="41">
        <v>6</v>
      </c>
      <c r="C453" s="282" t="s">
        <v>563</v>
      </c>
      <c r="D453" s="283">
        <v>25</v>
      </c>
      <c r="E453" s="283">
        <v>1966</v>
      </c>
      <c r="F453" s="724">
        <f t="shared" si="58"/>
        <v>11.21</v>
      </c>
      <c r="G453" s="724">
        <v>0</v>
      </c>
      <c r="H453" s="724">
        <v>0</v>
      </c>
      <c r="I453" s="724">
        <v>11.21</v>
      </c>
      <c r="J453" s="320">
        <v>1638.98</v>
      </c>
      <c r="K453" s="724">
        <v>11.21</v>
      </c>
      <c r="L453" s="320">
        <v>1303.24</v>
      </c>
      <c r="M453" s="308">
        <f t="shared" si="59"/>
        <v>0.008601638992050582</v>
      </c>
      <c r="N453" s="309">
        <v>320.7</v>
      </c>
      <c r="O453" s="319">
        <f t="shared" si="60"/>
        <v>2.7585456247506217</v>
      </c>
      <c r="P453" s="319">
        <f t="shared" si="61"/>
        <v>516.098339523035</v>
      </c>
      <c r="Q453" s="318">
        <f t="shared" si="62"/>
        <v>165.5127374850373</v>
      </c>
      <c r="S453" s="97"/>
      <c r="T453" s="97"/>
    </row>
    <row r="454" spans="1:20" ht="12.75">
      <c r="A454" s="407"/>
      <c r="B454" s="41">
        <v>7</v>
      </c>
      <c r="C454" s="282" t="s">
        <v>564</v>
      </c>
      <c r="D454" s="283">
        <v>37</v>
      </c>
      <c r="E454" s="283">
        <v>1994</v>
      </c>
      <c r="F454" s="724">
        <f t="shared" si="58"/>
        <v>25.82</v>
      </c>
      <c r="G454" s="724">
        <v>2.08</v>
      </c>
      <c r="H454" s="724">
        <v>5.92</v>
      </c>
      <c r="I454" s="724">
        <v>17.82</v>
      </c>
      <c r="J454" s="320">
        <v>2066.52</v>
      </c>
      <c r="K454" s="724">
        <v>17.82</v>
      </c>
      <c r="L454" s="320">
        <v>2002.99</v>
      </c>
      <c r="M454" s="308">
        <f t="shared" si="59"/>
        <v>0.008896699434345654</v>
      </c>
      <c r="N454" s="309">
        <v>320.7</v>
      </c>
      <c r="O454" s="319">
        <f t="shared" si="60"/>
        <v>2.8531715085946514</v>
      </c>
      <c r="P454" s="319">
        <f t="shared" si="61"/>
        <v>533.8019660607392</v>
      </c>
      <c r="Q454" s="318">
        <f t="shared" si="62"/>
        <v>171.19029051567907</v>
      </c>
      <c r="S454" s="97"/>
      <c r="T454" s="97"/>
    </row>
    <row r="455" spans="1:20" ht="12.75">
      <c r="A455" s="407"/>
      <c r="B455" s="41">
        <v>8</v>
      </c>
      <c r="C455" s="539" t="s">
        <v>565</v>
      </c>
      <c r="D455" s="283">
        <v>7</v>
      </c>
      <c r="E455" s="283">
        <v>1964</v>
      </c>
      <c r="F455" s="724">
        <f t="shared" si="58"/>
        <v>2.78</v>
      </c>
      <c r="G455" s="724">
        <v>0</v>
      </c>
      <c r="H455" s="724">
        <v>0</v>
      </c>
      <c r="I455" s="724">
        <v>2.78</v>
      </c>
      <c r="J455" s="320">
        <v>1329.57</v>
      </c>
      <c r="K455" s="724">
        <v>2.78</v>
      </c>
      <c r="L455" s="320">
        <v>296.86</v>
      </c>
      <c r="M455" s="308">
        <f t="shared" si="59"/>
        <v>0.009364683689281141</v>
      </c>
      <c r="N455" s="309">
        <v>320.7</v>
      </c>
      <c r="O455" s="319">
        <f t="shared" si="60"/>
        <v>3.0032540591524617</v>
      </c>
      <c r="P455" s="319">
        <f t="shared" si="61"/>
        <v>561.8810213568685</v>
      </c>
      <c r="Q455" s="318">
        <f t="shared" si="62"/>
        <v>180.1952435491477</v>
      </c>
      <c r="S455" s="97"/>
      <c r="T455" s="97"/>
    </row>
    <row r="456" spans="1:20" ht="12.75">
      <c r="A456" s="407"/>
      <c r="B456" s="41">
        <v>9</v>
      </c>
      <c r="C456" s="282" t="s">
        <v>566</v>
      </c>
      <c r="D456" s="283">
        <v>14</v>
      </c>
      <c r="E456" s="283">
        <v>1969</v>
      </c>
      <c r="F456" s="724">
        <f t="shared" si="58"/>
        <v>9.2</v>
      </c>
      <c r="G456" s="724">
        <v>0.99</v>
      </c>
      <c r="H456" s="724">
        <v>0.35</v>
      </c>
      <c r="I456" s="724">
        <v>7.86</v>
      </c>
      <c r="J456" s="320">
        <v>500.78</v>
      </c>
      <c r="K456" s="724">
        <v>4.86</v>
      </c>
      <c r="L456" s="320">
        <v>500.78</v>
      </c>
      <c r="M456" s="308">
        <f t="shared" si="59"/>
        <v>0.009704860417748314</v>
      </c>
      <c r="N456" s="309">
        <v>320.7</v>
      </c>
      <c r="O456" s="319">
        <f t="shared" si="60"/>
        <v>3.112348735971884</v>
      </c>
      <c r="P456" s="319">
        <f t="shared" si="61"/>
        <v>582.2916250648989</v>
      </c>
      <c r="Q456" s="318">
        <f t="shared" si="62"/>
        <v>186.74092415831308</v>
      </c>
      <c r="S456" s="97"/>
      <c r="T456" s="97"/>
    </row>
    <row r="457" spans="1:20" ht="13.5" thickBot="1">
      <c r="A457" s="408"/>
      <c r="B457" s="150">
        <v>10</v>
      </c>
      <c r="C457" s="837" t="s">
        <v>567</v>
      </c>
      <c r="D457" s="527">
        <v>7</v>
      </c>
      <c r="E457" s="527">
        <v>1973</v>
      </c>
      <c r="F457" s="1034">
        <f t="shared" si="58"/>
        <v>4.48</v>
      </c>
      <c r="G457" s="1034">
        <v>0</v>
      </c>
      <c r="H457" s="1034">
        <v>0</v>
      </c>
      <c r="I457" s="1034">
        <v>4.48</v>
      </c>
      <c r="J457" s="1045">
        <v>246.04</v>
      </c>
      <c r="K457" s="1034">
        <v>4.48</v>
      </c>
      <c r="L457" s="1045">
        <v>246.04</v>
      </c>
      <c r="M457" s="1075">
        <f t="shared" si="59"/>
        <v>0.01820842139489514</v>
      </c>
      <c r="N457" s="1024">
        <v>320.7</v>
      </c>
      <c r="O457" s="1025">
        <f t="shared" si="60"/>
        <v>5.839440741342871</v>
      </c>
      <c r="P457" s="1025">
        <f t="shared" si="61"/>
        <v>1092.5052836937084</v>
      </c>
      <c r="Q457" s="1026">
        <f t="shared" si="62"/>
        <v>350.3664444805722</v>
      </c>
      <c r="R457" s="327"/>
      <c r="S457" s="97"/>
      <c r="T457" s="97"/>
    </row>
    <row r="458" spans="3:20" ht="12.75">
      <c r="C458" s="838"/>
      <c r="S458" s="97"/>
      <c r="T458" s="97"/>
    </row>
    <row r="459" spans="1:20" ht="13.5" customHeight="1">
      <c r="A459" s="419" t="s">
        <v>66</v>
      </c>
      <c r="B459" s="419"/>
      <c r="C459" s="419"/>
      <c r="D459" s="419"/>
      <c r="E459" s="419"/>
      <c r="F459" s="419"/>
      <c r="G459" s="419"/>
      <c r="H459" s="419"/>
      <c r="I459" s="419"/>
      <c r="J459" s="419"/>
      <c r="K459" s="419"/>
      <c r="L459" s="419"/>
      <c r="M459" s="419"/>
      <c r="N459" s="419"/>
      <c r="O459" s="419"/>
      <c r="P459" s="419"/>
      <c r="Q459" s="419"/>
      <c r="S459" s="97"/>
      <c r="T459" s="97"/>
    </row>
    <row r="460" spans="1:20" ht="12" customHeight="1" thickBot="1">
      <c r="A460" s="420" t="s">
        <v>568</v>
      </c>
      <c r="B460" s="420"/>
      <c r="C460" s="420"/>
      <c r="D460" s="420"/>
      <c r="E460" s="420"/>
      <c r="F460" s="420"/>
      <c r="G460" s="420"/>
      <c r="H460" s="420"/>
      <c r="I460" s="420"/>
      <c r="J460" s="420"/>
      <c r="K460" s="420"/>
      <c r="L460" s="420"/>
      <c r="M460" s="420"/>
      <c r="N460" s="420"/>
      <c r="O460" s="420"/>
      <c r="P460" s="420"/>
      <c r="Q460" s="420"/>
      <c r="S460" s="97"/>
      <c r="T460" s="97"/>
    </row>
    <row r="461" spans="1:20" ht="12.75" customHeight="1">
      <c r="A461" s="395" t="s">
        <v>1</v>
      </c>
      <c r="B461" s="397" t="s">
        <v>0</v>
      </c>
      <c r="C461" s="384" t="s">
        <v>2</v>
      </c>
      <c r="D461" s="384" t="s">
        <v>3</v>
      </c>
      <c r="E461" s="384" t="s">
        <v>13</v>
      </c>
      <c r="F461" s="386" t="s">
        <v>14</v>
      </c>
      <c r="G461" s="387"/>
      <c r="H461" s="387"/>
      <c r="I461" s="388"/>
      <c r="J461" s="384" t="s">
        <v>4</v>
      </c>
      <c r="K461" s="384" t="s">
        <v>15</v>
      </c>
      <c r="L461" s="384" t="s">
        <v>5</v>
      </c>
      <c r="M461" s="384" t="s">
        <v>6</v>
      </c>
      <c r="N461" s="384" t="s">
        <v>16</v>
      </c>
      <c r="O461" s="389" t="s">
        <v>17</v>
      </c>
      <c r="P461" s="384" t="s">
        <v>25</v>
      </c>
      <c r="Q461" s="391" t="s">
        <v>26</v>
      </c>
      <c r="S461" s="97"/>
      <c r="T461" s="97"/>
    </row>
    <row r="462" spans="1:20" s="2" customFormat="1" ht="33.75">
      <c r="A462" s="396"/>
      <c r="B462" s="398"/>
      <c r="C462" s="399"/>
      <c r="D462" s="385"/>
      <c r="E462" s="385"/>
      <c r="F462" s="37" t="s">
        <v>18</v>
      </c>
      <c r="G462" s="37" t="s">
        <v>19</v>
      </c>
      <c r="H462" s="37" t="s">
        <v>20</v>
      </c>
      <c r="I462" s="37" t="s">
        <v>21</v>
      </c>
      <c r="J462" s="385"/>
      <c r="K462" s="385"/>
      <c r="L462" s="385"/>
      <c r="M462" s="385"/>
      <c r="N462" s="385"/>
      <c r="O462" s="390"/>
      <c r="P462" s="385"/>
      <c r="Q462" s="392"/>
      <c r="S462" s="97"/>
      <c r="T462" s="97"/>
    </row>
    <row r="463" spans="1:20" s="3" customFormat="1" ht="10.5" customHeight="1" thickBot="1">
      <c r="A463" s="414"/>
      <c r="B463" s="415"/>
      <c r="C463" s="416"/>
      <c r="D463" s="65" t="s">
        <v>7</v>
      </c>
      <c r="E463" s="65" t="s">
        <v>8</v>
      </c>
      <c r="F463" s="65" t="s">
        <v>9</v>
      </c>
      <c r="G463" s="65" t="s">
        <v>9</v>
      </c>
      <c r="H463" s="65" t="s">
        <v>9</v>
      </c>
      <c r="I463" s="65" t="s">
        <v>9</v>
      </c>
      <c r="J463" s="65" t="s">
        <v>22</v>
      </c>
      <c r="K463" s="65" t="s">
        <v>9</v>
      </c>
      <c r="L463" s="65" t="s">
        <v>22</v>
      </c>
      <c r="M463" s="65" t="s">
        <v>23</v>
      </c>
      <c r="N463" s="65" t="s">
        <v>10</v>
      </c>
      <c r="O463" s="65" t="s">
        <v>24</v>
      </c>
      <c r="P463" s="66" t="s">
        <v>27</v>
      </c>
      <c r="Q463" s="67" t="s">
        <v>28</v>
      </c>
      <c r="S463" s="97"/>
      <c r="T463" s="97"/>
    </row>
    <row r="464" spans="1:20" s="110" customFormat="1" ht="12.75">
      <c r="A464" s="400" t="s">
        <v>11</v>
      </c>
      <c r="B464" s="769">
        <v>1</v>
      </c>
      <c r="C464" s="843" t="s">
        <v>569</v>
      </c>
      <c r="D464" s="1084">
        <v>59</v>
      </c>
      <c r="E464" s="842">
        <v>1991</v>
      </c>
      <c r="F464" s="1132">
        <f aca="true" t="shared" si="63" ref="F464:F503">G464+H464+I464</f>
        <v>20.324997</v>
      </c>
      <c r="G464" s="1133">
        <v>5.208069000000001</v>
      </c>
      <c r="H464" s="1133">
        <v>9.6</v>
      </c>
      <c r="I464" s="1133">
        <v>5.516928</v>
      </c>
      <c r="J464" s="1156">
        <v>2442.55</v>
      </c>
      <c r="K464" s="1133">
        <v>5.516928</v>
      </c>
      <c r="L464" s="1156">
        <v>2442.55</v>
      </c>
      <c r="M464" s="1085">
        <f aca="true" t="shared" si="64" ref="M464:M503">K464/L464</f>
        <v>0.0022586755644715562</v>
      </c>
      <c r="N464" s="1086">
        <v>315.01</v>
      </c>
      <c r="O464" s="1086">
        <f aca="true" t="shared" si="65" ref="O464:O503">M464*N464</f>
        <v>0.7115053895641849</v>
      </c>
      <c r="P464" s="1086">
        <f aca="true" t="shared" si="66" ref="P464:P503">M464*60*1000</f>
        <v>135.52053386829337</v>
      </c>
      <c r="Q464" s="1087">
        <f aca="true" t="shared" si="67" ref="Q464:Q503">P464*N464/1000</f>
        <v>42.690323373851086</v>
      </c>
      <c r="R464" s="116"/>
      <c r="S464" s="97"/>
      <c r="T464" s="97"/>
    </row>
    <row r="465" spans="1:20" s="110" customFormat="1" ht="12.75">
      <c r="A465" s="401"/>
      <c r="B465" s="144">
        <v>2</v>
      </c>
      <c r="C465" s="776" t="s">
        <v>226</v>
      </c>
      <c r="D465" s="1088">
        <v>59</v>
      </c>
      <c r="E465" s="585">
        <v>1974</v>
      </c>
      <c r="F465" s="1134">
        <f t="shared" si="63"/>
        <v>22.314002</v>
      </c>
      <c r="G465" s="1135">
        <v>5.9415</v>
      </c>
      <c r="H465" s="1135">
        <v>9.6</v>
      </c>
      <c r="I465" s="1135">
        <v>6.772501999999999</v>
      </c>
      <c r="J465" s="1157">
        <v>2729.69</v>
      </c>
      <c r="K465" s="1135">
        <v>6.772501999999999</v>
      </c>
      <c r="L465" s="1157">
        <v>2729.69</v>
      </c>
      <c r="M465" s="1089">
        <f t="shared" si="64"/>
        <v>0.0024810516945147614</v>
      </c>
      <c r="N465" s="1090">
        <v>315.01</v>
      </c>
      <c r="O465" s="1090">
        <f t="shared" si="65"/>
        <v>0.781556094289095</v>
      </c>
      <c r="P465" s="1090">
        <f t="shared" si="66"/>
        <v>148.86310167088567</v>
      </c>
      <c r="Q465" s="1091">
        <f t="shared" si="67"/>
        <v>46.89336565734569</v>
      </c>
      <c r="S465" s="97"/>
      <c r="T465" s="97"/>
    </row>
    <row r="466" spans="1:20" s="110" customFormat="1" ht="12.75">
      <c r="A466" s="401"/>
      <c r="B466" s="144">
        <v>3</v>
      </c>
      <c r="C466" s="776" t="s">
        <v>224</v>
      </c>
      <c r="D466" s="1088">
        <v>39</v>
      </c>
      <c r="E466" s="585">
        <v>1990</v>
      </c>
      <c r="F466" s="1134">
        <f t="shared" si="63"/>
        <v>17.361993</v>
      </c>
      <c r="G466" s="1135">
        <v>5.543904</v>
      </c>
      <c r="H466" s="1135">
        <v>6.24</v>
      </c>
      <c r="I466" s="1135">
        <v>5.578089</v>
      </c>
      <c r="J466" s="1157">
        <v>2285.64</v>
      </c>
      <c r="K466" s="1135">
        <v>5.578089</v>
      </c>
      <c r="L466" s="1157">
        <v>2218.03</v>
      </c>
      <c r="M466" s="1089">
        <f t="shared" si="64"/>
        <v>0.0025148843793817034</v>
      </c>
      <c r="N466" s="1090">
        <v>315.01</v>
      </c>
      <c r="O466" s="1090">
        <f t="shared" si="65"/>
        <v>0.7922137283490304</v>
      </c>
      <c r="P466" s="1090">
        <f t="shared" si="66"/>
        <v>150.89306276290222</v>
      </c>
      <c r="Q466" s="1091">
        <f t="shared" si="67"/>
        <v>47.53282370094183</v>
      </c>
      <c r="S466" s="97"/>
      <c r="T466" s="97"/>
    </row>
    <row r="467" spans="1:20" s="110" customFormat="1" ht="12.75" customHeight="1">
      <c r="A467" s="401"/>
      <c r="B467" s="144">
        <v>4</v>
      </c>
      <c r="C467" s="776" t="s">
        <v>219</v>
      </c>
      <c r="D467" s="1088">
        <v>25</v>
      </c>
      <c r="E467" s="585">
        <v>1993</v>
      </c>
      <c r="F467" s="1134">
        <f t="shared" si="63"/>
        <v>10.264002000000001</v>
      </c>
      <c r="G467" s="1135">
        <v>2.6085480000000003</v>
      </c>
      <c r="H467" s="1135">
        <v>4</v>
      </c>
      <c r="I467" s="1135">
        <v>3.6554539999999998</v>
      </c>
      <c r="J467" s="1157">
        <v>1334.51</v>
      </c>
      <c r="K467" s="1135">
        <v>3.6554539999999998</v>
      </c>
      <c r="L467" s="1157">
        <v>1334.51</v>
      </c>
      <c r="M467" s="1089">
        <f t="shared" si="64"/>
        <v>0.002739173179668942</v>
      </c>
      <c r="N467" s="1090">
        <v>315.01</v>
      </c>
      <c r="O467" s="1090">
        <f t="shared" si="65"/>
        <v>0.8628669433275135</v>
      </c>
      <c r="P467" s="1090">
        <f t="shared" si="66"/>
        <v>164.35039078013654</v>
      </c>
      <c r="Q467" s="1091">
        <f t="shared" si="67"/>
        <v>51.772016599650804</v>
      </c>
      <c r="S467" s="97"/>
      <c r="T467" s="97"/>
    </row>
    <row r="468" spans="1:20" s="110" customFormat="1" ht="12.75">
      <c r="A468" s="401"/>
      <c r="B468" s="144">
        <v>5</v>
      </c>
      <c r="C468" s="776" t="s">
        <v>570</v>
      </c>
      <c r="D468" s="1088">
        <v>98</v>
      </c>
      <c r="E468" s="585">
        <v>1974</v>
      </c>
      <c r="F468" s="1134">
        <f t="shared" si="63"/>
        <v>35.400004</v>
      </c>
      <c r="G468" s="1135">
        <v>8.919288</v>
      </c>
      <c r="H468" s="1135">
        <v>16</v>
      </c>
      <c r="I468" s="1135">
        <v>10.480716</v>
      </c>
      <c r="J468" s="1157">
        <v>3705.7000000000003</v>
      </c>
      <c r="K468" s="1135">
        <v>10.480716</v>
      </c>
      <c r="L468" s="1157">
        <v>3705.7000000000003</v>
      </c>
      <c r="M468" s="1089">
        <f t="shared" si="64"/>
        <v>0.0028282688830720236</v>
      </c>
      <c r="N468" s="1090">
        <v>315.01</v>
      </c>
      <c r="O468" s="1090">
        <f t="shared" si="65"/>
        <v>0.8909329808565182</v>
      </c>
      <c r="P468" s="1090">
        <f t="shared" si="66"/>
        <v>169.6961329843214</v>
      </c>
      <c r="Q468" s="1091">
        <f t="shared" si="67"/>
        <v>53.45597885139108</v>
      </c>
      <c r="S468" s="97"/>
      <c r="T468" s="97"/>
    </row>
    <row r="469" spans="1:20" s="110" customFormat="1" ht="12.75">
      <c r="A469" s="401"/>
      <c r="B469" s="144">
        <v>6</v>
      </c>
      <c r="C469" s="776" t="s">
        <v>227</v>
      </c>
      <c r="D469" s="1088">
        <v>24</v>
      </c>
      <c r="E469" s="585">
        <v>1963</v>
      </c>
      <c r="F469" s="1134">
        <f t="shared" si="63"/>
        <v>9.002220000000001</v>
      </c>
      <c r="G469" s="1135">
        <v>2.091</v>
      </c>
      <c r="H469" s="1135">
        <v>3.68</v>
      </c>
      <c r="I469" s="1135">
        <v>3.2312200000000004</v>
      </c>
      <c r="J469" s="1157">
        <v>1110.41</v>
      </c>
      <c r="K469" s="1135">
        <v>3.2312200000000004</v>
      </c>
      <c r="L469" s="1157">
        <v>1062.19</v>
      </c>
      <c r="M469" s="1089">
        <f t="shared" si="64"/>
        <v>0.00304203579397283</v>
      </c>
      <c r="N469" s="1090">
        <v>315.01</v>
      </c>
      <c r="O469" s="1090">
        <f t="shared" si="65"/>
        <v>0.9582716954593812</v>
      </c>
      <c r="P469" s="1090">
        <f t="shared" si="66"/>
        <v>182.5221476383698</v>
      </c>
      <c r="Q469" s="1091">
        <f t="shared" si="67"/>
        <v>57.496301727562866</v>
      </c>
      <c r="S469" s="97"/>
      <c r="T469" s="97"/>
    </row>
    <row r="470" spans="1:20" s="110" customFormat="1" ht="12.75" customHeight="1">
      <c r="A470" s="401"/>
      <c r="B470" s="144">
        <v>7</v>
      </c>
      <c r="C470" s="776" t="s">
        <v>222</v>
      </c>
      <c r="D470" s="1088">
        <v>58</v>
      </c>
      <c r="E470" s="585">
        <v>1991</v>
      </c>
      <c r="F470" s="1134">
        <f t="shared" si="63"/>
        <v>20.179994</v>
      </c>
      <c r="G470" s="1135">
        <v>3.2948039999999996</v>
      </c>
      <c r="H470" s="1135">
        <v>9.44</v>
      </c>
      <c r="I470" s="1135">
        <v>7.44519</v>
      </c>
      <c r="J470" s="1157">
        <v>2439.79</v>
      </c>
      <c r="K470" s="1135">
        <v>7.44519</v>
      </c>
      <c r="L470" s="1157">
        <v>2439.79</v>
      </c>
      <c r="M470" s="1089">
        <f t="shared" si="64"/>
        <v>0.003051570012173179</v>
      </c>
      <c r="N470" s="1090">
        <v>315.01</v>
      </c>
      <c r="O470" s="1090">
        <f t="shared" si="65"/>
        <v>0.9612750695346731</v>
      </c>
      <c r="P470" s="1090">
        <f t="shared" si="66"/>
        <v>183.09420073039072</v>
      </c>
      <c r="Q470" s="1091">
        <f t="shared" si="67"/>
        <v>57.67650417208038</v>
      </c>
      <c r="S470" s="97"/>
      <c r="T470" s="97"/>
    </row>
    <row r="471" spans="1:20" s="110" customFormat="1" ht="12.75" customHeight="1">
      <c r="A471" s="401"/>
      <c r="B471" s="144">
        <v>8</v>
      </c>
      <c r="C471" s="776" t="s">
        <v>221</v>
      </c>
      <c r="D471" s="1088">
        <v>82</v>
      </c>
      <c r="E471" s="585">
        <v>1995</v>
      </c>
      <c r="F471" s="1134">
        <f t="shared" si="63"/>
        <v>37.754999</v>
      </c>
      <c r="G471" s="1135">
        <v>7.905</v>
      </c>
      <c r="H471" s="1135">
        <v>14.4</v>
      </c>
      <c r="I471" s="1135">
        <v>15.449999</v>
      </c>
      <c r="J471" s="1157">
        <v>5009.12</v>
      </c>
      <c r="K471" s="1135">
        <v>15.449999</v>
      </c>
      <c r="L471" s="1157">
        <v>5009.12</v>
      </c>
      <c r="M471" s="1089">
        <f t="shared" si="64"/>
        <v>0.003084373902002747</v>
      </c>
      <c r="N471" s="1090">
        <v>315.01</v>
      </c>
      <c r="O471" s="1090">
        <f t="shared" si="65"/>
        <v>0.9716086228698853</v>
      </c>
      <c r="P471" s="1090">
        <f t="shared" si="66"/>
        <v>185.06243412016482</v>
      </c>
      <c r="Q471" s="1091">
        <f t="shared" si="67"/>
        <v>58.29651737219312</v>
      </c>
      <c r="S471" s="97"/>
      <c r="T471" s="97"/>
    </row>
    <row r="472" spans="1:20" s="110" customFormat="1" ht="12.75">
      <c r="A472" s="401"/>
      <c r="B472" s="144">
        <v>9</v>
      </c>
      <c r="C472" s="776" t="s">
        <v>218</v>
      </c>
      <c r="D472" s="1088">
        <v>50</v>
      </c>
      <c r="E472" s="585">
        <v>1971</v>
      </c>
      <c r="F472" s="1134">
        <f t="shared" si="63"/>
        <v>22.217003</v>
      </c>
      <c r="G472" s="1135">
        <v>5.61</v>
      </c>
      <c r="H472" s="1135">
        <v>8</v>
      </c>
      <c r="I472" s="1135">
        <v>8.607003</v>
      </c>
      <c r="J472" s="1157">
        <v>2601.9</v>
      </c>
      <c r="K472" s="1135">
        <v>8.607003</v>
      </c>
      <c r="L472" s="1157">
        <v>2601.9</v>
      </c>
      <c r="M472" s="1089">
        <f t="shared" si="64"/>
        <v>0.003307968407702064</v>
      </c>
      <c r="N472" s="1090">
        <v>315.01</v>
      </c>
      <c r="O472" s="1090">
        <f t="shared" si="65"/>
        <v>1.0420431281102271</v>
      </c>
      <c r="P472" s="1090">
        <f t="shared" si="66"/>
        <v>198.47810446212387</v>
      </c>
      <c r="Q472" s="1091">
        <f t="shared" si="67"/>
        <v>62.52258768661364</v>
      </c>
      <c r="S472" s="97"/>
      <c r="T472" s="97"/>
    </row>
    <row r="473" spans="1:20" s="110" customFormat="1" ht="13.5" thickBot="1">
      <c r="A473" s="402"/>
      <c r="B473" s="145">
        <v>10</v>
      </c>
      <c r="C473" s="841" t="s">
        <v>571</v>
      </c>
      <c r="D473" s="1092">
        <v>20</v>
      </c>
      <c r="E473" s="586">
        <v>1985</v>
      </c>
      <c r="F473" s="1136">
        <f t="shared" si="63"/>
        <v>9.915003</v>
      </c>
      <c r="G473" s="1137">
        <v>3.0855</v>
      </c>
      <c r="H473" s="1137">
        <v>3.2</v>
      </c>
      <c r="I473" s="1137">
        <v>3.629503</v>
      </c>
      <c r="J473" s="1158">
        <v>1062.17</v>
      </c>
      <c r="K473" s="1137">
        <v>3.629503</v>
      </c>
      <c r="L473" s="1158">
        <v>1062.17</v>
      </c>
      <c r="M473" s="1093">
        <f t="shared" si="64"/>
        <v>0.0034170641234453993</v>
      </c>
      <c r="N473" s="1094">
        <v>315.01</v>
      </c>
      <c r="O473" s="1094">
        <f t="shared" si="65"/>
        <v>1.0764093695265353</v>
      </c>
      <c r="P473" s="1094">
        <f t="shared" si="66"/>
        <v>205.02384740672397</v>
      </c>
      <c r="Q473" s="1095">
        <f t="shared" si="67"/>
        <v>64.58456217159211</v>
      </c>
      <c r="S473" s="97"/>
      <c r="T473" s="97"/>
    </row>
    <row r="474" spans="1:20" s="110" customFormat="1" ht="11.25" customHeight="1">
      <c r="A474" s="421" t="s">
        <v>33</v>
      </c>
      <c r="B474" s="770">
        <v>1</v>
      </c>
      <c r="C474" s="839" t="s">
        <v>572</v>
      </c>
      <c r="D474" s="1096">
        <v>12</v>
      </c>
      <c r="E474" s="840">
        <v>1990</v>
      </c>
      <c r="F474" s="1138">
        <f t="shared" si="63"/>
        <v>6.068001000000001</v>
      </c>
      <c r="G474" s="1139">
        <v>1.53</v>
      </c>
      <c r="H474" s="1139">
        <v>1.92</v>
      </c>
      <c r="I474" s="1139">
        <v>2.618001</v>
      </c>
      <c r="J474" s="1159">
        <v>740.65</v>
      </c>
      <c r="K474" s="1139">
        <v>2.618001</v>
      </c>
      <c r="L474" s="1159">
        <v>740.65</v>
      </c>
      <c r="M474" s="1097">
        <f t="shared" si="64"/>
        <v>0.0035347343549584826</v>
      </c>
      <c r="N474" s="1098">
        <v>315.01</v>
      </c>
      <c r="O474" s="1098">
        <f t="shared" si="65"/>
        <v>1.1134766691554716</v>
      </c>
      <c r="P474" s="1098">
        <f t="shared" si="66"/>
        <v>212.08406129750895</v>
      </c>
      <c r="Q474" s="1099">
        <f t="shared" si="67"/>
        <v>66.8086001493283</v>
      </c>
      <c r="S474" s="97"/>
      <c r="T474" s="97"/>
    </row>
    <row r="475" spans="1:20" s="110" customFormat="1" ht="12.75" customHeight="1">
      <c r="A475" s="379"/>
      <c r="B475" s="151">
        <v>2</v>
      </c>
      <c r="C475" s="777" t="s">
        <v>220</v>
      </c>
      <c r="D475" s="1100">
        <v>30</v>
      </c>
      <c r="E475" s="373">
        <v>1990</v>
      </c>
      <c r="F475" s="1140">
        <f t="shared" si="63"/>
        <v>13.696999</v>
      </c>
      <c r="G475" s="1141">
        <v>3.1875</v>
      </c>
      <c r="H475" s="1141">
        <v>4.8</v>
      </c>
      <c r="I475" s="1141">
        <v>5.709499</v>
      </c>
      <c r="J475" s="1160">
        <v>1613.04</v>
      </c>
      <c r="K475" s="1141">
        <v>5.709499</v>
      </c>
      <c r="L475" s="1160">
        <v>1613.04</v>
      </c>
      <c r="M475" s="1101">
        <f t="shared" si="64"/>
        <v>0.0035395892228339038</v>
      </c>
      <c r="N475" s="1102">
        <v>315.01</v>
      </c>
      <c r="O475" s="1102">
        <f t="shared" si="65"/>
        <v>1.115006001084908</v>
      </c>
      <c r="P475" s="1102">
        <f t="shared" si="66"/>
        <v>212.37535337003422</v>
      </c>
      <c r="Q475" s="1103">
        <f t="shared" si="67"/>
        <v>66.90036006509447</v>
      </c>
      <c r="S475" s="97"/>
      <c r="T475" s="97"/>
    </row>
    <row r="476" spans="1:20" s="110" customFormat="1" ht="12.75" customHeight="1">
      <c r="A476" s="379"/>
      <c r="B476" s="151">
        <v>3</v>
      </c>
      <c r="C476" s="777" t="s">
        <v>217</v>
      </c>
      <c r="D476" s="1100">
        <v>49</v>
      </c>
      <c r="E476" s="373">
        <v>1969</v>
      </c>
      <c r="F476" s="1140">
        <f t="shared" si="63"/>
        <v>21.644604</v>
      </c>
      <c r="G476" s="1141">
        <v>4.576791</v>
      </c>
      <c r="H476" s="1141">
        <v>7.84</v>
      </c>
      <c r="I476" s="1141">
        <v>9.227813</v>
      </c>
      <c r="J476" s="1160">
        <v>2600.39</v>
      </c>
      <c r="K476" s="1141">
        <v>9.227813</v>
      </c>
      <c r="L476" s="1160">
        <v>2528.6</v>
      </c>
      <c r="M476" s="1101">
        <f t="shared" si="64"/>
        <v>0.003649376334730681</v>
      </c>
      <c r="N476" s="1102">
        <v>315.01</v>
      </c>
      <c r="O476" s="1102">
        <f t="shared" si="65"/>
        <v>1.1495900392035117</v>
      </c>
      <c r="P476" s="1102">
        <f t="shared" si="66"/>
        <v>218.96258008384083</v>
      </c>
      <c r="Q476" s="1103">
        <f t="shared" si="67"/>
        <v>68.97540235221071</v>
      </c>
      <c r="S476" s="97"/>
      <c r="T476" s="97"/>
    </row>
    <row r="477" spans="1:20" s="110" customFormat="1" ht="12.75" customHeight="1">
      <c r="A477" s="379"/>
      <c r="B477" s="151">
        <v>4</v>
      </c>
      <c r="C477" s="777" t="s">
        <v>225</v>
      </c>
      <c r="D477" s="1100">
        <v>30</v>
      </c>
      <c r="E477" s="373">
        <v>1974</v>
      </c>
      <c r="F477" s="1140">
        <f t="shared" si="63"/>
        <v>14.046999</v>
      </c>
      <c r="G477" s="1141">
        <v>2.7213600000000002</v>
      </c>
      <c r="H477" s="1141">
        <v>4.8</v>
      </c>
      <c r="I477" s="1141">
        <v>6.525639</v>
      </c>
      <c r="J477" s="1160">
        <v>1743.53</v>
      </c>
      <c r="K477" s="1141">
        <v>6.525639</v>
      </c>
      <c r="L477" s="1160">
        <v>1743.53</v>
      </c>
      <c r="M477" s="1101">
        <f t="shared" si="64"/>
        <v>0.003742774142113987</v>
      </c>
      <c r="N477" s="1102">
        <v>315.01</v>
      </c>
      <c r="O477" s="1102">
        <f t="shared" si="65"/>
        <v>1.1790112825073271</v>
      </c>
      <c r="P477" s="1102">
        <f t="shared" si="66"/>
        <v>224.56644852683925</v>
      </c>
      <c r="Q477" s="1103">
        <f t="shared" si="67"/>
        <v>70.74067695043964</v>
      </c>
      <c r="S477" s="97"/>
      <c r="T477" s="97"/>
    </row>
    <row r="478" spans="1:20" s="110" customFormat="1" ht="12.75" customHeight="1">
      <c r="A478" s="379"/>
      <c r="B478" s="151">
        <v>5</v>
      </c>
      <c r="C478" s="777" t="s">
        <v>228</v>
      </c>
      <c r="D478" s="1100">
        <v>39</v>
      </c>
      <c r="E478" s="373">
        <v>1990</v>
      </c>
      <c r="F478" s="1140">
        <f t="shared" si="63"/>
        <v>18.273998</v>
      </c>
      <c r="G478" s="1141">
        <v>3.272007</v>
      </c>
      <c r="H478" s="1141">
        <v>6.4</v>
      </c>
      <c r="I478" s="1141">
        <v>8.601991</v>
      </c>
      <c r="J478" s="1160">
        <v>2294.05</v>
      </c>
      <c r="K478" s="1141">
        <v>8.601991</v>
      </c>
      <c r="L478" s="1160">
        <v>2294.05</v>
      </c>
      <c r="M478" s="1101">
        <f t="shared" si="64"/>
        <v>0.0037496963884832498</v>
      </c>
      <c r="N478" s="1102">
        <v>315.01</v>
      </c>
      <c r="O478" s="1102">
        <f t="shared" si="65"/>
        <v>1.1811918593361084</v>
      </c>
      <c r="P478" s="1102">
        <f t="shared" si="66"/>
        <v>224.98178330899498</v>
      </c>
      <c r="Q478" s="1103">
        <f t="shared" si="67"/>
        <v>70.8715115601665</v>
      </c>
      <c r="S478" s="97"/>
      <c r="T478" s="97"/>
    </row>
    <row r="479" spans="1:20" s="110" customFormat="1" ht="12.75" customHeight="1">
      <c r="A479" s="379"/>
      <c r="B479" s="151">
        <v>6</v>
      </c>
      <c r="C479" s="777" t="s">
        <v>573</v>
      </c>
      <c r="D479" s="1100">
        <v>30</v>
      </c>
      <c r="E479" s="373">
        <v>1979</v>
      </c>
      <c r="F479" s="1140">
        <f t="shared" si="63"/>
        <v>14.143</v>
      </c>
      <c r="G479" s="1141">
        <v>2.80704</v>
      </c>
      <c r="H479" s="1141">
        <v>4.8</v>
      </c>
      <c r="I479" s="1141">
        <v>6.53596</v>
      </c>
      <c r="J479" s="1160">
        <v>1717.94</v>
      </c>
      <c r="K479" s="1141">
        <v>6.53596</v>
      </c>
      <c r="L479" s="1160">
        <v>1717.94</v>
      </c>
      <c r="M479" s="1101">
        <f t="shared" si="64"/>
        <v>0.0038045333364378265</v>
      </c>
      <c r="N479" s="1102">
        <v>315.01</v>
      </c>
      <c r="O479" s="1102">
        <f t="shared" si="65"/>
        <v>1.1984660463112797</v>
      </c>
      <c r="P479" s="1102">
        <f t="shared" si="66"/>
        <v>228.2720001862696</v>
      </c>
      <c r="Q479" s="1103">
        <f t="shared" si="67"/>
        <v>71.90796277867678</v>
      </c>
      <c r="S479" s="97"/>
      <c r="T479" s="97"/>
    </row>
    <row r="480" spans="1:20" s="110" customFormat="1" ht="12.75" customHeight="1">
      <c r="A480" s="379"/>
      <c r="B480" s="151">
        <v>7</v>
      </c>
      <c r="C480" s="777" t="s">
        <v>574</v>
      </c>
      <c r="D480" s="1100">
        <v>39</v>
      </c>
      <c r="E480" s="373">
        <v>1992</v>
      </c>
      <c r="F480" s="1140">
        <f t="shared" si="63"/>
        <v>18.789998</v>
      </c>
      <c r="G480" s="1141">
        <v>3.8760000000000003</v>
      </c>
      <c r="H480" s="1141">
        <v>6.4</v>
      </c>
      <c r="I480" s="1141">
        <v>8.513998</v>
      </c>
      <c r="J480" s="1160">
        <v>2212.35</v>
      </c>
      <c r="K480" s="1141">
        <v>8.513998</v>
      </c>
      <c r="L480" s="1160">
        <v>2212.35</v>
      </c>
      <c r="M480" s="1101">
        <f t="shared" si="64"/>
        <v>0.003848395597441635</v>
      </c>
      <c r="N480" s="1102">
        <v>315.01</v>
      </c>
      <c r="O480" s="1102">
        <f t="shared" si="65"/>
        <v>1.2122830971500893</v>
      </c>
      <c r="P480" s="1102">
        <f t="shared" si="66"/>
        <v>230.90373584649808</v>
      </c>
      <c r="Q480" s="1103">
        <f t="shared" si="67"/>
        <v>72.73698582900535</v>
      </c>
      <c r="S480" s="97"/>
      <c r="T480" s="97"/>
    </row>
    <row r="481" spans="1:20" s="110" customFormat="1" ht="12.75" customHeight="1">
      <c r="A481" s="379"/>
      <c r="B481" s="151">
        <v>8</v>
      </c>
      <c r="C481" s="777" t="s">
        <v>575</v>
      </c>
      <c r="D481" s="1100">
        <v>9</v>
      </c>
      <c r="E481" s="373">
        <v>1961</v>
      </c>
      <c r="F481" s="1140">
        <f t="shared" si="63"/>
        <v>3.474009</v>
      </c>
      <c r="G481" s="1141">
        <v>0.4335</v>
      </c>
      <c r="H481" s="1141">
        <v>1.44</v>
      </c>
      <c r="I481" s="1141">
        <v>1.6005090000000002</v>
      </c>
      <c r="J481" s="1160">
        <v>541.96</v>
      </c>
      <c r="K481" s="1141">
        <v>1.6005090000000002</v>
      </c>
      <c r="L481" s="1160">
        <v>407.14</v>
      </c>
      <c r="M481" s="1101">
        <f t="shared" si="64"/>
        <v>0.003931102323525078</v>
      </c>
      <c r="N481" s="1102">
        <v>315.01</v>
      </c>
      <c r="O481" s="1102">
        <f t="shared" si="65"/>
        <v>1.2383365429336348</v>
      </c>
      <c r="P481" s="1102">
        <f t="shared" si="66"/>
        <v>235.86613941150466</v>
      </c>
      <c r="Q481" s="1103">
        <f t="shared" si="67"/>
        <v>74.30019257601808</v>
      </c>
      <c r="S481" s="97"/>
      <c r="T481" s="97"/>
    </row>
    <row r="482" spans="1:20" s="110" customFormat="1" ht="13.5" customHeight="1">
      <c r="A482" s="379"/>
      <c r="B482" s="151">
        <v>9</v>
      </c>
      <c r="C482" s="777" t="s">
        <v>229</v>
      </c>
      <c r="D482" s="1100">
        <v>49</v>
      </c>
      <c r="E482" s="373">
        <v>1984</v>
      </c>
      <c r="F482" s="1140">
        <f t="shared" si="63"/>
        <v>22.718471</v>
      </c>
      <c r="G482" s="1141">
        <v>4.86744</v>
      </c>
      <c r="H482" s="1141">
        <v>7.84</v>
      </c>
      <c r="I482" s="1141">
        <v>10.011031000000001</v>
      </c>
      <c r="J482" s="1160">
        <v>2586</v>
      </c>
      <c r="K482" s="1141">
        <v>10.011031000000001</v>
      </c>
      <c r="L482" s="1160">
        <v>2521.39</v>
      </c>
      <c r="M482" s="1101">
        <f t="shared" si="64"/>
        <v>0.003970441304201254</v>
      </c>
      <c r="N482" s="1102">
        <v>315.01</v>
      </c>
      <c r="O482" s="1102">
        <f t="shared" si="65"/>
        <v>1.250728715236437</v>
      </c>
      <c r="P482" s="1102">
        <f t="shared" si="66"/>
        <v>238.22647825207528</v>
      </c>
      <c r="Q482" s="1103">
        <f t="shared" si="67"/>
        <v>75.04372291418623</v>
      </c>
      <c r="S482" s="97"/>
      <c r="T482" s="97"/>
    </row>
    <row r="483" spans="1:20" s="110" customFormat="1" ht="12.75" customHeight="1" thickBot="1">
      <c r="A483" s="380"/>
      <c r="B483" s="771">
        <v>10</v>
      </c>
      <c r="C483" s="846" t="s">
        <v>223</v>
      </c>
      <c r="D483" s="1104">
        <v>48</v>
      </c>
      <c r="E483" s="374">
        <v>1970</v>
      </c>
      <c r="F483" s="1142">
        <f t="shared" si="63"/>
        <v>21.966141</v>
      </c>
      <c r="G483" s="1143">
        <v>4.38855</v>
      </c>
      <c r="H483" s="1143">
        <v>7.68</v>
      </c>
      <c r="I483" s="1143">
        <v>9.897591</v>
      </c>
      <c r="J483" s="1161">
        <v>2597.12</v>
      </c>
      <c r="K483" s="1143">
        <v>9.897591</v>
      </c>
      <c r="L483" s="1161">
        <v>2461.48</v>
      </c>
      <c r="M483" s="1105">
        <f t="shared" si="64"/>
        <v>0.004020991842306255</v>
      </c>
      <c r="N483" s="1106">
        <v>315.01</v>
      </c>
      <c r="O483" s="1106">
        <f t="shared" si="65"/>
        <v>1.2666526402448934</v>
      </c>
      <c r="P483" s="1106">
        <f t="shared" si="66"/>
        <v>241.2595105383753</v>
      </c>
      <c r="Q483" s="1107">
        <f t="shared" si="67"/>
        <v>75.99915841469361</v>
      </c>
      <c r="S483" s="97"/>
      <c r="T483" s="97"/>
    </row>
    <row r="484" spans="1:20" s="110" customFormat="1" ht="12.75">
      <c r="A484" s="528" t="s">
        <v>30</v>
      </c>
      <c r="B484" s="772">
        <v>1</v>
      </c>
      <c r="C484" s="844" t="s">
        <v>576</v>
      </c>
      <c r="D484" s="1108">
        <v>16</v>
      </c>
      <c r="E484" s="845">
        <v>1989</v>
      </c>
      <c r="F484" s="1144">
        <f t="shared" si="63"/>
        <v>7.3036900000000005</v>
      </c>
      <c r="G484" s="1145">
        <v>0</v>
      </c>
      <c r="H484" s="1145">
        <v>0</v>
      </c>
      <c r="I484" s="1145">
        <v>7.3036900000000005</v>
      </c>
      <c r="J484" s="1162">
        <v>1146.81</v>
      </c>
      <c r="K484" s="1145">
        <v>7.3036900000000005</v>
      </c>
      <c r="L484" s="1162">
        <v>1079.49</v>
      </c>
      <c r="M484" s="1109">
        <f t="shared" si="64"/>
        <v>0.0067658709205272866</v>
      </c>
      <c r="N484" s="1110">
        <v>315.01</v>
      </c>
      <c r="O484" s="1110">
        <f t="shared" si="65"/>
        <v>2.1313169986753007</v>
      </c>
      <c r="P484" s="1110">
        <f t="shared" si="66"/>
        <v>405.9522552316372</v>
      </c>
      <c r="Q484" s="1111">
        <f t="shared" si="67"/>
        <v>127.87901992051802</v>
      </c>
      <c r="S484" s="97"/>
      <c r="T484" s="97"/>
    </row>
    <row r="485" spans="1:20" s="110" customFormat="1" ht="12.75">
      <c r="A485" s="530"/>
      <c r="B485" s="758">
        <v>2</v>
      </c>
      <c r="C485" s="778" t="s">
        <v>577</v>
      </c>
      <c r="D485" s="1112">
        <v>13</v>
      </c>
      <c r="E485" s="696">
        <v>1968</v>
      </c>
      <c r="F485" s="1146">
        <f t="shared" si="63"/>
        <v>3.5225020000000002</v>
      </c>
      <c r="G485" s="1147">
        <v>0</v>
      </c>
      <c r="H485" s="1147">
        <v>0</v>
      </c>
      <c r="I485" s="1147">
        <v>3.5225020000000002</v>
      </c>
      <c r="J485" s="1163">
        <v>1020.08</v>
      </c>
      <c r="K485" s="1147">
        <v>3.5225020000000002</v>
      </c>
      <c r="L485" s="1163">
        <v>514.91</v>
      </c>
      <c r="M485" s="1113">
        <f t="shared" si="64"/>
        <v>0.0068410052242139415</v>
      </c>
      <c r="N485" s="1114">
        <v>315.01</v>
      </c>
      <c r="O485" s="1114">
        <f t="shared" si="65"/>
        <v>2.1549850556796337</v>
      </c>
      <c r="P485" s="1114">
        <f t="shared" si="66"/>
        <v>410.4603134528365</v>
      </c>
      <c r="Q485" s="1115">
        <f t="shared" si="67"/>
        <v>129.29910334077803</v>
      </c>
      <c r="S485" s="97"/>
      <c r="T485" s="97"/>
    </row>
    <row r="486" spans="1:20" s="110" customFormat="1" ht="12.75" customHeight="1">
      <c r="A486" s="530"/>
      <c r="B486" s="758">
        <v>3</v>
      </c>
      <c r="C486" s="778" t="s">
        <v>237</v>
      </c>
      <c r="D486" s="1112">
        <v>24</v>
      </c>
      <c r="E486" s="696">
        <v>1969</v>
      </c>
      <c r="F486" s="1146">
        <f t="shared" si="63"/>
        <v>12.097999999999999</v>
      </c>
      <c r="G486" s="1147">
        <v>0.9690000000000001</v>
      </c>
      <c r="H486" s="1147">
        <v>3.84</v>
      </c>
      <c r="I486" s="1147">
        <v>7.289</v>
      </c>
      <c r="J486" s="1163">
        <v>1020.69</v>
      </c>
      <c r="K486" s="1147">
        <v>7.289</v>
      </c>
      <c r="L486" s="1163">
        <v>1020.69</v>
      </c>
      <c r="M486" s="1113">
        <f t="shared" si="64"/>
        <v>0.007141247587416355</v>
      </c>
      <c r="N486" s="1114">
        <v>315.01</v>
      </c>
      <c r="O486" s="1114">
        <f t="shared" si="65"/>
        <v>2.249564402512026</v>
      </c>
      <c r="P486" s="1114">
        <f t="shared" si="66"/>
        <v>428.4748552449813</v>
      </c>
      <c r="Q486" s="1115">
        <f t="shared" si="67"/>
        <v>134.97386415072154</v>
      </c>
      <c r="S486" s="97"/>
      <c r="T486" s="97"/>
    </row>
    <row r="487" spans="1:20" s="110" customFormat="1" ht="12.75">
      <c r="A487" s="530"/>
      <c r="B487" s="758">
        <v>4</v>
      </c>
      <c r="C487" s="778" t="s">
        <v>578</v>
      </c>
      <c r="D487" s="1112">
        <v>25</v>
      </c>
      <c r="E487" s="696">
        <v>1968</v>
      </c>
      <c r="F487" s="1146">
        <f t="shared" si="63"/>
        <v>11.200934</v>
      </c>
      <c r="G487" s="1147">
        <v>1.5415260000000002</v>
      </c>
      <c r="H487" s="1147">
        <v>0.25</v>
      </c>
      <c r="I487" s="1147">
        <v>9.409407999999999</v>
      </c>
      <c r="J487" s="1163">
        <v>1544.68</v>
      </c>
      <c r="K487" s="1147">
        <v>9.409407999999999</v>
      </c>
      <c r="L487" s="1163">
        <v>1307.3600000000001</v>
      </c>
      <c r="M487" s="1113">
        <f t="shared" si="64"/>
        <v>0.007197258597478887</v>
      </c>
      <c r="N487" s="1114">
        <v>315.01</v>
      </c>
      <c r="O487" s="1114">
        <f t="shared" si="65"/>
        <v>2.267208430791824</v>
      </c>
      <c r="P487" s="1114">
        <f t="shared" si="66"/>
        <v>431.8355158487333</v>
      </c>
      <c r="Q487" s="1115">
        <f t="shared" si="67"/>
        <v>136.03250584750947</v>
      </c>
      <c r="S487" s="97"/>
      <c r="T487" s="97"/>
    </row>
    <row r="488" spans="1:20" s="110" customFormat="1" ht="12.75">
      <c r="A488" s="530"/>
      <c r="B488" s="758">
        <v>5</v>
      </c>
      <c r="C488" s="778" t="s">
        <v>232</v>
      </c>
      <c r="D488" s="1112">
        <v>47</v>
      </c>
      <c r="E488" s="696">
        <v>1964</v>
      </c>
      <c r="F488" s="1146">
        <f t="shared" si="63"/>
        <v>9.189841000000001</v>
      </c>
      <c r="G488" s="1147">
        <v>2.8554899999999996</v>
      </c>
      <c r="H488" s="1147">
        <v>0</v>
      </c>
      <c r="I488" s="1147">
        <v>6.334351000000001</v>
      </c>
      <c r="J488" s="1163">
        <v>1215.63</v>
      </c>
      <c r="K488" s="1147">
        <v>6.334351000000001</v>
      </c>
      <c r="L488" s="1163">
        <v>863.98</v>
      </c>
      <c r="M488" s="1113">
        <f t="shared" si="64"/>
        <v>0.007331594481353736</v>
      </c>
      <c r="N488" s="1114">
        <v>315.01</v>
      </c>
      <c r="O488" s="1114">
        <f t="shared" si="65"/>
        <v>2.3095255775712404</v>
      </c>
      <c r="P488" s="1114">
        <f t="shared" si="66"/>
        <v>439.89566888122414</v>
      </c>
      <c r="Q488" s="1115">
        <f t="shared" si="67"/>
        <v>138.57153465427442</v>
      </c>
      <c r="S488" s="97"/>
      <c r="T488" s="97"/>
    </row>
    <row r="489" spans="1:20" s="110" customFormat="1" ht="12.75">
      <c r="A489" s="530"/>
      <c r="B489" s="758">
        <v>6</v>
      </c>
      <c r="C489" s="778" t="s">
        <v>235</v>
      </c>
      <c r="D489" s="1112">
        <v>8</v>
      </c>
      <c r="E489" s="696">
        <v>1976</v>
      </c>
      <c r="F489" s="1146">
        <f t="shared" si="63"/>
        <v>4.7060010000000005</v>
      </c>
      <c r="G489" s="1147">
        <v>1.02</v>
      </c>
      <c r="H489" s="1147">
        <v>0.08</v>
      </c>
      <c r="I489" s="1147">
        <v>3.606001</v>
      </c>
      <c r="J489" s="1163">
        <v>486.54</v>
      </c>
      <c r="K489" s="1147">
        <v>3.606001</v>
      </c>
      <c r="L489" s="1163">
        <v>486.54</v>
      </c>
      <c r="M489" s="1113">
        <f t="shared" si="64"/>
        <v>0.007411520121675504</v>
      </c>
      <c r="N489" s="1114">
        <v>315.01</v>
      </c>
      <c r="O489" s="1114">
        <f t="shared" si="65"/>
        <v>2.3347029535290007</v>
      </c>
      <c r="P489" s="1114">
        <f t="shared" si="66"/>
        <v>444.69120730053027</v>
      </c>
      <c r="Q489" s="1115">
        <f t="shared" si="67"/>
        <v>140.08217721174003</v>
      </c>
      <c r="S489" s="97"/>
      <c r="T489" s="97"/>
    </row>
    <row r="490" spans="1:20" s="110" customFormat="1" ht="12.75">
      <c r="A490" s="530"/>
      <c r="B490" s="758">
        <v>7</v>
      </c>
      <c r="C490" s="778" t="s">
        <v>234</v>
      </c>
      <c r="D490" s="1112">
        <v>12</v>
      </c>
      <c r="E490" s="696">
        <v>1976</v>
      </c>
      <c r="F490" s="1146">
        <f t="shared" si="63"/>
        <v>4.617999</v>
      </c>
      <c r="G490" s="1147">
        <v>0.51</v>
      </c>
      <c r="H490" s="1147">
        <v>0.11</v>
      </c>
      <c r="I490" s="1147">
        <v>3.997999</v>
      </c>
      <c r="J490" s="1163">
        <v>536.97</v>
      </c>
      <c r="K490" s="1147">
        <v>3.997999</v>
      </c>
      <c r="L490" s="1163">
        <v>536.97</v>
      </c>
      <c r="M490" s="1113">
        <f t="shared" si="64"/>
        <v>0.007445479263273554</v>
      </c>
      <c r="N490" s="1114">
        <v>315.01</v>
      </c>
      <c r="O490" s="1114">
        <f t="shared" si="65"/>
        <v>2.345400422723802</v>
      </c>
      <c r="P490" s="1114">
        <f t="shared" si="66"/>
        <v>446.7287557964132</v>
      </c>
      <c r="Q490" s="1115">
        <f t="shared" si="67"/>
        <v>140.72402536342813</v>
      </c>
      <c r="S490" s="97"/>
      <c r="T490" s="97"/>
    </row>
    <row r="491" spans="1:20" s="110" customFormat="1" ht="12.75">
      <c r="A491" s="530"/>
      <c r="B491" s="758">
        <v>8</v>
      </c>
      <c r="C491" s="778" t="s">
        <v>233</v>
      </c>
      <c r="D491" s="1112">
        <v>18</v>
      </c>
      <c r="E491" s="696">
        <v>1987</v>
      </c>
      <c r="F491" s="1146">
        <f t="shared" si="63"/>
        <v>13.227247</v>
      </c>
      <c r="G491" s="1147">
        <v>1.887</v>
      </c>
      <c r="H491" s="1147">
        <v>2.88</v>
      </c>
      <c r="I491" s="1147">
        <v>8.460247</v>
      </c>
      <c r="J491" s="1163">
        <v>1157.8700000000001</v>
      </c>
      <c r="K491" s="1147">
        <v>8.460247</v>
      </c>
      <c r="L491" s="1163">
        <v>1134.7</v>
      </c>
      <c r="M491" s="1113">
        <f t="shared" si="64"/>
        <v>0.007455932845686085</v>
      </c>
      <c r="N491" s="1114">
        <v>315.01</v>
      </c>
      <c r="O491" s="1114">
        <f t="shared" si="65"/>
        <v>2.3486934057195734</v>
      </c>
      <c r="P491" s="1114">
        <f t="shared" si="66"/>
        <v>447.35597074116504</v>
      </c>
      <c r="Q491" s="1115">
        <f t="shared" si="67"/>
        <v>140.9216043431744</v>
      </c>
      <c r="S491" s="97"/>
      <c r="T491" s="97"/>
    </row>
    <row r="492" spans="1:20" s="110" customFormat="1" ht="12.75">
      <c r="A492" s="530"/>
      <c r="B492" s="758">
        <v>9</v>
      </c>
      <c r="C492" s="778" t="s">
        <v>579</v>
      </c>
      <c r="D492" s="1112">
        <v>20</v>
      </c>
      <c r="E492" s="696">
        <v>1985</v>
      </c>
      <c r="F492" s="1146">
        <f t="shared" si="63"/>
        <v>12.968</v>
      </c>
      <c r="G492" s="1147">
        <v>1.734</v>
      </c>
      <c r="H492" s="1147">
        <v>3.2</v>
      </c>
      <c r="I492" s="1147">
        <v>8.034</v>
      </c>
      <c r="J492" s="1163">
        <v>1066.27</v>
      </c>
      <c r="K492" s="1147">
        <v>8.034</v>
      </c>
      <c r="L492" s="1163">
        <v>1066.27</v>
      </c>
      <c r="M492" s="1113">
        <f t="shared" si="64"/>
        <v>0.007534676957993754</v>
      </c>
      <c r="N492" s="1114">
        <v>315.01</v>
      </c>
      <c r="O492" s="1114">
        <f t="shared" si="65"/>
        <v>2.3734985885376125</v>
      </c>
      <c r="P492" s="1114">
        <f t="shared" si="66"/>
        <v>452.08061747962523</v>
      </c>
      <c r="Q492" s="1115">
        <f t="shared" si="67"/>
        <v>142.40991531225674</v>
      </c>
      <c r="S492" s="97"/>
      <c r="T492" s="97"/>
    </row>
    <row r="493" spans="1:20" s="110" customFormat="1" ht="13.5" thickBot="1">
      <c r="A493" s="534"/>
      <c r="B493" s="773">
        <v>10</v>
      </c>
      <c r="C493" s="849" t="s">
        <v>239</v>
      </c>
      <c r="D493" s="1116">
        <v>59</v>
      </c>
      <c r="E493" s="697">
        <v>1985</v>
      </c>
      <c r="F493" s="1148">
        <f t="shared" si="63"/>
        <v>46.766222</v>
      </c>
      <c r="G493" s="1149">
        <v>8.500323</v>
      </c>
      <c r="H493" s="1149">
        <v>9.36</v>
      </c>
      <c r="I493" s="1149">
        <v>28.905899</v>
      </c>
      <c r="J493" s="1164">
        <v>3921.56</v>
      </c>
      <c r="K493" s="1149">
        <v>28.905899</v>
      </c>
      <c r="L493" s="1164">
        <v>3814.2000000000003</v>
      </c>
      <c r="M493" s="1117">
        <f t="shared" si="64"/>
        <v>0.007578495883802632</v>
      </c>
      <c r="N493" s="1118">
        <v>315.01</v>
      </c>
      <c r="O493" s="1118">
        <f t="shared" si="65"/>
        <v>2.387301988356667</v>
      </c>
      <c r="P493" s="1118">
        <f t="shared" si="66"/>
        <v>454.70975302815793</v>
      </c>
      <c r="Q493" s="1119">
        <f t="shared" si="67"/>
        <v>143.23811930140002</v>
      </c>
      <c r="S493" s="97"/>
      <c r="T493" s="97"/>
    </row>
    <row r="494" spans="1:20" s="110" customFormat="1" ht="12.75">
      <c r="A494" s="422" t="s">
        <v>12</v>
      </c>
      <c r="B494" s="774">
        <v>1</v>
      </c>
      <c r="C494" s="847" t="s">
        <v>580</v>
      </c>
      <c r="D494" s="1120">
        <v>24</v>
      </c>
      <c r="E494" s="848">
        <v>1962</v>
      </c>
      <c r="F494" s="1150">
        <f t="shared" si="63"/>
        <v>10.199995999999999</v>
      </c>
      <c r="G494" s="1151">
        <v>1.581</v>
      </c>
      <c r="H494" s="1151">
        <v>0</v>
      </c>
      <c r="I494" s="1151">
        <v>8.618996</v>
      </c>
      <c r="J494" s="1165">
        <v>1108.08</v>
      </c>
      <c r="K494" s="1151">
        <v>8.618996</v>
      </c>
      <c r="L494" s="1165">
        <v>1108.08</v>
      </c>
      <c r="M494" s="1121">
        <f t="shared" si="64"/>
        <v>0.007778315645079778</v>
      </c>
      <c r="N494" s="1122">
        <v>315.01</v>
      </c>
      <c r="O494" s="1122">
        <f t="shared" si="65"/>
        <v>2.4502472113565807</v>
      </c>
      <c r="P494" s="1122">
        <f t="shared" si="66"/>
        <v>466.69893870478666</v>
      </c>
      <c r="Q494" s="1123">
        <f t="shared" si="67"/>
        <v>147.01483268139486</v>
      </c>
      <c r="S494" s="97"/>
      <c r="T494" s="97"/>
    </row>
    <row r="495" spans="1:20" s="110" customFormat="1" ht="12.75">
      <c r="A495" s="423"/>
      <c r="B495" s="775">
        <v>2</v>
      </c>
      <c r="C495" s="779" t="s">
        <v>581</v>
      </c>
      <c r="D495" s="1124">
        <v>33</v>
      </c>
      <c r="E495" s="729">
        <v>1930</v>
      </c>
      <c r="F495" s="1152">
        <f t="shared" si="63"/>
        <v>11.966434</v>
      </c>
      <c r="G495" s="1153">
        <v>1.104524</v>
      </c>
      <c r="H495" s="1153">
        <v>0</v>
      </c>
      <c r="I495" s="1153">
        <v>10.86191</v>
      </c>
      <c r="J495" s="1166">
        <v>1548.33</v>
      </c>
      <c r="K495" s="1153">
        <v>10.86191</v>
      </c>
      <c r="L495" s="1166">
        <v>1366.25</v>
      </c>
      <c r="M495" s="1125">
        <f t="shared" si="64"/>
        <v>0.00795016285452882</v>
      </c>
      <c r="N495" s="1126">
        <v>315.01</v>
      </c>
      <c r="O495" s="1126">
        <f t="shared" si="65"/>
        <v>2.5043808008051234</v>
      </c>
      <c r="P495" s="1126">
        <f t="shared" si="66"/>
        <v>477.00977127172916</v>
      </c>
      <c r="Q495" s="1127">
        <f t="shared" si="67"/>
        <v>150.2628480483074</v>
      </c>
      <c r="S495" s="97"/>
      <c r="T495" s="97"/>
    </row>
    <row r="496" spans="1:20" s="110" customFormat="1" ht="12.75">
      <c r="A496" s="423"/>
      <c r="B496" s="775">
        <v>3</v>
      </c>
      <c r="C496" s="779" t="s">
        <v>582</v>
      </c>
      <c r="D496" s="1124">
        <v>11</v>
      </c>
      <c r="E496" s="729">
        <v>1976</v>
      </c>
      <c r="F496" s="1152">
        <f t="shared" si="63"/>
        <v>4.039321</v>
      </c>
      <c r="G496" s="1153">
        <v>0</v>
      </c>
      <c r="H496" s="1153">
        <v>0</v>
      </c>
      <c r="I496" s="1153">
        <v>4.039321</v>
      </c>
      <c r="J496" s="1166">
        <v>543.66</v>
      </c>
      <c r="K496" s="1153">
        <v>4.039321</v>
      </c>
      <c r="L496" s="1166">
        <v>496.05</v>
      </c>
      <c r="M496" s="1125">
        <f t="shared" si="64"/>
        <v>0.008142971474649733</v>
      </c>
      <c r="N496" s="1126">
        <v>315.01</v>
      </c>
      <c r="O496" s="1126">
        <f t="shared" si="65"/>
        <v>2.5651174442294122</v>
      </c>
      <c r="P496" s="1126">
        <f t="shared" si="66"/>
        <v>488.578288478984</v>
      </c>
      <c r="Q496" s="1127">
        <f t="shared" si="67"/>
        <v>153.90704665376475</v>
      </c>
      <c r="S496" s="97"/>
      <c r="T496" s="97"/>
    </row>
    <row r="497" spans="1:20" s="110" customFormat="1" ht="12.75">
      <c r="A497" s="423"/>
      <c r="B497" s="775">
        <v>4</v>
      </c>
      <c r="C497" s="779" t="s">
        <v>230</v>
      </c>
      <c r="D497" s="1124">
        <v>23</v>
      </c>
      <c r="E497" s="729">
        <v>1988</v>
      </c>
      <c r="F497" s="1152">
        <f t="shared" si="63"/>
        <v>15.611311</v>
      </c>
      <c r="G497" s="1153">
        <v>1.989</v>
      </c>
      <c r="H497" s="1153">
        <v>3.6</v>
      </c>
      <c r="I497" s="1153">
        <v>10.022311</v>
      </c>
      <c r="J497" s="1166">
        <v>1213.65</v>
      </c>
      <c r="K497" s="1153">
        <v>10.022311</v>
      </c>
      <c r="L497" s="1166">
        <v>1176.02</v>
      </c>
      <c r="M497" s="1125">
        <f t="shared" si="64"/>
        <v>0.008522228363463207</v>
      </c>
      <c r="N497" s="1126">
        <v>315.01</v>
      </c>
      <c r="O497" s="1126">
        <f t="shared" si="65"/>
        <v>2.684587156774545</v>
      </c>
      <c r="P497" s="1126">
        <f t="shared" si="66"/>
        <v>511.33370180779247</v>
      </c>
      <c r="Q497" s="1127">
        <f t="shared" si="67"/>
        <v>161.07522940647272</v>
      </c>
      <c r="S497" s="97"/>
      <c r="T497" s="97"/>
    </row>
    <row r="498" spans="1:20" s="110" customFormat="1" ht="12.75" customHeight="1">
      <c r="A498" s="423"/>
      <c r="B498" s="775">
        <v>5</v>
      </c>
      <c r="C498" s="779" t="s">
        <v>583</v>
      </c>
      <c r="D498" s="1124">
        <v>6</v>
      </c>
      <c r="E498" s="729">
        <v>1968</v>
      </c>
      <c r="F498" s="1152">
        <f t="shared" si="63"/>
        <v>2.1579990000000002</v>
      </c>
      <c r="G498" s="1153">
        <v>0</v>
      </c>
      <c r="H498" s="1153">
        <v>0</v>
      </c>
      <c r="I498" s="1153">
        <v>2.1579990000000002</v>
      </c>
      <c r="J498" s="1166">
        <v>252.14000000000001</v>
      </c>
      <c r="K498" s="1153">
        <v>2.1579990000000002</v>
      </c>
      <c r="L498" s="1166">
        <v>252.14000000000001</v>
      </c>
      <c r="M498" s="1125">
        <f t="shared" si="64"/>
        <v>0.008558733243436187</v>
      </c>
      <c r="N498" s="1126">
        <v>315.01</v>
      </c>
      <c r="O498" s="1126">
        <f t="shared" si="65"/>
        <v>2.6960865590148333</v>
      </c>
      <c r="P498" s="1126">
        <f t="shared" si="66"/>
        <v>513.5239946061712</v>
      </c>
      <c r="Q498" s="1127">
        <f t="shared" si="67"/>
        <v>161.76519354088998</v>
      </c>
      <c r="S498" s="97"/>
      <c r="T498" s="97"/>
    </row>
    <row r="499" spans="1:20" s="110" customFormat="1" ht="12.75">
      <c r="A499" s="423"/>
      <c r="B499" s="775">
        <v>6</v>
      </c>
      <c r="C499" s="779" t="s">
        <v>236</v>
      </c>
      <c r="D499" s="1124">
        <v>8</v>
      </c>
      <c r="E499" s="729">
        <v>1972</v>
      </c>
      <c r="F499" s="1152">
        <f t="shared" si="63"/>
        <v>4.883999</v>
      </c>
      <c r="G499" s="1153">
        <v>0.35700000000000004</v>
      </c>
      <c r="H499" s="1153">
        <v>0.67</v>
      </c>
      <c r="I499" s="1153">
        <v>3.856999</v>
      </c>
      <c r="J499" s="1166">
        <v>440.39</v>
      </c>
      <c r="K499" s="1153">
        <v>3.856999</v>
      </c>
      <c r="L499" s="1166">
        <v>440.39</v>
      </c>
      <c r="M499" s="1125">
        <f t="shared" si="64"/>
        <v>0.00875814391789096</v>
      </c>
      <c r="N499" s="1126">
        <v>315.01</v>
      </c>
      <c r="O499" s="1126">
        <f t="shared" si="65"/>
        <v>2.7589029155748315</v>
      </c>
      <c r="P499" s="1126">
        <f t="shared" si="66"/>
        <v>525.4886350734577</v>
      </c>
      <c r="Q499" s="1127">
        <f t="shared" si="67"/>
        <v>165.5341749344899</v>
      </c>
      <c r="S499" s="97"/>
      <c r="T499" s="97"/>
    </row>
    <row r="500" spans="1:20" s="110" customFormat="1" ht="12.75" customHeight="1">
      <c r="A500" s="423"/>
      <c r="B500" s="775">
        <v>7</v>
      </c>
      <c r="C500" s="779" t="s">
        <v>240</v>
      </c>
      <c r="D500" s="1124">
        <v>17</v>
      </c>
      <c r="E500" s="729">
        <v>1983</v>
      </c>
      <c r="F500" s="1152">
        <f t="shared" si="63"/>
        <v>14.800001</v>
      </c>
      <c r="G500" s="1153">
        <v>1.53</v>
      </c>
      <c r="H500" s="1153">
        <v>2.88</v>
      </c>
      <c r="I500" s="1153">
        <v>10.390001</v>
      </c>
      <c r="J500" s="1166">
        <v>1153.81</v>
      </c>
      <c r="K500" s="1153">
        <v>10.390001</v>
      </c>
      <c r="L500" s="1166">
        <v>1153.81</v>
      </c>
      <c r="M500" s="1125">
        <f t="shared" si="64"/>
        <v>0.009004949688423572</v>
      </c>
      <c r="N500" s="1126">
        <v>315.01</v>
      </c>
      <c r="O500" s="1126">
        <f t="shared" si="65"/>
        <v>2.8366492013503093</v>
      </c>
      <c r="P500" s="1126">
        <f t="shared" si="66"/>
        <v>540.2969813054143</v>
      </c>
      <c r="Q500" s="1127">
        <f t="shared" si="67"/>
        <v>170.19895208101858</v>
      </c>
      <c r="S500" s="97"/>
      <c r="T500" s="97"/>
    </row>
    <row r="501" spans="1:20" s="110" customFormat="1" ht="12.75" customHeight="1">
      <c r="A501" s="423"/>
      <c r="B501" s="775">
        <v>8</v>
      </c>
      <c r="C501" s="779" t="s">
        <v>231</v>
      </c>
      <c r="D501" s="1124">
        <v>19</v>
      </c>
      <c r="E501" s="729">
        <v>1980</v>
      </c>
      <c r="F501" s="1152">
        <f t="shared" si="63"/>
        <v>13.023892</v>
      </c>
      <c r="G501" s="1153">
        <v>0.9690000000000001</v>
      </c>
      <c r="H501" s="1153">
        <v>3.04</v>
      </c>
      <c r="I501" s="1153">
        <v>9.014892</v>
      </c>
      <c r="J501" s="1166">
        <v>1049.46</v>
      </c>
      <c r="K501" s="1153">
        <v>9.014892</v>
      </c>
      <c r="L501" s="1166">
        <v>972.23</v>
      </c>
      <c r="M501" s="1125">
        <f t="shared" si="64"/>
        <v>0.009272386163767831</v>
      </c>
      <c r="N501" s="1126">
        <v>315.01</v>
      </c>
      <c r="O501" s="1126">
        <f t="shared" si="65"/>
        <v>2.9208943654485044</v>
      </c>
      <c r="P501" s="1126">
        <f t="shared" si="66"/>
        <v>556.3431698260699</v>
      </c>
      <c r="Q501" s="1127">
        <f t="shared" si="67"/>
        <v>175.25366192691027</v>
      </c>
      <c r="S501" s="97"/>
      <c r="T501" s="97"/>
    </row>
    <row r="502" spans="1:20" s="110" customFormat="1" ht="12.75" customHeight="1">
      <c r="A502" s="423"/>
      <c r="B502" s="122">
        <v>9</v>
      </c>
      <c r="C502" s="730" t="s">
        <v>584</v>
      </c>
      <c r="D502" s="1124">
        <v>5</v>
      </c>
      <c r="E502" s="729">
        <v>1961</v>
      </c>
      <c r="F502" s="1152">
        <f t="shared" si="63"/>
        <v>2.313983</v>
      </c>
      <c r="G502" s="1153">
        <v>0</v>
      </c>
      <c r="H502" s="1153">
        <v>0</v>
      </c>
      <c r="I502" s="1153">
        <v>2.313983</v>
      </c>
      <c r="J502" s="1166">
        <v>362.23</v>
      </c>
      <c r="K502" s="1153">
        <v>2.313983</v>
      </c>
      <c r="L502" s="1166">
        <v>223.64000000000001</v>
      </c>
      <c r="M502" s="1125">
        <f t="shared" si="64"/>
        <v>0.010346910212842066</v>
      </c>
      <c r="N502" s="1126">
        <v>315.01</v>
      </c>
      <c r="O502" s="1126">
        <f t="shared" si="65"/>
        <v>3.259380186147379</v>
      </c>
      <c r="P502" s="1126">
        <f t="shared" si="66"/>
        <v>620.8146127705239</v>
      </c>
      <c r="Q502" s="1127">
        <f t="shared" si="67"/>
        <v>195.56281116884276</v>
      </c>
      <c r="S502" s="97"/>
      <c r="T502" s="97"/>
    </row>
    <row r="503" spans="1:20" s="110" customFormat="1" ht="12.75" customHeight="1" thickBot="1">
      <c r="A503" s="424"/>
      <c r="B503" s="123">
        <v>10</v>
      </c>
      <c r="C503" s="731" t="s">
        <v>238</v>
      </c>
      <c r="D503" s="1128">
        <v>12</v>
      </c>
      <c r="E503" s="732">
        <v>1968</v>
      </c>
      <c r="F503" s="1154">
        <f t="shared" si="63"/>
        <v>7</v>
      </c>
      <c r="G503" s="1155">
        <v>0.459</v>
      </c>
      <c r="H503" s="1155">
        <v>0.12</v>
      </c>
      <c r="I503" s="1155">
        <v>6.421</v>
      </c>
      <c r="J503" s="1167">
        <v>536.53</v>
      </c>
      <c r="K503" s="1155">
        <v>6.421</v>
      </c>
      <c r="L503" s="1167">
        <v>536.53</v>
      </c>
      <c r="M503" s="1129">
        <f t="shared" si="64"/>
        <v>0.011967643934169572</v>
      </c>
      <c r="N503" s="1130">
        <v>315.01</v>
      </c>
      <c r="O503" s="1130">
        <f t="shared" si="65"/>
        <v>3.7699275157027565</v>
      </c>
      <c r="P503" s="1130">
        <f t="shared" si="66"/>
        <v>718.0586360501743</v>
      </c>
      <c r="Q503" s="1131">
        <f t="shared" si="67"/>
        <v>226.1956509421654</v>
      </c>
      <c r="S503" s="97"/>
      <c r="T503" s="97"/>
    </row>
    <row r="504" spans="19:20" ht="12.75">
      <c r="S504" s="97"/>
      <c r="T504" s="97"/>
    </row>
    <row r="505" spans="19:20" ht="12.75">
      <c r="S505" s="97"/>
      <c r="T505" s="97"/>
    </row>
    <row r="506" spans="1:20" ht="15">
      <c r="A506" s="419" t="s">
        <v>67</v>
      </c>
      <c r="B506" s="419"/>
      <c r="C506" s="419"/>
      <c r="D506" s="419"/>
      <c r="E506" s="419"/>
      <c r="F506" s="419"/>
      <c r="G506" s="419"/>
      <c r="H506" s="419"/>
      <c r="I506" s="419"/>
      <c r="J506" s="419"/>
      <c r="K506" s="419"/>
      <c r="L506" s="419"/>
      <c r="M506" s="419"/>
      <c r="N506" s="419"/>
      <c r="O506" s="419"/>
      <c r="P506" s="419"/>
      <c r="Q506" s="419"/>
      <c r="S506" s="97"/>
      <c r="T506" s="97"/>
    </row>
    <row r="507" spans="1:20" ht="13.5" thickBot="1">
      <c r="A507" s="420" t="s">
        <v>585</v>
      </c>
      <c r="B507" s="420"/>
      <c r="C507" s="420"/>
      <c r="D507" s="420"/>
      <c r="E507" s="420"/>
      <c r="F507" s="420"/>
      <c r="G507" s="420"/>
      <c r="H507" s="420"/>
      <c r="I507" s="420"/>
      <c r="J507" s="420"/>
      <c r="K507" s="420"/>
      <c r="L507" s="420"/>
      <c r="M507" s="420"/>
      <c r="N507" s="420"/>
      <c r="O507" s="420"/>
      <c r="P507" s="420"/>
      <c r="Q507" s="420"/>
      <c r="S507" s="97"/>
      <c r="T507" s="97"/>
    </row>
    <row r="508" spans="1:20" ht="12.75" customHeight="1">
      <c r="A508" s="395" t="s">
        <v>1</v>
      </c>
      <c r="B508" s="397" t="s">
        <v>0</v>
      </c>
      <c r="C508" s="384" t="s">
        <v>2</v>
      </c>
      <c r="D508" s="384" t="s">
        <v>3</v>
      </c>
      <c r="E508" s="384" t="s">
        <v>13</v>
      </c>
      <c r="F508" s="386" t="s">
        <v>14</v>
      </c>
      <c r="G508" s="387"/>
      <c r="H508" s="387"/>
      <c r="I508" s="388"/>
      <c r="J508" s="384" t="s">
        <v>4</v>
      </c>
      <c r="K508" s="384" t="s">
        <v>15</v>
      </c>
      <c r="L508" s="384" t="s">
        <v>5</v>
      </c>
      <c r="M508" s="384" t="s">
        <v>6</v>
      </c>
      <c r="N508" s="384" t="s">
        <v>16</v>
      </c>
      <c r="O508" s="389" t="s">
        <v>17</v>
      </c>
      <c r="P508" s="384" t="s">
        <v>25</v>
      </c>
      <c r="Q508" s="391" t="s">
        <v>26</v>
      </c>
      <c r="S508" s="97"/>
      <c r="T508" s="97"/>
    </row>
    <row r="509" spans="1:20" s="2" customFormat="1" ht="33.75">
      <c r="A509" s="396"/>
      <c r="B509" s="398"/>
      <c r="C509" s="399"/>
      <c r="D509" s="385"/>
      <c r="E509" s="385"/>
      <c r="F509" s="37" t="s">
        <v>18</v>
      </c>
      <c r="G509" s="37" t="s">
        <v>19</v>
      </c>
      <c r="H509" s="37" t="s">
        <v>20</v>
      </c>
      <c r="I509" s="37" t="s">
        <v>21</v>
      </c>
      <c r="J509" s="385"/>
      <c r="K509" s="385"/>
      <c r="L509" s="385"/>
      <c r="M509" s="385"/>
      <c r="N509" s="385"/>
      <c r="O509" s="390"/>
      <c r="P509" s="385"/>
      <c r="Q509" s="392"/>
      <c r="S509" s="97"/>
      <c r="T509" s="97"/>
    </row>
    <row r="510" spans="1:20" s="3" customFormat="1" ht="13.5" customHeight="1" thickBot="1">
      <c r="A510" s="396"/>
      <c r="B510" s="398"/>
      <c r="C510" s="416"/>
      <c r="D510" s="65" t="s">
        <v>7</v>
      </c>
      <c r="E510" s="65" t="s">
        <v>8</v>
      </c>
      <c r="F510" s="65" t="s">
        <v>9</v>
      </c>
      <c r="G510" s="65" t="s">
        <v>9</v>
      </c>
      <c r="H510" s="65" t="s">
        <v>9</v>
      </c>
      <c r="I510" s="65" t="s">
        <v>9</v>
      </c>
      <c r="J510" s="65" t="s">
        <v>22</v>
      </c>
      <c r="K510" s="65" t="s">
        <v>9</v>
      </c>
      <c r="L510" s="65" t="s">
        <v>22</v>
      </c>
      <c r="M510" s="65" t="s">
        <v>136</v>
      </c>
      <c r="N510" s="65" t="s">
        <v>10</v>
      </c>
      <c r="O510" s="65" t="s">
        <v>137</v>
      </c>
      <c r="P510" s="66" t="s">
        <v>27</v>
      </c>
      <c r="Q510" s="67" t="s">
        <v>28</v>
      </c>
      <c r="S510" s="97"/>
      <c r="T510" s="97"/>
    </row>
    <row r="511" spans="1:20" ht="12.75">
      <c r="A511" s="417" t="s">
        <v>11</v>
      </c>
      <c r="B511" s="31">
        <v>1</v>
      </c>
      <c r="C511" s="16" t="s">
        <v>241</v>
      </c>
      <c r="D511" s="32">
        <v>50</v>
      </c>
      <c r="E511" s="32">
        <v>1992</v>
      </c>
      <c r="F511" s="572">
        <f>SUM(G511:I511)</f>
        <v>16.214</v>
      </c>
      <c r="G511" s="578">
        <v>3.420389</v>
      </c>
      <c r="H511" s="578">
        <v>7.84</v>
      </c>
      <c r="I511" s="578">
        <v>4.953611</v>
      </c>
      <c r="J511" s="265">
        <v>2469.68</v>
      </c>
      <c r="K511" s="578">
        <v>4.95</v>
      </c>
      <c r="L511" s="265">
        <v>2469.68</v>
      </c>
      <c r="M511" s="574">
        <f>K511/L511</f>
        <v>0.0020043082504615983</v>
      </c>
      <c r="N511" s="573">
        <v>316.536</v>
      </c>
      <c r="O511" s="575">
        <f>M511*N511</f>
        <v>0.6344357163681125</v>
      </c>
      <c r="P511" s="575">
        <f>M511*60*1000</f>
        <v>120.2584950276959</v>
      </c>
      <c r="Q511" s="576">
        <f>P511*N511/1000</f>
        <v>38.066142982086745</v>
      </c>
      <c r="R511" s="6"/>
      <c r="S511" s="97"/>
      <c r="T511" s="97"/>
    </row>
    <row r="512" spans="1:20" ht="12.75">
      <c r="A512" s="376"/>
      <c r="B512" s="32">
        <v>2</v>
      </c>
      <c r="C512" s="16"/>
      <c r="D512" s="265"/>
      <c r="E512" s="265"/>
      <c r="F512" s="578"/>
      <c r="G512" s="578"/>
      <c r="H512" s="578"/>
      <c r="I512" s="578"/>
      <c r="J512" s="265"/>
      <c r="K512" s="578"/>
      <c r="L512" s="265"/>
      <c r="M512" s="158"/>
      <c r="N512" s="157"/>
      <c r="O512" s="157"/>
      <c r="P512" s="157"/>
      <c r="Q512" s="159"/>
      <c r="S512" s="97"/>
      <c r="T512" s="97"/>
    </row>
    <row r="513" spans="1:20" ht="12.75">
      <c r="A513" s="376"/>
      <c r="B513" s="32">
        <v>3</v>
      </c>
      <c r="C513" s="16"/>
      <c r="D513" s="265"/>
      <c r="E513" s="265"/>
      <c r="F513" s="578"/>
      <c r="G513" s="578"/>
      <c r="H513" s="578"/>
      <c r="I513" s="578"/>
      <c r="J513" s="265"/>
      <c r="K513" s="578"/>
      <c r="L513" s="265"/>
      <c r="M513" s="158"/>
      <c r="N513" s="157"/>
      <c r="O513" s="157"/>
      <c r="P513" s="157"/>
      <c r="Q513" s="159"/>
      <c r="S513" s="97"/>
      <c r="T513" s="97"/>
    </row>
    <row r="514" spans="1:20" ht="12.75">
      <c r="A514" s="376"/>
      <c r="B514" s="32">
        <v>4</v>
      </c>
      <c r="C514" s="16"/>
      <c r="D514" s="265"/>
      <c r="E514" s="265"/>
      <c r="F514" s="578"/>
      <c r="G514" s="578"/>
      <c r="H514" s="578"/>
      <c r="I514" s="578"/>
      <c r="J514" s="265"/>
      <c r="K514" s="578"/>
      <c r="L514" s="265"/>
      <c r="M514" s="158"/>
      <c r="N514" s="157"/>
      <c r="O514" s="157"/>
      <c r="P514" s="157"/>
      <c r="Q514" s="159"/>
      <c r="S514" s="97"/>
      <c r="T514" s="97"/>
    </row>
    <row r="515" spans="1:20" ht="12.75">
      <c r="A515" s="376"/>
      <c r="B515" s="32">
        <v>5</v>
      </c>
      <c r="C515" s="16"/>
      <c r="D515" s="265"/>
      <c r="E515" s="265"/>
      <c r="F515" s="578"/>
      <c r="G515" s="578"/>
      <c r="H515" s="578"/>
      <c r="I515" s="578"/>
      <c r="J515" s="265"/>
      <c r="K515" s="578"/>
      <c r="L515" s="265"/>
      <c r="M515" s="158"/>
      <c r="N515" s="157"/>
      <c r="O515" s="157"/>
      <c r="P515" s="157"/>
      <c r="Q515" s="159"/>
      <c r="S515" s="97"/>
      <c r="T515" s="97"/>
    </row>
    <row r="516" spans="1:20" ht="12.75">
      <c r="A516" s="376"/>
      <c r="B516" s="32">
        <v>6</v>
      </c>
      <c r="C516" s="16"/>
      <c r="D516" s="263"/>
      <c r="E516" s="265"/>
      <c r="F516" s="578"/>
      <c r="G516" s="578"/>
      <c r="H516" s="578"/>
      <c r="I516" s="578"/>
      <c r="J516" s="265"/>
      <c r="K516" s="578"/>
      <c r="L516" s="265"/>
      <c r="M516" s="158"/>
      <c r="N516" s="157"/>
      <c r="O516" s="157"/>
      <c r="P516" s="157"/>
      <c r="Q516" s="159"/>
      <c r="S516" s="97"/>
      <c r="T516" s="97"/>
    </row>
    <row r="517" spans="1:20" ht="12.75">
      <c r="A517" s="376"/>
      <c r="B517" s="32">
        <v>7</v>
      </c>
      <c r="C517" s="16"/>
      <c r="D517" s="263"/>
      <c r="E517" s="265"/>
      <c r="F517" s="578"/>
      <c r="G517" s="578"/>
      <c r="H517" s="578"/>
      <c r="I517" s="578"/>
      <c r="J517" s="265"/>
      <c r="K517" s="578"/>
      <c r="L517" s="265"/>
      <c r="M517" s="158"/>
      <c r="N517" s="157"/>
      <c r="O517" s="157"/>
      <c r="P517" s="157"/>
      <c r="Q517" s="159"/>
      <c r="S517" s="97"/>
      <c r="T517" s="97"/>
    </row>
    <row r="518" spans="1:20" ht="12.75">
      <c r="A518" s="376"/>
      <c r="B518" s="32">
        <v>8</v>
      </c>
      <c r="C518" s="16"/>
      <c r="D518" s="263"/>
      <c r="E518" s="265"/>
      <c r="F518" s="578"/>
      <c r="G518" s="578"/>
      <c r="H518" s="578"/>
      <c r="I518" s="578"/>
      <c r="J518" s="265"/>
      <c r="K518" s="578"/>
      <c r="L518" s="265"/>
      <c r="M518" s="158"/>
      <c r="N518" s="157"/>
      <c r="O518" s="157"/>
      <c r="P518" s="157"/>
      <c r="Q518" s="159"/>
      <c r="S518" s="97"/>
      <c r="T518" s="97"/>
    </row>
    <row r="519" spans="1:20" ht="12.75">
      <c r="A519" s="376"/>
      <c r="B519" s="32">
        <v>9</v>
      </c>
      <c r="C519" s="16"/>
      <c r="D519" s="263"/>
      <c r="E519" s="265"/>
      <c r="F519" s="578"/>
      <c r="G519" s="578"/>
      <c r="H519" s="578"/>
      <c r="I519" s="578"/>
      <c r="J519" s="265"/>
      <c r="K519" s="578"/>
      <c r="L519" s="265"/>
      <c r="M519" s="158"/>
      <c r="N519" s="157"/>
      <c r="O519" s="157"/>
      <c r="P519" s="157"/>
      <c r="Q519" s="159"/>
      <c r="S519" s="97"/>
      <c r="T519" s="97"/>
    </row>
    <row r="520" spans="1:20" ht="13.5" thickBot="1">
      <c r="A520" s="377"/>
      <c r="B520" s="70" t="s">
        <v>44</v>
      </c>
      <c r="C520" s="16"/>
      <c r="D520" s="263"/>
      <c r="E520" s="263"/>
      <c r="F520" s="578"/>
      <c r="G520" s="578"/>
      <c r="H520" s="578"/>
      <c r="I520" s="578"/>
      <c r="J520" s="265"/>
      <c r="K520" s="578"/>
      <c r="L520" s="265"/>
      <c r="M520" s="161"/>
      <c r="N520" s="160"/>
      <c r="O520" s="160"/>
      <c r="P520" s="160"/>
      <c r="Q520" s="162"/>
      <c r="S520" s="97"/>
      <c r="T520" s="97"/>
    </row>
    <row r="521" spans="1:20" ht="11.25" customHeight="1">
      <c r="A521" s="411" t="s">
        <v>29</v>
      </c>
      <c r="B521" s="34">
        <v>1</v>
      </c>
      <c r="C521" s="33" t="s">
        <v>586</v>
      </c>
      <c r="D521" s="34">
        <v>12</v>
      </c>
      <c r="E521" s="34">
        <v>1986</v>
      </c>
      <c r="F521" s="608">
        <f aca="true" t="shared" si="68" ref="F521:F548">SUM(G521:I521)</f>
        <v>6.6</v>
      </c>
      <c r="G521" s="608">
        <v>3.59589</v>
      </c>
      <c r="H521" s="608">
        <v>1.945</v>
      </c>
      <c r="I521" s="608">
        <v>1.05911</v>
      </c>
      <c r="J521" s="951">
        <v>706.88</v>
      </c>
      <c r="K521" s="608">
        <v>1.05911</v>
      </c>
      <c r="L521" s="951">
        <v>706.88</v>
      </c>
      <c r="M521" s="184">
        <f aca="true" t="shared" si="69" ref="M521:M548">K521/L521</f>
        <v>0.0014982882526029878</v>
      </c>
      <c r="N521" s="185">
        <v>316.536</v>
      </c>
      <c r="O521" s="185">
        <f aca="true" t="shared" si="70" ref="O521:O548">M521*N521</f>
        <v>0.4742621703259393</v>
      </c>
      <c r="P521" s="185">
        <f aca="true" t="shared" si="71" ref="P521:P548">M521*60*1000</f>
        <v>89.89729515617927</v>
      </c>
      <c r="Q521" s="259">
        <f aca="true" t="shared" si="72" ref="Q521:Q548">P521*N521/1000</f>
        <v>28.45573021955636</v>
      </c>
      <c r="S521" s="97"/>
      <c r="T521" s="97"/>
    </row>
    <row r="522" spans="1:20" ht="12.75" customHeight="1">
      <c r="A522" s="412"/>
      <c r="B522" s="36">
        <v>2</v>
      </c>
      <c r="C522" s="35" t="s">
        <v>246</v>
      </c>
      <c r="D522" s="36">
        <v>13</v>
      </c>
      <c r="E522" s="36">
        <v>1981</v>
      </c>
      <c r="F522" s="609">
        <f t="shared" si="68"/>
        <v>6.34</v>
      </c>
      <c r="G522" s="609">
        <v>2.84451</v>
      </c>
      <c r="H522" s="609">
        <v>1.92</v>
      </c>
      <c r="I522" s="609">
        <v>1.57549</v>
      </c>
      <c r="J522" s="135">
        <v>729.29</v>
      </c>
      <c r="K522" s="609">
        <v>1.57549</v>
      </c>
      <c r="L522" s="135">
        <v>729.29</v>
      </c>
      <c r="M522" s="184">
        <f t="shared" si="69"/>
        <v>0.0021603065995694443</v>
      </c>
      <c r="N522" s="185">
        <v>316.536</v>
      </c>
      <c r="O522" s="185">
        <f t="shared" si="70"/>
        <v>0.6838148098013136</v>
      </c>
      <c r="P522" s="185">
        <f t="shared" si="71"/>
        <v>129.61839597416667</v>
      </c>
      <c r="Q522" s="259">
        <f t="shared" si="72"/>
        <v>41.02888858807882</v>
      </c>
      <c r="S522" s="97"/>
      <c r="T522" s="97"/>
    </row>
    <row r="523" spans="1:20" ht="12.75" customHeight="1">
      <c r="A523" s="412"/>
      <c r="B523" s="36">
        <v>3</v>
      </c>
      <c r="C523" s="35" t="s">
        <v>243</v>
      </c>
      <c r="D523" s="36">
        <v>13</v>
      </c>
      <c r="E523" s="36">
        <v>1981</v>
      </c>
      <c r="F523" s="609">
        <f t="shared" si="68"/>
        <v>6.31</v>
      </c>
      <c r="G523" s="609">
        <v>2.25414</v>
      </c>
      <c r="H523" s="609">
        <v>2.08</v>
      </c>
      <c r="I523" s="609">
        <v>1.97586</v>
      </c>
      <c r="J523" s="135">
        <v>779.03</v>
      </c>
      <c r="K523" s="609">
        <v>1.97586</v>
      </c>
      <c r="L523" s="135">
        <v>779.03</v>
      </c>
      <c r="M523" s="164">
        <f t="shared" si="69"/>
        <v>0.002536307972735325</v>
      </c>
      <c r="N523" s="185">
        <v>316.536</v>
      </c>
      <c r="O523" s="185">
        <f t="shared" si="70"/>
        <v>0.8028327804577488</v>
      </c>
      <c r="P523" s="185">
        <f t="shared" si="71"/>
        <v>152.17847836411948</v>
      </c>
      <c r="Q523" s="251">
        <f t="shared" si="72"/>
        <v>48.169966827464926</v>
      </c>
      <c r="S523" s="97"/>
      <c r="T523" s="97"/>
    </row>
    <row r="524" spans="1:20" ht="12.75" customHeight="1">
      <c r="A524" s="412"/>
      <c r="B524" s="36">
        <v>4</v>
      </c>
      <c r="C524" s="35" t="s">
        <v>244</v>
      </c>
      <c r="D524" s="36">
        <v>26</v>
      </c>
      <c r="E524" s="36">
        <v>1978</v>
      </c>
      <c r="F524" s="609">
        <f t="shared" si="68"/>
        <v>11.062000000000001</v>
      </c>
      <c r="G524" s="609">
        <v>2.73717</v>
      </c>
      <c r="H524" s="609">
        <v>3.785</v>
      </c>
      <c r="I524" s="609">
        <v>4.53983</v>
      </c>
      <c r="J524" s="135">
        <v>1331.23</v>
      </c>
      <c r="K524" s="609">
        <v>4.53983</v>
      </c>
      <c r="L524" s="135">
        <v>1331.23</v>
      </c>
      <c r="M524" s="164">
        <f t="shared" si="69"/>
        <v>0.0034102521728025964</v>
      </c>
      <c r="N524" s="185">
        <v>316.536</v>
      </c>
      <c r="O524" s="163">
        <f t="shared" si="70"/>
        <v>1.0794675817702426</v>
      </c>
      <c r="P524" s="185">
        <f t="shared" si="71"/>
        <v>204.6151303681558</v>
      </c>
      <c r="Q524" s="251">
        <f t="shared" si="72"/>
        <v>64.76805490621456</v>
      </c>
      <c r="S524" s="97"/>
      <c r="T524" s="97"/>
    </row>
    <row r="525" spans="1:20" ht="12.75" customHeight="1">
      <c r="A525" s="412"/>
      <c r="B525" s="36">
        <v>5</v>
      </c>
      <c r="C525" s="35" t="s">
        <v>587</v>
      </c>
      <c r="D525" s="36">
        <v>46</v>
      </c>
      <c r="E525" s="36">
        <v>1990</v>
      </c>
      <c r="F525" s="609">
        <f t="shared" si="68"/>
        <v>20.981</v>
      </c>
      <c r="G525" s="609">
        <v>4.34727</v>
      </c>
      <c r="H525" s="609">
        <v>7.36</v>
      </c>
      <c r="I525" s="609">
        <v>9.27373</v>
      </c>
      <c r="J525" s="135">
        <v>2558.37</v>
      </c>
      <c r="K525" s="609">
        <v>9.27373</v>
      </c>
      <c r="L525" s="135">
        <v>2558.37</v>
      </c>
      <c r="M525" s="164">
        <f t="shared" si="69"/>
        <v>0.003624858796812033</v>
      </c>
      <c r="N525" s="185">
        <v>316.536</v>
      </c>
      <c r="O525" s="163">
        <f t="shared" si="70"/>
        <v>1.1473983041076936</v>
      </c>
      <c r="P525" s="185">
        <f t="shared" si="71"/>
        <v>217.49152780872197</v>
      </c>
      <c r="Q525" s="251">
        <f t="shared" si="72"/>
        <v>68.8438982464616</v>
      </c>
      <c r="S525" s="97"/>
      <c r="T525" s="97"/>
    </row>
    <row r="526" spans="1:20" ht="12.75" customHeight="1">
      <c r="A526" s="412"/>
      <c r="B526" s="36">
        <v>6</v>
      </c>
      <c r="C526" s="35" t="s">
        <v>242</v>
      </c>
      <c r="D526" s="36">
        <v>12</v>
      </c>
      <c r="E526" s="36">
        <v>1979</v>
      </c>
      <c r="F526" s="609">
        <f t="shared" si="68"/>
        <v>5.3322</v>
      </c>
      <c r="G526" s="609">
        <v>0.778215</v>
      </c>
      <c r="H526" s="609">
        <v>1.84</v>
      </c>
      <c r="I526" s="609">
        <v>2.713985</v>
      </c>
      <c r="J526" s="135">
        <v>715.63</v>
      </c>
      <c r="K526" s="609">
        <v>2.713985</v>
      </c>
      <c r="L526" s="135">
        <v>715.63</v>
      </c>
      <c r="M526" s="164">
        <f t="shared" si="69"/>
        <v>0.00379244162486201</v>
      </c>
      <c r="N526" s="185">
        <v>316.536</v>
      </c>
      <c r="O526" s="163">
        <f t="shared" si="70"/>
        <v>1.2004443021673212</v>
      </c>
      <c r="P526" s="185">
        <f t="shared" si="71"/>
        <v>227.5464974917206</v>
      </c>
      <c r="Q526" s="251">
        <f t="shared" si="72"/>
        <v>72.02665813003927</v>
      </c>
      <c r="S526" s="97"/>
      <c r="T526" s="97"/>
    </row>
    <row r="527" spans="1:20" ht="12.75" customHeight="1">
      <c r="A527" s="412"/>
      <c r="B527" s="36">
        <v>7</v>
      </c>
      <c r="C527" s="35" t="s">
        <v>248</v>
      </c>
      <c r="D527" s="36">
        <v>32</v>
      </c>
      <c r="E527" s="36">
        <v>1974</v>
      </c>
      <c r="F527" s="609">
        <f t="shared" si="68"/>
        <v>15.603</v>
      </c>
      <c r="G527" s="609">
        <v>3.247035</v>
      </c>
      <c r="H527" s="609">
        <v>4.96</v>
      </c>
      <c r="I527" s="609">
        <v>7.395965</v>
      </c>
      <c r="J527" s="135">
        <v>1820.68</v>
      </c>
      <c r="K527" s="609">
        <v>7.395965</v>
      </c>
      <c r="L527" s="135">
        <v>1820.68</v>
      </c>
      <c r="M527" s="164">
        <f t="shared" si="69"/>
        <v>0.004062199288178044</v>
      </c>
      <c r="N527" s="185">
        <v>316.536</v>
      </c>
      <c r="O527" s="163">
        <f t="shared" si="70"/>
        <v>1.2858323138827252</v>
      </c>
      <c r="P527" s="185">
        <f t="shared" si="71"/>
        <v>243.73195729068263</v>
      </c>
      <c r="Q527" s="251">
        <f t="shared" si="72"/>
        <v>77.14993883296351</v>
      </c>
      <c r="S527" s="97"/>
      <c r="T527" s="97"/>
    </row>
    <row r="528" spans="1:20" ht="12.75" customHeight="1">
      <c r="A528" s="412"/>
      <c r="B528" s="36">
        <v>8</v>
      </c>
      <c r="C528" s="35" t="s">
        <v>247</v>
      </c>
      <c r="D528" s="36">
        <v>13</v>
      </c>
      <c r="E528" s="36">
        <v>1980</v>
      </c>
      <c r="F528" s="609">
        <f t="shared" si="68"/>
        <v>5.696</v>
      </c>
      <c r="G528" s="609">
        <v>0.91239</v>
      </c>
      <c r="H528" s="609">
        <v>1.92</v>
      </c>
      <c r="I528" s="609">
        <v>2.86361</v>
      </c>
      <c r="J528" s="135">
        <v>703.82</v>
      </c>
      <c r="K528" s="609">
        <v>2.86361</v>
      </c>
      <c r="L528" s="135">
        <v>703.82</v>
      </c>
      <c r="M528" s="164">
        <f t="shared" si="69"/>
        <v>0.004068668125372965</v>
      </c>
      <c r="N528" s="185">
        <v>316.536</v>
      </c>
      <c r="O528" s="163">
        <f t="shared" si="70"/>
        <v>1.2878799337330569</v>
      </c>
      <c r="P528" s="185">
        <f t="shared" si="71"/>
        <v>244.12008752237787</v>
      </c>
      <c r="Q528" s="251">
        <f t="shared" si="72"/>
        <v>77.2727960239834</v>
      </c>
      <c r="S528" s="97"/>
      <c r="T528" s="97"/>
    </row>
    <row r="529" spans="1:20" ht="13.5" customHeight="1">
      <c r="A529" s="412"/>
      <c r="B529" s="36">
        <v>9</v>
      </c>
      <c r="C529" s="35" t="s">
        <v>254</v>
      </c>
      <c r="D529" s="36">
        <v>5</v>
      </c>
      <c r="E529" s="36">
        <v>1825</v>
      </c>
      <c r="F529" s="609">
        <f t="shared" si="68"/>
        <v>0.993</v>
      </c>
      <c r="G529" s="609"/>
      <c r="H529" s="609"/>
      <c r="I529" s="609">
        <v>0.993</v>
      </c>
      <c r="J529" s="135">
        <v>230.53</v>
      </c>
      <c r="K529" s="609">
        <v>0.993</v>
      </c>
      <c r="L529" s="135">
        <v>230.53</v>
      </c>
      <c r="M529" s="164">
        <f t="shared" si="69"/>
        <v>0.004307465405804017</v>
      </c>
      <c r="N529" s="185">
        <v>316.536</v>
      </c>
      <c r="O529" s="163">
        <f t="shared" si="70"/>
        <v>1.3634678696915803</v>
      </c>
      <c r="P529" s="185">
        <f t="shared" si="71"/>
        <v>258.44792434824103</v>
      </c>
      <c r="Q529" s="251">
        <f t="shared" si="72"/>
        <v>81.80807218149482</v>
      </c>
      <c r="S529" s="97"/>
      <c r="T529" s="97"/>
    </row>
    <row r="530" spans="1:20" ht="13.5" customHeight="1" thickBot="1">
      <c r="A530" s="413"/>
      <c r="B530" s="103"/>
      <c r="C530" s="91" t="s">
        <v>245</v>
      </c>
      <c r="D530" s="39">
        <v>36</v>
      </c>
      <c r="E530" s="39">
        <v>1984</v>
      </c>
      <c r="F530" s="613">
        <f t="shared" si="68"/>
        <v>18.6</v>
      </c>
      <c r="G530" s="613">
        <v>3.633674</v>
      </c>
      <c r="H530" s="613">
        <v>5.76</v>
      </c>
      <c r="I530" s="613">
        <v>9.206326</v>
      </c>
      <c r="J530" s="276">
        <v>2108.99</v>
      </c>
      <c r="K530" s="613">
        <v>9.206326</v>
      </c>
      <c r="L530" s="276">
        <v>2108.99</v>
      </c>
      <c r="M530" s="332">
        <f t="shared" si="69"/>
        <v>0.004365277218004828</v>
      </c>
      <c r="N530" s="260">
        <v>316.536</v>
      </c>
      <c r="O530" s="260">
        <f t="shared" si="70"/>
        <v>1.3817673894783762</v>
      </c>
      <c r="P530" s="260">
        <f t="shared" si="71"/>
        <v>261.91663308028967</v>
      </c>
      <c r="Q530" s="261">
        <f t="shared" si="72"/>
        <v>82.90604336870257</v>
      </c>
      <c r="S530" s="97"/>
      <c r="T530" s="97"/>
    </row>
    <row r="531" spans="1:20" ht="12.75">
      <c r="A531" s="528" t="s">
        <v>30</v>
      </c>
      <c r="B531" s="366">
        <v>1</v>
      </c>
      <c r="C531" s="698" t="s">
        <v>588</v>
      </c>
      <c r="D531" s="653">
        <v>40</v>
      </c>
      <c r="E531" s="653">
        <v>1969</v>
      </c>
      <c r="F531" s="850">
        <f t="shared" si="68"/>
        <v>8.427</v>
      </c>
      <c r="G531" s="850"/>
      <c r="H531" s="850"/>
      <c r="I531" s="850">
        <v>8.427</v>
      </c>
      <c r="J531" s="918">
        <v>1881.33</v>
      </c>
      <c r="K531" s="850">
        <v>8.427</v>
      </c>
      <c r="L531" s="918">
        <v>1881.33</v>
      </c>
      <c r="M531" s="675">
        <f t="shared" si="69"/>
        <v>0.004479277957615092</v>
      </c>
      <c r="N531" s="674">
        <v>316.536</v>
      </c>
      <c r="O531" s="674">
        <f t="shared" si="70"/>
        <v>1.4178527275916506</v>
      </c>
      <c r="P531" s="674">
        <f t="shared" si="71"/>
        <v>268.7566774569055</v>
      </c>
      <c r="Q531" s="676">
        <f t="shared" si="72"/>
        <v>85.07116365549903</v>
      </c>
      <c r="S531" s="97"/>
      <c r="T531" s="97"/>
    </row>
    <row r="532" spans="1:20" ht="12.75">
      <c r="A532" s="530"/>
      <c r="B532" s="367">
        <v>2</v>
      </c>
      <c r="C532" s="633" t="s">
        <v>589</v>
      </c>
      <c r="D532" s="367">
        <v>54</v>
      </c>
      <c r="E532" s="367">
        <v>1992</v>
      </c>
      <c r="F532" s="677">
        <f t="shared" si="68"/>
        <v>31.115</v>
      </c>
      <c r="G532" s="677">
        <v>7.99683</v>
      </c>
      <c r="H532" s="677">
        <v>8.45</v>
      </c>
      <c r="I532" s="677">
        <v>14.66817</v>
      </c>
      <c r="J532" s="652">
        <v>3243.5</v>
      </c>
      <c r="K532" s="677">
        <v>14.66817</v>
      </c>
      <c r="L532" s="652">
        <v>3243.5</v>
      </c>
      <c r="M532" s="679">
        <f t="shared" si="69"/>
        <v>0.004522327732387852</v>
      </c>
      <c r="N532" s="674">
        <v>316.536</v>
      </c>
      <c r="O532" s="678">
        <f t="shared" si="70"/>
        <v>1.4314795310991213</v>
      </c>
      <c r="P532" s="674">
        <f t="shared" si="71"/>
        <v>271.33966394327115</v>
      </c>
      <c r="Q532" s="680">
        <f t="shared" si="72"/>
        <v>85.88877186594728</v>
      </c>
      <c r="S532" s="97"/>
      <c r="T532" s="97"/>
    </row>
    <row r="533" spans="1:20" ht="12.75">
      <c r="A533" s="530"/>
      <c r="B533" s="367">
        <v>3</v>
      </c>
      <c r="C533" s="633" t="s">
        <v>255</v>
      </c>
      <c r="D533" s="367">
        <v>5</v>
      </c>
      <c r="E533" s="367">
        <v>1961</v>
      </c>
      <c r="F533" s="677">
        <f t="shared" si="68"/>
        <v>0.8429</v>
      </c>
      <c r="G533" s="677"/>
      <c r="H533" s="677"/>
      <c r="I533" s="677">
        <v>0.8429</v>
      </c>
      <c r="J533" s="652">
        <v>186.3</v>
      </c>
      <c r="K533" s="677">
        <v>0.8429</v>
      </c>
      <c r="L533" s="652">
        <v>186.3</v>
      </c>
      <c r="M533" s="679">
        <f t="shared" si="69"/>
        <v>0.004524422973698336</v>
      </c>
      <c r="N533" s="674">
        <v>316.536</v>
      </c>
      <c r="O533" s="678">
        <f t="shared" si="70"/>
        <v>1.4321427504025763</v>
      </c>
      <c r="P533" s="674">
        <f t="shared" si="71"/>
        <v>271.46537842190014</v>
      </c>
      <c r="Q533" s="680">
        <f t="shared" si="72"/>
        <v>85.92856502415458</v>
      </c>
      <c r="S533" s="97"/>
      <c r="T533" s="97"/>
    </row>
    <row r="534" spans="1:20" ht="12.75">
      <c r="A534" s="530"/>
      <c r="B534" s="367">
        <v>4</v>
      </c>
      <c r="C534" s="633" t="s">
        <v>590</v>
      </c>
      <c r="D534" s="367">
        <v>17</v>
      </c>
      <c r="E534" s="367">
        <v>1962</v>
      </c>
      <c r="F534" s="677">
        <f t="shared" si="68"/>
        <v>3.784</v>
      </c>
      <c r="G534" s="677"/>
      <c r="H534" s="677"/>
      <c r="I534" s="677">
        <v>3.784</v>
      </c>
      <c r="J534" s="652">
        <v>821.23</v>
      </c>
      <c r="K534" s="677">
        <v>3.784</v>
      </c>
      <c r="L534" s="652">
        <v>821.23</v>
      </c>
      <c r="M534" s="679">
        <f t="shared" si="69"/>
        <v>0.004607722562497717</v>
      </c>
      <c r="N534" s="674">
        <v>316.536</v>
      </c>
      <c r="O534" s="678">
        <f t="shared" si="70"/>
        <v>1.4585100690427772</v>
      </c>
      <c r="P534" s="674">
        <f t="shared" si="71"/>
        <v>276.46335374986296</v>
      </c>
      <c r="Q534" s="680">
        <f t="shared" si="72"/>
        <v>87.51060414256662</v>
      </c>
      <c r="S534" s="97"/>
      <c r="T534" s="97"/>
    </row>
    <row r="535" spans="1:20" ht="12.75">
      <c r="A535" s="530"/>
      <c r="B535" s="367">
        <v>5</v>
      </c>
      <c r="C535" s="633" t="s">
        <v>591</v>
      </c>
      <c r="D535" s="367">
        <v>24</v>
      </c>
      <c r="E535" s="367">
        <v>1968</v>
      </c>
      <c r="F535" s="677">
        <f t="shared" si="68"/>
        <v>5.054</v>
      </c>
      <c r="G535" s="677"/>
      <c r="H535" s="677"/>
      <c r="I535" s="677">
        <v>5.054</v>
      </c>
      <c r="J535" s="652">
        <v>1023.47</v>
      </c>
      <c r="K535" s="677">
        <v>5.054</v>
      </c>
      <c r="L535" s="652">
        <v>1023.47</v>
      </c>
      <c r="M535" s="679">
        <f t="shared" si="69"/>
        <v>0.004938102728951508</v>
      </c>
      <c r="N535" s="674">
        <v>316.536</v>
      </c>
      <c r="O535" s="678">
        <f t="shared" si="70"/>
        <v>1.5630872854113946</v>
      </c>
      <c r="P535" s="674">
        <f t="shared" si="71"/>
        <v>296.2861637370905</v>
      </c>
      <c r="Q535" s="680">
        <f t="shared" si="72"/>
        <v>93.78523712468368</v>
      </c>
      <c r="S535" s="97"/>
      <c r="T535" s="97"/>
    </row>
    <row r="536" spans="1:20" ht="12.75">
      <c r="A536" s="530"/>
      <c r="B536" s="367">
        <v>6</v>
      </c>
      <c r="C536" s="633" t="s">
        <v>592</v>
      </c>
      <c r="D536" s="367">
        <v>22</v>
      </c>
      <c r="E536" s="367">
        <v>1974</v>
      </c>
      <c r="F536" s="677">
        <f t="shared" si="68"/>
        <v>9.655000000000001</v>
      </c>
      <c r="G536" s="677">
        <v>1.12707</v>
      </c>
      <c r="H536" s="677">
        <v>3.1984</v>
      </c>
      <c r="I536" s="677">
        <v>5.32953</v>
      </c>
      <c r="J536" s="652">
        <v>1064.69</v>
      </c>
      <c r="K536" s="677">
        <v>5.32953</v>
      </c>
      <c r="L536" s="652">
        <v>1064.69</v>
      </c>
      <c r="M536" s="679">
        <f t="shared" si="69"/>
        <v>0.0050057105824230525</v>
      </c>
      <c r="N536" s="674">
        <v>316.536</v>
      </c>
      <c r="O536" s="678">
        <f t="shared" si="70"/>
        <v>1.5844876049178633</v>
      </c>
      <c r="P536" s="674">
        <f t="shared" si="71"/>
        <v>300.34263494538317</v>
      </c>
      <c r="Q536" s="680">
        <f t="shared" si="72"/>
        <v>95.06925629507181</v>
      </c>
      <c r="S536" s="97"/>
      <c r="T536" s="97"/>
    </row>
    <row r="537" spans="1:20" ht="12.75">
      <c r="A537" s="530"/>
      <c r="B537" s="367">
        <v>7</v>
      </c>
      <c r="C537" s="633" t="s">
        <v>252</v>
      </c>
      <c r="D537" s="367">
        <v>24</v>
      </c>
      <c r="E537" s="367">
        <v>1964</v>
      </c>
      <c r="F537" s="677">
        <f t="shared" si="68"/>
        <v>5.763</v>
      </c>
      <c r="G537" s="677"/>
      <c r="H537" s="677"/>
      <c r="I537" s="677">
        <v>5.763</v>
      </c>
      <c r="J537" s="652">
        <v>1103</v>
      </c>
      <c r="K537" s="677">
        <v>5.763</v>
      </c>
      <c r="L537" s="652">
        <v>1103</v>
      </c>
      <c r="M537" s="679">
        <f t="shared" si="69"/>
        <v>0.005224841341795104</v>
      </c>
      <c r="N537" s="674">
        <v>316.536</v>
      </c>
      <c r="O537" s="678">
        <f t="shared" si="70"/>
        <v>1.6538503789664551</v>
      </c>
      <c r="P537" s="674">
        <f t="shared" si="71"/>
        <v>313.4904805077063</v>
      </c>
      <c r="Q537" s="680">
        <f t="shared" si="72"/>
        <v>99.23102273798733</v>
      </c>
      <c r="S537" s="97"/>
      <c r="T537" s="97"/>
    </row>
    <row r="538" spans="1:20" ht="12.75">
      <c r="A538" s="530"/>
      <c r="B538" s="367">
        <v>8</v>
      </c>
      <c r="C538" s="633" t="s">
        <v>256</v>
      </c>
      <c r="D538" s="367">
        <v>13</v>
      </c>
      <c r="E538" s="367">
        <v>1959</v>
      </c>
      <c r="F538" s="677">
        <f t="shared" si="68"/>
        <v>3.068</v>
      </c>
      <c r="G538" s="677"/>
      <c r="H538" s="677"/>
      <c r="I538" s="677">
        <v>3.068</v>
      </c>
      <c r="J538" s="652">
        <v>562.28</v>
      </c>
      <c r="K538" s="677">
        <v>3.068</v>
      </c>
      <c r="L538" s="652">
        <v>562.28</v>
      </c>
      <c r="M538" s="679">
        <f t="shared" si="69"/>
        <v>0.005456356263783169</v>
      </c>
      <c r="N538" s="674">
        <v>316.536</v>
      </c>
      <c r="O538" s="678">
        <f t="shared" si="70"/>
        <v>1.7271331863128692</v>
      </c>
      <c r="P538" s="674">
        <f t="shared" si="71"/>
        <v>327.3813758269901</v>
      </c>
      <c r="Q538" s="680">
        <f t="shared" si="72"/>
        <v>103.62799117877213</v>
      </c>
      <c r="S538" s="97"/>
      <c r="T538" s="97"/>
    </row>
    <row r="539" spans="1:20" ht="12.75">
      <c r="A539" s="532"/>
      <c r="B539" s="533">
        <v>9</v>
      </c>
      <c r="C539" s="633" t="s">
        <v>249</v>
      </c>
      <c r="D539" s="367">
        <v>24</v>
      </c>
      <c r="E539" s="367">
        <v>1968</v>
      </c>
      <c r="F539" s="677">
        <f t="shared" si="68"/>
        <v>5.538</v>
      </c>
      <c r="G539" s="677"/>
      <c r="H539" s="677"/>
      <c r="I539" s="677">
        <v>5.538</v>
      </c>
      <c r="J539" s="652">
        <v>1012.02</v>
      </c>
      <c r="K539" s="677">
        <v>5.538</v>
      </c>
      <c r="L539" s="652">
        <v>1012.02</v>
      </c>
      <c r="M539" s="679">
        <f t="shared" si="69"/>
        <v>0.005472223869093497</v>
      </c>
      <c r="N539" s="674">
        <v>316.536</v>
      </c>
      <c r="O539" s="678">
        <f t="shared" si="70"/>
        <v>1.7321558546273792</v>
      </c>
      <c r="P539" s="674">
        <f t="shared" si="71"/>
        <v>328.33343214560983</v>
      </c>
      <c r="Q539" s="680">
        <f t="shared" si="72"/>
        <v>103.92935127764275</v>
      </c>
      <c r="S539" s="97"/>
      <c r="T539" s="97"/>
    </row>
    <row r="540" spans="1:20" ht="13.5" thickBot="1">
      <c r="A540" s="534"/>
      <c r="B540" s="535">
        <v>10</v>
      </c>
      <c r="C540" s="699" t="s">
        <v>250</v>
      </c>
      <c r="D540" s="533">
        <v>24</v>
      </c>
      <c r="E540" s="533">
        <v>1966</v>
      </c>
      <c r="F540" s="672">
        <f t="shared" si="68"/>
        <v>6.247</v>
      </c>
      <c r="G540" s="672"/>
      <c r="H540" s="672"/>
      <c r="I540" s="672">
        <v>6.247</v>
      </c>
      <c r="J540" s="1169">
        <v>1087.21</v>
      </c>
      <c r="K540" s="672">
        <v>6.247</v>
      </c>
      <c r="L540" s="1169">
        <v>1087.21</v>
      </c>
      <c r="M540" s="684">
        <f t="shared" si="69"/>
        <v>0.005745900056106916</v>
      </c>
      <c r="N540" s="683">
        <v>316.536</v>
      </c>
      <c r="O540" s="683">
        <f t="shared" si="70"/>
        <v>1.8187842201598587</v>
      </c>
      <c r="P540" s="683">
        <f t="shared" si="71"/>
        <v>344.7540033664149</v>
      </c>
      <c r="Q540" s="685">
        <f t="shared" si="72"/>
        <v>109.12705320959151</v>
      </c>
      <c r="S540" s="97"/>
      <c r="T540" s="97"/>
    </row>
    <row r="541" spans="1:20" ht="12.75">
      <c r="A541" s="418" t="s">
        <v>12</v>
      </c>
      <c r="B541" s="40">
        <v>1</v>
      </c>
      <c r="C541" s="645" t="s">
        <v>251</v>
      </c>
      <c r="D541" s="40">
        <v>12</v>
      </c>
      <c r="E541" s="40">
        <v>1963</v>
      </c>
      <c r="F541" s="733">
        <f t="shared" si="68"/>
        <v>4.617</v>
      </c>
      <c r="G541" s="733">
        <v>0.64404</v>
      </c>
      <c r="H541" s="733">
        <v>0.705</v>
      </c>
      <c r="I541" s="733">
        <v>3.26796</v>
      </c>
      <c r="J541" s="953">
        <v>534.54</v>
      </c>
      <c r="K541" s="733">
        <v>3.26796</v>
      </c>
      <c r="L541" s="953">
        <v>534.54</v>
      </c>
      <c r="M541" s="714">
        <f t="shared" si="69"/>
        <v>0.006113592995846896</v>
      </c>
      <c r="N541" s="715">
        <v>316.536</v>
      </c>
      <c r="O541" s="715">
        <f t="shared" si="70"/>
        <v>1.9351722725333933</v>
      </c>
      <c r="P541" s="715">
        <f t="shared" si="71"/>
        <v>366.8155797508138</v>
      </c>
      <c r="Q541" s="716">
        <f t="shared" si="72"/>
        <v>116.11033635200361</v>
      </c>
      <c r="S541" s="97"/>
      <c r="T541" s="97"/>
    </row>
    <row r="542" spans="1:20" ht="12.75">
      <c r="A542" s="382"/>
      <c r="B542" s="42">
        <v>2</v>
      </c>
      <c r="C542" s="52" t="s">
        <v>257</v>
      </c>
      <c r="D542" s="42">
        <v>12</v>
      </c>
      <c r="E542" s="42">
        <v>1962</v>
      </c>
      <c r="F542" s="727">
        <f t="shared" si="68"/>
        <v>3.06</v>
      </c>
      <c r="G542" s="727"/>
      <c r="H542" s="727"/>
      <c r="I542" s="727">
        <v>3.06</v>
      </c>
      <c r="J542" s="751">
        <v>529.97</v>
      </c>
      <c r="K542" s="727">
        <v>3.00975</v>
      </c>
      <c r="L542" s="751">
        <v>486.49</v>
      </c>
      <c r="M542" s="721">
        <f t="shared" si="69"/>
        <v>0.006186663651873625</v>
      </c>
      <c r="N542" s="715">
        <v>316.536</v>
      </c>
      <c r="O542" s="722">
        <f t="shared" si="70"/>
        <v>1.9583017657094697</v>
      </c>
      <c r="P542" s="715">
        <f t="shared" si="71"/>
        <v>371.1998191124175</v>
      </c>
      <c r="Q542" s="723">
        <f t="shared" si="72"/>
        <v>117.49810594256819</v>
      </c>
      <c r="S542" s="97"/>
      <c r="T542" s="97"/>
    </row>
    <row r="543" spans="1:20" ht="12.75">
      <c r="A543" s="382"/>
      <c r="B543" s="42">
        <v>3</v>
      </c>
      <c r="C543" s="52" t="s">
        <v>261</v>
      </c>
      <c r="D543" s="42">
        <v>12</v>
      </c>
      <c r="E543" s="42">
        <v>1925</v>
      </c>
      <c r="F543" s="727">
        <f t="shared" si="68"/>
        <v>3.21</v>
      </c>
      <c r="G543" s="727"/>
      <c r="H543" s="727"/>
      <c r="I543" s="727">
        <v>3.21</v>
      </c>
      <c r="J543" s="751">
        <v>512.15</v>
      </c>
      <c r="K543" s="727">
        <v>3.21</v>
      </c>
      <c r="L543" s="751">
        <v>512.15</v>
      </c>
      <c r="M543" s="721">
        <f t="shared" si="69"/>
        <v>0.00626769501122718</v>
      </c>
      <c r="N543" s="715">
        <v>316.536</v>
      </c>
      <c r="O543" s="722">
        <f t="shared" si="70"/>
        <v>1.9839511080738066</v>
      </c>
      <c r="P543" s="715">
        <f t="shared" si="71"/>
        <v>376.0617006736308</v>
      </c>
      <c r="Q543" s="723">
        <f t="shared" si="72"/>
        <v>119.03706648442841</v>
      </c>
      <c r="S543" s="97"/>
      <c r="T543" s="97"/>
    </row>
    <row r="544" spans="1:20" ht="12.75">
      <c r="A544" s="382"/>
      <c r="B544" s="42">
        <v>4</v>
      </c>
      <c r="C544" s="52" t="s">
        <v>253</v>
      </c>
      <c r="D544" s="42">
        <v>47</v>
      </c>
      <c r="E544" s="42">
        <v>1969</v>
      </c>
      <c r="F544" s="727">
        <f t="shared" si="68"/>
        <v>22.224</v>
      </c>
      <c r="G544" s="727">
        <v>2.6835</v>
      </c>
      <c r="H544" s="727">
        <v>7.44</v>
      </c>
      <c r="I544" s="727">
        <v>12.1005</v>
      </c>
      <c r="J544" s="751">
        <v>1893.25</v>
      </c>
      <c r="K544" s="727">
        <v>12.1005</v>
      </c>
      <c r="L544" s="751">
        <v>1893.25</v>
      </c>
      <c r="M544" s="721">
        <f t="shared" si="69"/>
        <v>0.006391390466129672</v>
      </c>
      <c r="N544" s="715">
        <v>316.536</v>
      </c>
      <c r="O544" s="722">
        <f t="shared" si="70"/>
        <v>2.023105172586822</v>
      </c>
      <c r="P544" s="715">
        <f t="shared" si="71"/>
        <v>383.4834279677803</v>
      </c>
      <c r="Q544" s="723">
        <f t="shared" si="72"/>
        <v>121.3863103552093</v>
      </c>
      <c r="S544" s="97"/>
      <c r="T544" s="97"/>
    </row>
    <row r="545" spans="1:20" ht="12.75">
      <c r="A545" s="382"/>
      <c r="B545" s="42">
        <v>5</v>
      </c>
      <c r="C545" s="52" t="s">
        <v>259</v>
      </c>
      <c r="D545" s="42">
        <v>4</v>
      </c>
      <c r="E545" s="42">
        <v>1961</v>
      </c>
      <c r="F545" s="727">
        <f t="shared" si="68"/>
        <v>0.84</v>
      </c>
      <c r="G545" s="727"/>
      <c r="H545" s="727"/>
      <c r="I545" s="727">
        <v>0.84</v>
      </c>
      <c r="J545" s="751">
        <v>193.05</v>
      </c>
      <c r="K545" s="727">
        <v>0.77665</v>
      </c>
      <c r="L545" s="751">
        <v>120.27</v>
      </c>
      <c r="M545" s="721">
        <f t="shared" si="69"/>
        <v>0.006457553837199634</v>
      </c>
      <c r="N545" s="715">
        <v>316.536</v>
      </c>
      <c r="O545" s="722">
        <f t="shared" si="70"/>
        <v>2.0440482614118234</v>
      </c>
      <c r="P545" s="715">
        <f t="shared" si="71"/>
        <v>387.453230231978</v>
      </c>
      <c r="Q545" s="723">
        <f t="shared" si="72"/>
        <v>122.64289568470939</v>
      </c>
      <c r="S545" s="97"/>
      <c r="T545" s="97"/>
    </row>
    <row r="546" spans="1:20" ht="12.75">
      <c r="A546" s="382"/>
      <c r="B546" s="42">
        <v>6</v>
      </c>
      <c r="C546" s="52" t="s">
        <v>258</v>
      </c>
      <c r="D546" s="42">
        <v>12</v>
      </c>
      <c r="E546" s="42">
        <v>1968</v>
      </c>
      <c r="F546" s="727">
        <f t="shared" si="68"/>
        <v>6.226</v>
      </c>
      <c r="G546" s="727">
        <v>1.12707</v>
      </c>
      <c r="H546" s="727">
        <v>0.25</v>
      </c>
      <c r="I546" s="727">
        <v>4.84893</v>
      </c>
      <c r="J546" s="751">
        <v>725.5</v>
      </c>
      <c r="K546" s="727">
        <v>4.84893</v>
      </c>
      <c r="L546" s="751">
        <v>725.5</v>
      </c>
      <c r="M546" s="721">
        <f t="shared" si="69"/>
        <v>0.006683569951757409</v>
      </c>
      <c r="N546" s="715">
        <v>316.536</v>
      </c>
      <c r="O546" s="722">
        <f t="shared" si="70"/>
        <v>2.1155904982494835</v>
      </c>
      <c r="P546" s="715">
        <f t="shared" si="71"/>
        <v>401.01419710544457</v>
      </c>
      <c r="Q546" s="723">
        <f t="shared" si="72"/>
        <v>126.935429894969</v>
      </c>
      <c r="S546" s="97"/>
      <c r="T546" s="97"/>
    </row>
    <row r="547" spans="1:20" ht="12.75">
      <c r="A547" s="382"/>
      <c r="B547" s="42">
        <v>7</v>
      </c>
      <c r="C547" s="52" t="s">
        <v>158</v>
      </c>
      <c r="D547" s="42">
        <v>43</v>
      </c>
      <c r="E547" s="42">
        <v>1986</v>
      </c>
      <c r="F547" s="727">
        <f t="shared" si="68"/>
        <v>17.47</v>
      </c>
      <c r="G547" s="727">
        <v>2.917072</v>
      </c>
      <c r="H547" s="727">
        <v>4.67</v>
      </c>
      <c r="I547" s="727">
        <v>9.882928</v>
      </c>
      <c r="J547" s="751">
        <v>1472.24</v>
      </c>
      <c r="K547" s="727">
        <v>9.882928</v>
      </c>
      <c r="L547" s="751">
        <v>1472.24</v>
      </c>
      <c r="M547" s="721">
        <f t="shared" si="69"/>
        <v>0.00671285116557083</v>
      </c>
      <c r="N547" s="715">
        <v>316.536</v>
      </c>
      <c r="O547" s="722">
        <f t="shared" si="70"/>
        <v>2.1248590565451284</v>
      </c>
      <c r="P547" s="715">
        <f t="shared" si="71"/>
        <v>402.77106993424985</v>
      </c>
      <c r="Q547" s="723">
        <f t="shared" si="72"/>
        <v>127.49154339270771</v>
      </c>
      <c r="S547" s="97"/>
      <c r="T547" s="97"/>
    </row>
    <row r="548" spans="1:20" ht="12.75">
      <c r="A548" s="382"/>
      <c r="B548" s="42">
        <v>8</v>
      </c>
      <c r="C548" s="52" t="s">
        <v>260</v>
      </c>
      <c r="D548" s="42">
        <v>13</v>
      </c>
      <c r="E548" s="42">
        <v>1958</v>
      </c>
      <c r="F548" s="727">
        <f t="shared" si="68"/>
        <v>4.42</v>
      </c>
      <c r="G548" s="727"/>
      <c r="H548" s="727"/>
      <c r="I548" s="727">
        <v>4.42</v>
      </c>
      <c r="J548" s="751">
        <v>653.78</v>
      </c>
      <c r="K548" s="727">
        <v>4.165</v>
      </c>
      <c r="L548" s="751">
        <v>444.31</v>
      </c>
      <c r="M548" s="721">
        <f t="shared" si="69"/>
        <v>0.009374085660912426</v>
      </c>
      <c r="N548" s="715">
        <v>316.536</v>
      </c>
      <c r="O548" s="722">
        <f t="shared" si="70"/>
        <v>2.9672355787625757</v>
      </c>
      <c r="P548" s="715">
        <f t="shared" si="71"/>
        <v>562.4451396547456</v>
      </c>
      <c r="Q548" s="723">
        <f t="shared" si="72"/>
        <v>178.03413472575457</v>
      </c>
      <c r="S548" s="97"/>
      <c r="T548" s="97"/>
    </row>
    <row r="549" spans="1:20" ht="12.75">
      <c r="A549" s="382"/>
      <c r="B549" s="42">
        <v>9</v>
      </c>
      <c r="C549" s="52"/>
      <c r="D549" s="42"/>
      <c r="E549" s="42"/>
      <c r="F549" s="257"/>
      <c r="G549" s="176"/>
      <c r="H549" s="176"/>
      <c r="I549" s="176"/>
      <c r="J549" s="176"/>
      <c r="K549" s="176"/>
      <c r="L549" s="176"/>
      <c r="M549" s="264"/>
      <c r="N549" s="176"/>
      <c r="O549" s="176"/>
      <c r="P549" s="186"/>
      <c r="Q549" s="178"/>
      <c r="S549" s="97"/>
      <c r="T549" s="97"/>
    </row>
    <row r="550" spans="1:20" ht="13.5" thickBot="1">
      <c r="A550" s="383"/>
      <c r="B550" s="47">
        <v>10</v>
      </c>
      <c r="C550" s="56"/>
      <c r="D550" s="47"/>
      <c r="E550" s="47"/>
      <c r="F550" s="63"/>
      <c r="G550" s="63"/>
      <c r="H550" s="63"/>
      <c r="I550" s="63"/>
      <c r="J550" s="64"/>
      <c r="K550" s="57"/>
      <c r="L550" s="64"/>
      <c r="M550" s="89"/>
      <c r="N550" s="63"/>
      <c r="O550" s="105"/>
      <c r="P550" s="63"/>
      <c r="Q550" s="51"/>
      <c r="S550" s="97"/>
      <c r="T550" s="97"/>
    </row>
    <row r="551" spans="19:20" ht="12.75">
      <c r="S551" s="97"/>
      <c r="T551" s="97"/>
    </row>
    <row r="552" spans="19:20" ht="12.75">
      <c r="S552" s="97"/>
      <c r="T552" s="97"/>
    </row>
    <row r="553" spans="19:20" ht="12.75">
      <c r="S553" s="97"/>
      <c r="T553" s="97"/>
    </row>
    <row r="554" spans="1:20" ht="15">
      <c r="A554" s="419" t="s">
        <v>68</v>
      </c>
      <c r="B554" s="419"/>
      <c r="C554" s="419"/>
      <c r="D554" s="419"/>
      <c r="E554" s="419"/>
      <c r="F554" s="419"/>
      <c r="G554" s="419"/>
      <c r="H554" s="419"/>
      <c r="I554" s="419"/>
      <c r="J554" s="419"/>
      <c r="K554" s="419"/>
      <c r="L554" s="419"/>
      <c r="M554" s="419"/>
      <c r="N554" s="419"/>
      <c r="O554" s="419"/>
      <c r="P554" s="419"/>
      <c r="Q554" s="419"/>
      <c r="S554" s="97"/>
      <c r="T554" s="97"/>
    </row>
    <row r="555" spans="1:20" ht="13.5" thickBot="1">
      <c r="A555" s="420" t="s">
        <v>593</v>
      </c>
      <c r="B555" s="420"/>
      <c r="C555" s="420"/>
      <c r="D555" s="420"/>
      <c r="E555" s="420"/>
      <c r="F555" s="420"/>
      <c r="G555" s="420"/>
      <c r="H555" s="420"/>
      <c r="I555" s="420"/>
      <c r="J555" s="420"/>
      <c r="K555" s="420"/>
      <c r="L555" s="420"/>
      <c r="M555" s="420"/>
      <c r="N555" s="420"/>
      <c r="O555" s="420"/>
      <c r="P555" s="420"/>
      <c r="Q555" s="420"/>
      <c r="S555" s="97"/>
      <c r="T555" s="97"/>
    </row>
    <row r="556" spans="1:20" ht="12.75" customHeight="1">
      <c r="A556" s="395" t="s">
        <v>1</v>
      </c>
      <c r="B556" s="397" t="s">
        <v>0</v>
      </c>
      <c r="C556" s="384" t="s">
        <v>2</v>
      </c>
      <c r="D556" s="384" t="s">
        <v>3</v>
      </c>
      <c r="E556" s="384" t="s">
        <v>13</v>
      </c>
      <c r="F556" s="386" t="s">
        <v>14</v>
      </c>
      <c r="G556" s="387"/>
      <c r="H556" s="387"/>
      <c r="I556" s="388"/>
      <c r="J556" s="384" t="s">
        <v>4</v>
      </c>
      <c r="K556" s="384" t="s">
        <v>15</v>
      </c>
      <c r="L556" s="384" t="s">
        <v>5</v>
      </c>
      <c r="M556" s="384" t="s">
        <v>6</v>
      </c>
      <c r="N556" s="384" t="s">
        <v>16</v>
      </c>
      <c r="O556" s="389" t="s">
        <v>17</v>
      </c>
      <c r="P556" s="384" t="s">
        <v>25</v>
      </c>
      <c r="Q556" s="391" t="s">
        <v>26</v>
      </c>
      <c r="S556" s="97"/>
      <c r="T556" s="97"/>
    </row>
    <row r="557" spans="1:20" s="2" customFormat="1" ht="33.75">
      <c r="A557" s="396"/>
      <c r="B557" s="398"/>
      <c r="C557" s="399"/>
      <c r="D557" s="385"/>
      <c r="E557" s="385"/>
      <c r="F557" s="37" t="s">
        <v>18</v>
      </c>
      <c r="G557" s="37" t="s">
        <v>19</v>
      </c>
      <c r="H557" s="37" t="s">
        <v>20</v>
      </c>
      <c r="I557" s="37" t="s">
        <v>21</v>
      </c>
      <c r="J557" s="385"/>
      <c r="K557" s="385"/>
      <c r="L557" s="385"/>
      <c r="M557" s="385"/>
      <c r="N557" s="385"/>
      <c r="O557" s="390"/>
      <c r="P557" s="385"/>
      <c r="Q557" s="392"/>
      <c r="S557" s="97"/>
      <c r="T557" s="97"/>
    </row>
    <row r="558" spans="1:20" s="3" customFormat="1" ht="13.5" customHeight="1" thickBot="1">
      <c r="A558" s="414"/>
      <c r="B558" s="415"/>
      <c r="C558" s="416"/>
      <c r="D558" s="65" t="s">
        <v>7</v>
      </c>
      <c r="E558" s="65" t="s">
        <v>8</v>
      </c>
      <c r="F558" s="65" t="s">
        <v>9</v>
      </c>
      <c r="G558" s="65" t="s">
        <v>9</v>
      </c>
      <c r="H558" s="65" t="s">
        <v>9</v>
      </c>
      <c r="I558" s="65" t="s">
        <v>9</v>
      </c>
      <c r="J558" s="65" t="s">
        <v>22</v>
      </c>
      <c r="K558" s="65" t="s">
        <v>9</v>
      </c>
      <c r="L558" s="65" t="s">
        <v>22</v>
      </c>
      <c r="M558" s="65" t="s">
        <v>136</v>
      </c>
      <c r="N558" s="65" t="s">
        <v>10</v>
      </c>
      <c r="O558" s="65" t="s">
        <v>137</v>
      </c>
      <c r="P558" s="66" t="s">
        <v>27</v>
      </c>
      <c r="Q558" s="67" t="s">
        <v>28</v>
      </c>
      <c r="S558" s="97"/>
      <c r="T558" s="97"/>
    </row>
    <row r="559" spans="1:20" ht="12.75">
      <c r="A559" s="400" t="s">
        <v>11</v>
      </c>
      <c r="B559" s="68">
        <v>1</v>
      </c>
      <c r="C559" s="583" t="s">
        <v>594</v>
      </c>
      <c r="D559" s="584">
        <v>31</v>
      </c>
      <c r="E559" s="584">
        <v>2007</v>
      </c>
      <c r="F559" s="1027">
        <v>5.505</v>
      </c>
      <c r="G559" s="1027">
        <v>1.922139</v>
      </c>
      <c r="H559" s="1027">
        <v>3.388861</v>
      </c>
      <c r="I559" s="1027">
        <v>0.194</v>
      </c>
      <c r="J559" s="1035">
        <v>2889.73</v>
      </c>
      <c r="K559" s="1027">
        <v>0.19</v>
      </c>
      <c r="L559" s="1035">
        <v>2478.67</v>
      </c>
      <c r="M559" s="312">
        <f aca="true" t="shared" si="73" ref="M559:M598">K559/L559</f>
        <v>7.665401203064547E-05</v>
      </c>
      <c r="N559" s="311">
        <v>329.943</v>
      </c>
      <c r="O559" s="279">
        <f aca="true" t="shared" si="74" ref="O559:O598">M559*N559</f>
        <v>0.025291454691427257</v>
      </c>
      <c r="P559" s="279">
        <f aca="true" t="shared" si="75" ref="P559:P598">M559*60*1000</f>
        <v>4.599240721838728</v>
      </c>
      <c r="Q559" s="280">
        <f aca="true" t="shared" si="76" ref="Q559:Q598">P559*N559/1000</f>
        <v>1.5174872814856355</v>
      </c>
      <c r="R559" s="6"/>
      <c r="S559" s="97"/>
      <c r="T559" s="97"/>
    </row>
    <row r="560" spans="1:20" ht="12.75">
      <c r="A560" s="401"/>
      <c r="B560" s="32">
        <v>2</v>
      </c>
      <c r="C560" s="580" t="s">
        <v>595</v>
      </c>
      <c r="D560" s="313">
        <v>51</v>
      </c>
      <c r="E560" s="584">
        <v>2007</v>
      </c>
      <c r="F560" s="1028">
        <v>8.648</v>
      </c>
      <c r="G560" s="1028">
        <v>3.538839</v>
      </c>
      <c r="H560" s="1028">
        <v>4.494161</v>
      </c>
      <c r="I560" s="1028">
        <v>0.615</v>
      </c>
      <c r="J560" s="1036">
        <v>3983.31</v>
      </c>
      <c r="K560" s="1028">
        <v>0.62</v>
      </c>
      <c r="L560" s="1036">
        <v>3043.8</v>
      </c>
      <c r="M560" s="212">
        <f t="shared" si="73"/>
        <v>0.00020369275248045205</v>
      </c>
      <c r="N560" s="311">
        <v>334.412</v>
      </c>
      <c r="O560" s="214">
        <f t="shared" si="74"/>
        <v>0.06811730074249293</v>
      </c>
      <c r="P560" s="279">
        <f t="shared" si="75"/>
        <v>12.221565148827123</v>
      </c>
      <c r="Q560" s="215">
        <f t="shared" si="76"/>
        <v>4.087038044549575</v>
      </c>
      <c r="S560" s="97"/>
      <c r="T560" s="97"/>
    </row>
    <row r="561" spans="1:20" ht="12.75">
      <c r="A561" s="401"/>
      <c r="B561" s="32">
        <v>3</v>
      </c>
      <c r="C561" s="580" t="s">
        <v>596</v>
      </c>
      <c r="D561" s="313">
        <v>29</v>
      </c>
      <c r="E561" s="584">
        <v>2007</v>
      </c>
      <c r="F561" s="1028">
        <v>8.865</v>
      </c>
      <c r="G561" s="1028">
        <v>3.356667</v>
      </c>
      <c r="H561" s="1028">
        <v>2.483933</v>
      </c>
      <c r="I561" s="1028">
        <v>3.0244</v>
      </c>
      <c r="J561" s="1036">
        <v>2768.25</v>
      </c>
      <c r="K561" s="1028">
        <v>3.02</v>
      </c>
      <c r="L561" s="1036">
        <v>2582.18</v>
      </c>
      <c r="M561" s="212">
        <f t="shared" si="73"/>
        <v>0.00116955440751613</v>
      </c>
      <c r="N561" s="311">
        <v>334.412</v>
      </c>
      <c r="O561" s="214">
        <f t="shared" si="74"/>
        <v>0.39111302852628405</v>
      </c>
      <c r="P561" s="279">
        <f t="shared" si="75"/>
        <v>70.1732644509678</v>
      </c>
      <c r="Q561" s="215">
        <f t="shared" si="76"/>
        <v>23.466781711577045</v>
      </c>
      <c r="S561" s="97"/>
      <c r="T561" s="97"/>
    </row>
    <row r="562" spans="1:20" ht="12.75">
      <c r="A562" s="401"/>
      <c r="B562" s="32">
        <v>4</v>
      </c>
      <c r="C562" s="580" t="s">
        <v>262</v>
      </c>
      <c r="D562" s="313">
        <v>14</v>
      </c>
      <c r="E562" s="313">
        <v>2009</v>
      </c>
      <c r="F562" s="1028">
        <v>7.464</v>
      </c>
      <c r="G562" s="1028">
        <v>1.734</v>
      </c>
      <c r="H562" s="1028">
        <v>1.803</v>
      </c>
      <c r="I562" s="1028">
        <v>3.927</v>
      </c>
      <c r="J562" s="1036">
        <v>3628.96</v>
      </c>
      <c r="K562" s="1028">
        <v>2.37</v>
      </c>
      <c r="L562" s="1036">
        <v>1618.9</v>
      </c>
      <c r="M562" s="212">
        <f t="shared" si="73"/>
        <v>0.001463957007844833</v>
      </c>
      <c r="N562" s="311">
        <v>334.412</v>
      </c>
      <c r="O562" s="214">
        <f t="shared" si="74"/>
        <v>0.48956479090740623</v>
      </c>
      <c r="P562" s="279">
        <f t="shared" si="75"/>
        <v>87.83742047068998</v>
      </c>
      <c r="Q562" s="215">
        <f t="shared" si="76"/>
        <v>29.373887454444375</v>
      </c>
      <c r="S562" s="97"/>
      <c r="T562" s="97"/>
    </row>
    <row r="563" spans="1:20" ht="12.75">
      <c r="A563" s="401"/>
      <c r="B563" s="32">
        <v>5</v>
      </c>
      <c r="C563" s="580" t="s">
        <v>597</v>
      </c>
      <c r="D563" s="313">
        <v>20</v>
      </c>
      <c r="E563" s="313">
        <v>1975</v>
      </c>
      <c r="F563" s="1028">
        <v>6.512</v>
      </c>
      <c r="G563" s="1028">
        <v>1.581</v>
      </c>
      <c r="H563" s="1028">
        <v>3.2</v>
      </c>
      <c r="I563" s="1028">
        <v>1.731</v>
      </c>
      <c r="J563" s="1036">
        <v>1147.92</v>
      </c>
      <c r="K563" s="1028">
        <v>1.73</v>
      </c>
      <c r="L563" s="1036">
        <v>1147.92</v>
      </c>
      <c r="M563" s="212">
        <f t="shared" si="73"/>
        <v>0.001507073663669942</v>
      </c>
      <c r="N563" s="311">
        <v>329.943</v>
      </c>
      <c r="O563" s="214">
        <f t="shared" si="74"/>
        <v>0.49724840581225166</v>
      </c>
      <c r="P563" s="279">
        <f t="shared" si="75"/>
        <v>90.42441982019652</v>
      </c>
      <c r="Q563" s="215">
        <f t="shared" si="76"/>
        <v>29.834904348735098</v>
      </c>
      <c r="S563" s="97"/>
      <c r="T563" s="97"/>
    </row>
    <row r="564" spans="1:20" ht="12.75">
      <c r="A564" s="401"/>
      <c r="B564" s="32">
        <v>6</v>
      </c>
      <c r="C564" s="580" t="s">
        <v>598</v>
      </c>
      <c r="D564" s="313">
        <v>57</v>
      </c>
      <c r="E564" s="313">
        <v>2007</v>
      </c>
      <c r="F564" s="1028">
        <v>7.421</v>
      </c>
      <c r="G564" s="1028">
        <v>2.476611</v>
      </c>
      <c r="H564" s="1028">
        <v>0.725389</v>
      </c>
      <c r="I564" s="1028">
        <v>4.219</v>
      </c>
      <c r="J564" s="1036">
        <v>4052.24</v>
      </c>
      <c r="K564" s="1028">
        <v>4.22</v>
      </c>
      <c r="L564" s="1036">
        <v>2623.01</v>
      </c>
      <c r="M564" s="212">
        <f t="shared" si="73"/>
        <v>0.001608838700576818</v>
      </c>
      <c r="N564" s="311">
        <v>334.412</v>
      </c>
      <c r="O564" s="214">
        <f t="shared" si="74"/>
        <v>0.5380149675372948</v>
      </c>
      <c r="P564" s="279">
        <f t="shared" si="75"/>
        <v>96.53032203460909</v>
      </c>
      <c r="Q564" s="215">
        <f t="shared" si="76"/>
        <v>32.28089805223769</v>
      </c>
      <c r="S564" s="97"/>
      <c r="T564" s="97"/>
    </row>
    <row r="565" spans="1:20" ht="12.75">
      <c r="A565" s="401"/>
      <c r="B565" s="32">
        <v>7</v>
      </c>
      <c r="C565" s="580" t="s">
        <v>599</v>
      </c>
      <c r="D565" s="313">
        <v>24</v>
      </c>
      <c r="E565" s="313">
        <v>2010</v>
      </c>
      <c r="F565" s="1028">
        <v>4.2279</v>
      </c>
      <c r="G565" s="1028">
        <v>0.357</v>
      </c>
      <c r="H565" s="1028">
        <v>1.92</v>
      </c>
      <c r="I565" s="1028">
        <v>1.9509</v>
      </c>
      <c r="J565" s="1036">
        <v>1015.21</v>
      </c>
      <c r="K565" s="1028">
        <v>1.95</v>
      </c>
      <c r="L565" s="1036">
        <v>1015.21</v>
      </c>
      <c r="M565" s="212">
        <f t="shared" si="73"/>
        <v>0.0019207848622452496</v>
      </c>
      <c r="N565" s="311">
        <v>329.943</v>
      </c>
      <c r="O565" s="214">
        <f t="shared" si="74"/>
        <v>0.6337495198037844</v>
      </c>
      <c r="P565" s="279">
        <f t="shared" si="75"/>
        <v>115.24709173471499</v>
      </c>
      <c r="Q565" s="215">
        <f t="shared" si="76"/>
        <v>38.02497118822706</v>
      </c>
      <c r="S565" s="97"/>
      <c r="T565" s="97"/>
    </row>
    <row r="566" spans="1:20" ht="12.75">
      <c r="A566" s="401"/>
      <c r="B566" s="32">
        <v>8</v>
      </c>
      <c r="C566" s="580" t="s">
        <v>600</v>
      </c>
      <c r="D566" s="313">
        <v>12</v>
      </c>
      <c r="E566" s="313">
        <v>2007</v>
      </c>
      <c r="F566" s="1028">
        <v>2.48</v>
      </c>
      <c r="G566" s="1028">
        <v>0.255</v>
      </c>
      <c r="H566" s="1028">
        <v>0.502</v>
      </c>
      <c r="I566" s="1028">
        <v>1.723</v>
      </c>
      <c r="J566" s="1036">
        <v>1168.64</v>
      </c>
      <c r="K566" s="1028">
        <v>1.66</v>
      </c>
      <c r="L566" s="1036">
        <v>833</v>
      </c>
      <c r="M566" s="212">
        <f t="shared" si="73"/>
        <v>0.0019927971188475387</v>
      </c>
      <c r="N566" s="311">
        <v>329.943</v>
      </c>
      <c r="O566" s="214">
        <f t="shared" si="74"/>
        <v>0.6575094597839134</v>
      </c>
      <c r="P566" s="279">
        <f t="shared" si="75"/>
        <v>119.56782713085232</v>
      </c>
      <c r="Q566" s="215">
        <f t="shared" si="76"/>
        <v>39.450567587034804</v>
      </c>
      <c r="S566" s="97"/>
      <c r="T566" s="97"/>
    </row>
    <row r="567" spans="1:20" ht="12.75">
      <c r="A567" s="401"/>
      <c r="B567" s="32">
        <v>9</v>
      </c>
      <c r="C567" s="580" t="s">
        <v>601</v>
      </c>
      <c r="D567" s="313">
        <v>20</v>
      </c>
      <c r="E567" s="313">
        <v>1975</v>
      </c>
      <c r="F567" s="1028">
        <v>7.046</v>
      </c>
      <c r="G567" s="1028">
        <v>1.5045</v>
      </c>
      <c r="H567" s="1028">
        <v>3.2</v>
      </c>
      <c r="I567" s="1028">
        <v>2.3415</v>
      </c>
      <c r="J567" s="1036">
        <v>1127.03</v>
      </c>
      <c r="K567" s="1028">
        <v>2.34</v>
      </c>
      <c r="L567" s="1036">
        <v>1127.03</v>
      </c>
      <c r="M567" s="212">
        <f t="shared" si="73"/>
        <v>0.0020762535158780158</v>
      </c>
      <c r="N567" s="311">
        <v>329.943</v>
      </c>
      <c r="O567" s="214">
        <f t="shared" si="74"/>
        <v>0.6850453137893401</v>
      </c>
      <c r="P567" s="279">
        <f t="shared" si="75"/>
        <v>124.57521095268095</v>
      </c>
      <c r="Q567" s="215">
        <f t="shared" si="76"/>
        <v>41.102718827360405</v>
      </c>
      <c r="S567" s="97"/>
      <c r="T567" s="97"/>
    </row>
    <row r="568" spans="1:20" ht="13.5" thickBot="1">
      <c r="A568" s="402"/>
      <c r="B568" s="70">
        <v>10</v>
      </c>
      <c r="C568" s="587" t="s">
        <v>602</v>
      </c>
      <c r="D568" s="369">
        <v>44</v>
      </c>
      <c r="E568" s="369">
        <v>2008</v>
      </c>
      <c r="F568" s="1029">
        <v>14.463</v>
      </c>
      <c r="G568" s="1029">
        <v>4.182</v>
      </c>
      <c r="H568" s="1029">
        <v>2.043</v>
      </c>
      <c r="I568" s="1029">
        <v>8.238</v>
      </c>
      <c r="J568" s="1037">
        <v>3663.85</v>
      </c>
      <c r="K568" s="1029">
        <v>6.58</v>
      </c>
      <c r="L568" s="1037">
        <v>3020.52</v>
      </c>
      <c r="M568" s="1068">
        <f t="shared" si="73"/>
        <v>0.002178432852621403</v>
      </c>
      <c r="N568" s="1012">
        <v>334.412</v>
      </c>
      <c r="O568" s="1170">
        <f t="shared" si="74"/>
        <v>0.7284940871108285</v>
      </c>
      <c r="P568" s="1013">
        <f t="shared" si="75"/>
        <v>130.70597115728415</v>
      </c>
      <c r="Q568" s="1014">
        <f t="shared" si="76"/>
        <v>43.709645226649705</v>
      </c>
      <c r="S568" s="97"/>
      <c r="T568" s="97"/>
    </row>
    <row r="569" spans="1:20" ht="11.25" customHeight="1">
      <c r="A569" s="403" t="s">
        <v>29</v>
      </c>
      <c r="B569" s="73">
        <v>1</v>
      </c>
      <c r="C569" s="281" t="s">
        <v>603</v>
      </c>
      <c r="D569" s="197">
        <v>19</v>
      </c>
      <c r="E569" s="197">
        <v>1996</v>
      </c>
      <c r="F569" s="1077">
        <v>9.573</v>
      </c>
      <c r="G569" s="1077">
        <v>3.460452</v>
      </c>
      <c r="H569" s="1077">
        <v>3.04</v>
      </c>
      <c r="I569" s="301">
        <v>3.072548</v>
      </c>
      <c r="J569" s="1081">
        <v>1389.83</v>
      </c>
      <c r="K569" s="1077">
        <v>3.07</v>
      </c>
      <c r="L569" s="1081">
        <v>1389.83</v>
      </c>
      <c r="M569" s="287">
        <f t="shared" si="73"/>
        <v>0.0022089032471597245</v>
      </c>
      <c r="N569" s="302">
        <v>334.412</v>
      </c>
      <c r="O569" s="286">
        <f t="shared" si="74"/>
        <v>0.7386837526891777</v>
      </c>
      <c r="P569" s="286">
        <f t="shared" si="75"/>
        <v>132.53419482958347</v>
      </c>
      <c r="Q569" s="288">
        <f t="shared" si="76"/>
        <v>44.32102516135066</v>
      </c>
      <c r="S569" s="97"/>
      <c r="T569" s="97"/>
    </row>
    <row r="570" spans="1:20" ht="12.75" customHeight="1">
      <c r="A570" s="404"/>
      <c r="B570" s="36">
        <v>2</v>
      </c>
      <c r="C570" s="281" t="s">
        <v>604</v>
      </c>
      <c r="D570" s="197">
        <v>61</v>
      </c>
      <c r="E570" s="197">
        <v>1965</v>
      </c>
      <c r="F570" s="301">
        <v>24.231</v>
      </c>
      <c r="G570" s="301">
        <v>8.496804</v>
      </c>
      <c r="H570" s="301">
        <v>9.6</v>
      </c>
      <c r="I570" s="301">
        <v>6.1342</v>
      </c>
      <c r="J570" s="1039">
        <v>2763.12</v>
      </c>
      <c r="K570" s="301">
        <v>6.13</v>
      </c>
      <c r="L570" s="1039">
        <v>2763.12</v>
      </c>
      <c r="M570" s="287">
        <f t="shared" si="73"/>
        <v>0.0022185066157097773</v>
      </c>
      <c r="N570" s="302">
        <v>329.943</v>
      </c>
      <c r="O570" s="286">
        <f t="shared" si="74"/>
        <v>0.731980728307131</v>
      </c>
      <c r="P570" s="286">
        <f t="shared" si="75"/>
        <v>133.11039694258665</v>
      </c>
      <c r="Q570" s="288">
        <f t="shared" si="76"/>
        <v>43.918843698427864</v>
      </c>
      <c r="S570" s="97"/>
      <c r="T570" s="97"/>
    </row>
    <row r="571" spans="1:20" ht="12.75" customHeight="1">
      <c r="A571" s="404"/>
      <c r="B571" s="36">
        <v>3</v>
      </c>
      <c r="C571" s="281" t="s">
        <v>605</v>
      </c>
      <c r="D571" s="197">
        <v>50</v>
      </c>
      <c r="E571" s="197">
        <v>1971</v>
      </c>
      <c r="F571" s="301">
        <v>17.314</v>
      </c>
      <c r="G571" s="301">
        <v>3.519</v>
      </c>
      <c r="H571" s="301">
        <v>8</v>
      </c>
      <c r="I571" s="301">
        <v>5.795</v>
      </c>
      <c r="J571" s="1039">
        <v>2592.75</v>
      </c>
      <c r="K571" s="301">
        <v>5.8</v>
      </c>
      <c r="L571" s="1039">
        <v>2592.75</v>
      </c>
      <c r="M571" s="220">
        <f t="shared" si="73"/>
        <v>0.002237007038858355</v>
      </c>
      <c r="N571" s="302">
        <v>327.981</v>
      </c>
      <c r="O571" s="286">
        <f t="shared" si="74"/>
        <v>0.7336958056118021</v>
      </c>
      <c r="P571" s="286">
        <f t="shared" si="75"/>
        <v>134.2204223315013</v>
      </c>
      <c r="Q571" s="223">
        <f t="shared" si="76"/>
        <v>44.02174833670813</v>
      </c>
      <c r="S571" s="97"/>
      <c r="T571" s="97"/>
    </row>
    <row r="572" spans="1:20" ht="12.75" customHeight="1">
      <c r="A572" s="404"/>
      <c r="B572" s="36">
        <v>4</v>
      </c>
      <c r="C572" s="281" t="s">
        <v>606</v>
      </c>
      <c r="D572" s="197">
        <v>50</v>
      </c>
      <c r="E572" s="197">
        <v>1972</v>
      </c>
      <c r="F572" s="301">
        <v>19.622</v>
      </c>
      <c r="G572" s="301">
        <v>5.7885</v>
      </c>
      <c r="H572" s="301">
        <v>7.84</v>
      </c>
      <c r="I572" s="301">
        <v>5.9935</v>
      </c>
      <c r="J572" s="1039">
        <v>2581.47</v>
      </c>
      <c r="K572" s="301">
        <v>5.99</v>
      </c>
      <c r="L572" s="1039">
        <v>2581.47</v>
      </c>
      <c r="M572" s="220">
        <f t="shared" si="73"/>
        <v>0.0023203833474725643</v>
      </c>
      <c r="N572" s="302">
        <v>329.943</v>
      </c>
      <c r="O572" s="222">
        <f t="shared" si="74"/>
        <v>0.7655942428151402</v>
      </c>
      <c r="P572" s="286">
        <f t="shared" si="75"/>
        <v>139.22300084835385</v>
      </c>
      <c r="Q572" s="223">
        <f t="shared" si="76"/>
        <v>45.93565456890841</v>
      </c>
      <c r="S572" s="97"/>
      <c r="T572" s="97"/>
    </row>
    <row r="573" spans="1:20" ht="12.75" customHeight="1">
      <c r="A573" s="404"/>
      <c r="B573" s="36">
        <v>5</v>
      </c>
      <c r="C573" s="281" t="s">
        <v>264</v>
      </c>
      <c r="D573" s="197">
        <v>82</v>
      </c>
      <c r="E573" s="197">
        <v>2007</v>
      </c>
      <c r="F573" s="301">
        <v>27.633</v>
      </c>
      <c r="G573" s="301">
        <v>4.947</v>
      </c>
      <c r="H573" s="301">
        <v>5.863</v>
      </c>
      <c r="I573" s="301">
        <v>16.823</v>
      </c>
      <c r="J573" s="1039">
        <v>6753.11</v>
      </c>
      <c r="K573" s="301">
        <v>13.15</v>
      </c>
      <c r="L573" s="1039">
        <v>5442.66</v>
      </c>
      <c r="M573" s="220">
        <f t="shared" si="73"/>
        <v>0.0024160980108990826</v>
      </c>
      <c r="N573" s="302">
        <v>334.412</v>
      </c>
      <c r="O573" s="222">
        <f t="shared" si="74"/>
        <v>0.807972168020784</v>
      </c>
      <c r="P573" s="286">
        <f t="shared" si="75"/>
        <v>144.96588065394494</v>
      </c>
      <c r="Q573" s="223">
        <f t="shared" si="76"/>
        <v>48.47833008124703</v>
      </c>
      <c r="S573" s="97"/>
      <c r="T573" s="97"/>
    </row>
    <row r="574" spans="1:20" ht="12.75" customHeight="1">
      <c r="A574" s="404"/>
      <c r="B574" s="36">
        <v>6</v>
      </c>
      <c r="C574" s="281" t="s">
        <v>264</v>
      </c>
      <c r="D574" s="197">
        <v>38</v>
      </c>
      <c r="E574" s="197">
        <v>2007</v>
      </c>
      <c r="F574" s="301">
        <v>20.188</v>
      </c>
      <c r="G574" s="301">
        <v>3.468</v>
      </c>
      <c r="H574" s="301">
        <v>3.385</v>
      </c>
      <c r="I574" s="301">
        <v>13.335</v>
      </c>
      <c r="J574" s="1039">
        <v>4060.06</v>
      </c>
      <c r="K574" s="301">
        <v>7.11</v>
      </c>
      <c r="L574" s="1039">
        <v>2722.37</v>
      </c>
      <c r="M574" s="220">
        <f t="shared" si="73"/>
        <v>0.002611694956967642</v>
      </c>
      <c r="N574" s="302">
        <v>334.412</v>
      </c>
      <c r="O574" s="222">
        <f t="shared" si="74"/>
        <v>0.8733821339494631</v>
      </c>
      <c r="P574" s="286">
        <f t="shared" si="75"/>
        <v>156.70169741805853</v>
      </c>
      <c r="Q574" s="223">
        <f t="shared" si="76"/>
        <v>52.402928036967786</v>
      </c>
      <c r="S574" s="97"/>
      <c r="T574" s="97"/>
    </row>
    <row r="575" spans="1:20" ht="12.75" customHeight="1">
      <c r="A575" s="404"/>
      <c r="B575" s="36">
        <v>7</v>
      </c>
      <c r="C575" s="281" t="s">
        <v>607</v>
      </c>
      <c r="D575" s="197">
        <v>19</v>
      </c>
      <c r="E575" s="197">
        <v>1993</v>
      </c>
      <c r="F575" s="301">
        <v>9.347</v>
      </c>
      <c r="G575" s="301">
        <v>2.6061</v>
      </c>
      <c r="H575" s="301">
        <v>3.04</v>
      </c>
      <c r="I575" s="301">
        <v>3.7009</v>
      </c>
      <c r="J575" s="1039">
        <v>1391.13</v>
      </c>
      <c r="K575" s="301">
        <v>3.7</v>
      </c>
      <c r="L575" s="1039">
        <v>1391.13</v>
      </c>
      <c r="M575" s="220">
        <f t="shared" si="73"/>
        <v>0.002659708294695679</v>
      </c>
      <c r="N575" s="302">
        <v>334.412</v>
      </c>
      <c r="O575" s="222">
        <f t="shared" si="74"/>
        <v>0.8894383702457713</v>
      </c>
      <c r="P575" s="286">
        <f t="shared" si="75"/>
        <v>159.58249768174073</v>
      </c>
      <c r="Q575" s="223">
        <f t="shared" si="76"/>
        <v>53.36630221474628</v>
      </c>
      <c r="S575" s="97"/>
      <c r="T575" s="97"/>
    </row>
    <row r="576" spans="1:20" ht="12.75" customHeight="1">
      <c r="A576" s="404"/>
      <c r="B576" s="36">
        <v>8</v>
      </c>
      <c r="C576" s="281" t="s">
        <v>265</v>
      </c>
      <c r="D576" s="197">
        <v>50</v>
      </c>
      <c r="E576" s="197">
        <v>1970</v>
      </c>
      <c r="F576" s="301">
        <v>20.132</v>
      </c>
      <c r="G576" s="301">
        <v>5.151</v>
      </c>
      <c r="H576" s="301">
        <v>8</v>
      </c>
      <c r="I576" s="301">
        <v>6.981</v>
      </c>
      <c r="J576" s="1039">
        <v>2565.91</v>
      </c>
      <c r="K576" s="301">
        <v>6.98</v>
      </c>
      <c r="L576" s="1039">
        <v>2565.91</v>
      </c>
      <c r="M576" s="220">
        <f t="shared" si="73"/>
        <v>0.0027202824728848637</v>
      </c>
      <c r="N576" s="302">
        <v>334.412</v>
      </c>
      <c r="O576" s="222">
        <f t="shared" si="74"/>
        <v>0.9096951023223729</v>
      </c>
      <c r="P576" s="286">
        <f t="shared" si="75"/>
        <v>163.21694837309184</v>
      </c>
      <c r="Q576" s="223">
        <f t="shared" si="76"/>
        <v>54.58170613934239</v>
      </c>
      <c r="S576" s="97"/>
      <c r="T576" s="97"/>
    </row>
    <row r="577" spans="1:20" ht="13.5" customHeight="1">
      <c r="A577" s="404"/>
      <c r="B577" s="36">
        <v>9</v>
      </c>
      <c r="C577" s="281" t="s">
        <v>608</v>
      </c>
      <c r="D577" s="197">
        <v>39</v>
      </c>
      <c r="E577" s="197">
        <v>2007</v>
      </c>
      <c r="F577" s="301">
        <v>9.84</v>
      </c>
      <c r="G577" s="301">
        <v>1.836</v>
      </c>
      <c r="H577" s="301" t="s">
        <v>263</v>
      </c>
      <c r="I577" s="301">
        <v>8.004</v>
      </c>
      <c r="J577" s="1039">
        <v>2880.53</v>
      </c>
      <c r="K577" s="301">
        <v>7.24</v>
      </c>
      <c r="L577" s="1039">
        <v>2457.47</v>
      </c>
      <c r="M577" s="220">
        <f t="shared" si="73"/>
        <v>0.00294611938294262</v>
      </c>
      <c r="N577" s="302">
        <v>329.943</v>
      </c>
      <c r="O577" s="222">
        <f t="shared" si="74"/>
        <v>0.9720514675662368</v>
      </c>
      <c r="P577" s="286">
        <f t="shared" si="75"/>
        <v>176.7671629765572</v>
      </c>
      <c r="Q577" s="223">
        <f t="shared" si="76"/>
        <v>58.3230880539742</v>
      </c>
      <c r="S577" s="97"/>
      <c r="T577" s="97"/>
    </row>
    <row r="578" spans="1:20" ht="13.5" customHeight="1" thickBot="1">
      <c r="A578" s="405"/>
      <c r="B578" s="103"/>
      <c r="C578" s="281" t="s">
        <v>266</v>
      </c>
      <c r="D578" s="197">
        <v>50</v>
      </c>
      <c r="E578" s="197">
        <v>1971</v>
      </c>
      <c r="F578" s="301">
        <v>20.946</v>
      </c>
      <c r="G578" s="301">
        <v>4.8144</v>
      </c>
      <c r="H578" s="301">
        <v>8</v>
      </c>
      <c r="I578" s="301">
        <v>8.1316</v>
      </c>
      <c r="J578" s="1039">
        <v>2635.3</v>
      </c>
      <c r="K578" s="301">
        <v>8.13</v>
      </c>
      <c r="L578" s="1173">
        <v>2635.3</v>
      </c>
      <c r="M578" s="289">
        <f t="shared" si="73"/>
        <v>0.0030850377566121506</v>
      </c>
      <c r="N578" s="304">
        <v>329.943</v>
      </c>
      <c r="O578" s="291">
        <f t="shared" si="74"/>
        <v>1.0178866125298827</v>
      </c>
      <c r="P578" s="291">
        <f t="shared" si="75"/>
        <v>185.10226539672902</v>
      </c>
      <c r="Q578" s="292">
        <f t="shared" si="76"/>
        <v>61.073196751792956</v>
      </c>
      <c r="S578" s="97"/>
      <c r="T578" s="97"/>
    </row>
    <row r="579" spans="1:20" ht="12.75">
      <c r="A579" s="700" t="s">
        <v>47</v>
      </c>
      <c r="B579" s="653">
        <v>1</v>
      </c>
      <c r="C579" s="529" t="s">
        <v>609</v>
      </c>
      <c r="D579" s="371">
        <v>19</v>
      </c>
      <c r="E579" s="371">
        <v>1984</v>
      </c>
      <c r="F579" s="1078">
        <v>5.282</v>
      </c>
      <c r="G579" s="1078" t="s">
        <v>263</v>
      </c>
      <c r="H579" s="1078" t="s">
        <v>263</v>
      </c>
      <c r="I579" s="1078">
        <v>5.282</v>
      </c>
      <c r="J579" s="1082">
        <v>761.67</v>
      </c>
      <c r="K579" s="1078">
        <v>5.17</v>
      </c>
      <c r="L579" s="1082">
        <v>677.65</v>
      </c>
      <c r="M579" s="1171">
        <f t="shared" si="73"/>
        <v>0.007629307164465432</v>
      </c>
      <c r="N579" s="1015">
        <v>329.943</v>
      </c>
      <c r="O579" s="1016">
        <f t="shared" si="74"/>
        <v>2.5172364937652176</v>
      </c>
      <c r="P579" s="1016">
        <f t="shared" si="75"/>
        <v>457.75842986792594</v>
      </c>
      <c r="Q579" s="1017">
        <f t="shared" si="76"/>
        <v>151.0341896259131</v>
      </c>
      <c r="S579" s="97"/>
      <c r="T579" s="97"/>
    </row>
    <row r="580" spans="1:20" ht="12.75">
      <c r="A580" s="530"/>
      <c r="B580" s="367">
        <v>2</v>
      </c>
      <c r="C580" s="531" t="s">
        <v>610</v>
      </c>
      <c r="D580" s="368">
        <v>20</v>
      </c>
      <c r="E580" s="368">
        <v>1990</v>
      </c>
      <c r="F580" s="1031">
        <v>10.4</v>
      </c>
      <c r="G580" s="1031">
        <v>1.275</v>
      </c>
      <c r="H580" s="1031">
        <v>3.21</v>
      </c>
      <c r="I580" s="1031">
        <v>5.915</v>
      </c>
      <c r="J580" s="1042">
        <v>766.34</v>
      </c>
      <c r="K580" s="1031">
        <v>5.31</v>
      </c>
      <c r="L580" s="1042">
        <v>687.87</v>
      </c>
      <c r="M580" s="1073">
        <f t="shared" si="73"/>
        <v>0.0077194818788433855</v>
      </c>
      <c r="N580" s="1015">
        <v>329.943</v>
      </c>
      <c r="O580" s="1019">
        <f t="shared" si="74"/>
        <v>2.546989009551223</v>
      </c>
      <c r="P580" s="1016">
        <f t="shared" si="75"/>
        <v>463.1689127306031</v>
      </c>
      <c r="Q580" s="1020">
        <f t="shared" si="76"/>
        <v>152.81934057307336</v>
      </c>
      <c r="S580" s="97"/>
      <c r="T580" s="97"/>
    </row>
    <row r="581" spans="1:20" ht="12.75">
      <c r="A581" s="530"/>
      <c r="B581" s="367">
        <v>3</v>
      </c>
      <c r="C581" s="531" t="s">
        <v>611</v>
      </c>
      <c r="D581" s="368">
        <v>11</v>
      </c>
      <c r="E581" s="368">
        <v>1979</v>
      </c>
      <c r="F581" s="1031">
        <v>4.0676</v>
      </c>
      <c r="G581" s="1031" t="s">
        <v>263</v>
      </c>
      <c r="H581" s="1031" t="s">
        <v>263</v>
      </c>
      <c r="I581" s="1031">
        <v>4.0676</v>
      </c>
      <c r="J581" s="1042">
        <v>774.03</v>
      </c>
      <c r="K581" s="1031">
        <v>4.07</v>
      </c>
      <c r="L581" s="1042">
        <v>527.17</v>
      </c>
      <c r="M581" s="1073">
        <f t="shared" si="73"/>
        <v>0.007720469677713073</v>
      </c>
      <c r="N581" s="1015">
        <v>329.943</v>
      </c>
      <c r="O581" s="1019">
        <f t="shared" si="74"/>
        <v>2.547314926873684</v>
      </c>
      <c r="P581" s="1016">
        <f t="shared" si="75"/>
        <v>463.2281806627844</v>
      </c>
      <c r="Q581" s="1020">
        <f t="shared" si="76"/>
        <v>152.83889561242106</v>
      </c>
      <c r="S581" s="97"/>
      <c r="T581" s="97"/>
    </row>
    <row r="582" spans="1:20" ht="12.75">
      <c r="A582" s="530"/>
      <c r="B582" s="367">
        <v>4</v>
      </c>
      <c r="C582" s="531" t="s">
        <v>612</v>
      </c>
      <c r="D582" s="368">
        <v>12</v>
      </c>
      <c r="E582" s="368">
        <v>1964</v>
      </c>
      <c r="F582" s="1031">
        <v>3.3764</v>
      </c>
      <c r="G582" s="1031" t="s">
        <v>263</v>
      </c>
      <c r="H582" s="1031" t="s">
        <v>263</v>
      </c>
      <c r="I582" s="1031">
        <v>3.3764</v>
      </c>
      <c r="J582" s="1042">
        <v>430.22</v>
      </c>
      <c r="K582" s="1031">
        <v>3.38</v>
      </c>
      <c r="L582" s="1042">
        <v>430.22</v>
      </c>
      <c r="M582" s="1073">
        <f t="shared" si="73"/>
        <v>0.007856445539491422</v>
      </c>
      <c r="N582" s="1015">
        <v>329.943</v>
      </c>
      <c r="O582" s="1019">
        <f t="shared" si="74"/>
        <v>2.5921792106364183</v>
      </c>
      <c r="P582" s="1016">
        <f t="shared" si="75"/>
        <v>471.3867323694853</v>
      </c>
      <c r="Q582" s="1020">
        <f t="shared" si="76"/>
        <v>155.53075263818508</v>
      </c>
      <c r="S582" s="97"/>
      <c r="T582" s="97"/>
    </row>
    <row r="583" spans="1:20" ht="12.75">
      <c r="A583" s="530"/>
      <c r="B583" s="367">
        <v>5</v>
      </c>
      <c r="C583" s="531" t="s">
        <v>613</v>
      </c>
      <c r="D583" s="368">
        <v>37</v>
      </c>
      <c r="E583" s="368">
        <v>1981</v>
      </c>
      <c r="F583" s="1031">
        <v>19.424</v>
      </c>
      <c r="G583" s="1031">
        <v>3.211725</v>
      </c>
      <c r="H583" s="1031">
        <v>3.64</v>
      </c>
      <c r="I583" s="1031">
        <v>12.572275</v>
      </c>
      <c r="J583" s="1042">
        <v>1561.94</v>
      </c>
      <c r="K583" s="1031">
        <v>12.57</v>
      </c>
      <c r="L583" s="1042">
        <v>1561.94</v>
      </c>
      <c r="M583" s="1073">
        <f t="shared" si="73"/>
        <v>0.008047684290049553</v>
      </c>
      <c r="N583" s="1015">
        <v>329.943</v>
      </c>
      <c r="O583" s="1019">
        <f t="shared" si="74"/>
        <v>2.6552770977118194</v>
      </c>
      <c r="P583" s="1016">
        <f t="shared" si="75"/>
        <v>482.8610574029732</v>
      </c>
      <c r="Q583" s="1020">
        <f t="shared" si="76"/>
        <v>159.3166258627092</v>
      </c>
      <c r="S583" s="97"/>
      <c r="T583" s="97"/>
    </row>
    <row r="584" spans="1:20" ht="12.75">
      <c r="A584" s="530"/>
      <c r="B584" s="367">
        <v>6</v>
      </c>
      <c r="C584" s="531" t="s">
        <v>614</v>
      </c>
      <c r="D584" s="368">
        <v>8</v>
      </c>
      <c r="E584" s="368">
        <v>1940</v>
      </c>
      <c r="F584" s="1031">
        <v>2.5813</v>
      </c>
      <c r="G584" s="1031" t="s">
        <v>263</v>
      </c>
      <c r="H584" s="1031" t="s">
        <v>263</v>
      </c>
      <c r="I584" s="1031">
        <v>2.5813</v>
      </c>
      <c r="J584" s="1042">
        <v>310.83</v>
      </c>
      <c r="K584" s="1031">
        <v>2.58</v>
      </c>
      <c r="L584" s="1042">
        <v>310.83</v>
      </c>
      <c r="M584" s="1073">
        <f t="shared" si="73"/>
        <v>0.008300357108387222</v>
      </c>
      <c r="N584" s="1015">
        <v>329.943</v>
      </c>
      <c r="O584" s="1019">
        <f t="shared" si="74"/>
        <v>2.738644725412605</v>
      </c>
      <c r="P584" s="1016">
        <f t="shared" si="75"/>
        <v>498.02142650323333</v>
      </c>
      <c r="Q584" s="1020">
        <f t="shared" si="76"/>
        <v>164.31868352475632</v>
      </c>
      <c r="S584" s="97"/>
      <c r="T584" s="97"/>
    </row>
    <row r="585" spans="1:20" ht="12.75">
      <c r="A585" s="530"/>
      <c r="B585" s="367">
        <v>7</v>
      </c>
      <c r="C585" s="531" t="s">
        <v>615</v>
      </c>
      <c r="D585" s="368">
        <v>19</v>
      </c>
      <c r="E585" s="368">
        <v>1972</v>
      </c>
      <c r="F585" s="1031">
        <v>6.3705</v>
      </c>
      <c r="G585" s="1031" t="s">
        <v>263</v>
      </c>
      <c r="H585" s="1031" t="s">
        <v>263</v>
      </c>
      <c r="I585" s="1031">
        <v>6.3705</v>
      </c>
      <c r="J585" s="1042">
        <v>754.15</v>
      </c>
      <c r="K585" s="1031">
        <v>5.79</v>
      </c>
      <c r="L585" s="1042">
        <v>684.9</v>
      </c>
      <c r="M585" s="1073">
        <f t="shared" si="73"/>
        <v>0.008453788874288217</v>
      </c>
      <c r="N585" s="1015">
        <v>329.943</v>
      </c>
      <c r="O585" s="1019">
        <f t="shared" si="74"/>
        <v>2.789268462549277</v>
      </c>
      <c r="P585" s="1016">
        <f t="shared" si="75"/>
        <v>507.227332457293</v>
      </c>
      <c r="Q585" s="1020">
        <f t="shared" si="76"/>
        <v>167.35610775295663</v>
      </c>
      <c r="S585" s="97"/>
      <c r="T585" s="97"/>
    </row>
    <row r="586" spans="1:20" ht="12.75">
      <c r="A586" s="530"/>
      <c r="B586" s="367">
        <v>8</v>
      </c>
      <c r="C586" s="531" t="s">
        <v>616</v>
      </c>
      <c r="D586" s="368">
        <v>20</v>
      </c>
      <c r="E586" s="368">
        <v>1991</v>
      </c>
      <c r="F586" s="1031">
        <v>15.74</v>
      </c>
      <c r="G586" s="1031">
        <v>2.25216</v>
      </c>
      <c r="H586" s="1031">
        <v>3.36</v>
      </c>
      <c r="I586" s="1031">
        <v>10.12784</v>
      </c>
      <c r="J586" s="1042">
        <v>1191.82</v>
      </c>
      <c r="K586" s="1031">
        <v>9.57</v>
      </c>
      <c r="L586" s="1042">
        <v>1126.05</v>
      </c>
      <c r="M586" s="1073">
        <f t="shared" si="73"/>
        <v>0.008498734514453177</v>
      </c>
      <c r="N586" s="1015">
        <v>329.943</v>
      </c>
      <c r="O586" s="1019">
        <f t="shared" si="74"/>
        <v>2.8040979619022246</v>
      </c>
      <c r="P586" s="1016">
        <f t="shared" si="75"/>
        <v>509.9240708671906</v>
      </c>
      <c r="Q586" s="1020">
        <f t="shared" si="76"/>
        <v>168.24587771413348</v>
      </c>
      <c r="S586" s="97"/>
      <c r="T586" s="97"/>
    </row>
    <row r="587" spans="1:20" ht="12.75">
      <c r="A587" s="532"/>
      <c r="B587" s="533">
        <v>9</v>
      </c>
      <c r="C587" s="531" t="s">
        <v>267</v>
      </c>
      <c r="D587" s="368">
        <v>17</v>
      </c>
      <c r="E587" s="368">
        <v>1976</v>
      </c>
      <c r="F587" s="1031">
        <v>5.66</v>
      </c>
      <c r="G587" s="1031" t="s">
        <v>263</v>
      </c>
      <c r="H587" s="1031" t="s">
        <v>263</v>
      </c>
      <c r="I587" s="1031">
        <v>5.66</v>
      </c>
      <c r="J587" s="1042">
        <v>658.78</v>
      </c>
      <c r="K587" s="1031">
        <v>5.66</v>
      </c>
      <c r="L587" s="1042">
        <v>658.78</v>
      </c>
      <c r="M587" s="1073">
        <f t="shared" si="73"/>
        <v>0.008591639090439905</v>
      </c>
      <c r="N587" s="1015">
        <v>329.943</v>
      </c>
      <c r="O587" s="1019">
        <f t="shared" si="74"/>
        <v>2.8347511764170137</v>
      </c>
      <c r="P587" s="1016">
        <f t="shared" si="75"/>
        <v>515.4983454263943</v>
      </c>
      <c r="Q587" s="1020">
        <f t="shared" si="76"/>
        <v>170.0850705850208</v>
      </c>
      <c r="S587" s="97"/>
      <c r="T587" s="97"/>
    </row>
    <row r="588" spans="1:20" ht="13.5" thickBot="1">
      <c r="A588" s="534"/>
      <c r="B588" s="535">
        <v>10</v>
      </c>
      <c r="C588" s="536" t="s">
        <v>617</v>
      </c>
      <c r="D588" s="372">
        <v>20</v>
      </c>
      <c r="E588" s="372">
        <v>1971</v>
      </c>
      <c r="F588" s="1032">
        <v>9.613</v>
      </c>
      <c r="G588" s="1032">
        <v>2.035257</v>
      </c>
      <c r="H588" s="1032">
        <v>0.21</v>
      </c>
      <c r="I588" s="1032">
        <v>7.367743</v>
      </c>
      <c r="J588" s="1043">
        <v>847.51</v>
      </c>
      <c r="K588" s="1032">
        <v>6.79</v>
      </c>
      <c r="L588" s="1043">
        <v>781.41</v>
      </c>
      <c r="M588" s="1074">
        <f t="shared" si="73"/>
        <v>0.008689420406700708</v>
      </c>
      <c r="N588" s="1172">
        <v>334.412</v>
      </c>
      <c r="O588" s="1022">
        <f t="shared" si="74"/>
        <v>2.905846457045597</v>
      </c>
      <c r="P588" s="1022">
        <f t="shared" si="75"/>
        <v>521.3652244020425</v>
      </c>
      <c r="Q588" s="1023">
        <f t="shared" si="76"/>
        <v>174.35078742273583</v>
      </c>
      <c r="S588" s="97"/>
      <c r="T588" s="97"/>
    </row>
    <row r="589" spans="1:20" ht="12.75">
      <c r="A589" s="406" t="s">
        <v>12</v>
      </c>
      <c r="B589" s="88">
        <v>1</v>
      </c>
      <c r="C589" s="524" t="s">
        <v>618</v>
      </c>
      <c r="D589" s="525">
        <v>20</v>
      </c>
      <c r="E589" s="525">
        <v>1973</v>
      </c>
      <c r="F589" s="1079">
        <v>9.8056</v>
      </c>
      <c r="G589" s="1079" t="s">
        <v>263</v>
      </c>
      <c r="H589" s="1079" t="s">
        <v>263</v>
      </c>
      <c r="I589" s="1079">
        <v>9.8056</v>
      </c>
      <c r="J589" s="1083">
        <v>1128.52</v>
      </c>
      <c r="K589" s="1079">
        <v>9.81</v>
      </c>
      <c r="L589" s="1044">
        <v>1128.52</v>
      </c>
      <c r="M589" s="347">
        <f t="shared" si="73"/>
        <v>0.008692801190940347</v>
      </c>
      <c r="N589" s="229">
        <v>329.943</v>
      </c>
      <c r="O589" s="317">
        <f t="shared" si="74"/>
        <v>2.8681289033424306</v>
      </c>
      <c r="P589" s="317">
        <f t="shared" si="75"/>
        <v>521.5680714564209</v>
      </c>
      <c r="Q589" s="345">
        <f t="shared" si="76"/>
        <v>172.08773420054584</v>
      </c>
      <c r="S589" s="97"/>
      <c r="T589" s="97"/>
    </row>
    <row r="590" spans="1:20" ht="12.75">
      <c r="A590" s="407"/>
      <c r="B590" s="42">
        <v>2</v>
      </c>
      <c r="C590" s="282" t="s">
        <v>619</v>
      </c>
      <c r="D590" s="283">
        <v>20</v>
      </c>
      <c r="E590" s="283">
        <v>1973</v>
      </c>
      <c r="F590" s="724">
        <v>12.189</v>
      </c>
      <c r="G590" s="724">
        <v>2.083452</v>
      </c>
      <c r="H590" s="724" t="s">
        <v>263</v>
      </c>
      <c r="I590" s="724">
        <v>10.105548</v>
      </c>
      <c r="J590" s="320">
        <v>1149.7</v>
      </c>
      <c r="K590" s="724">
        <v>10.11</v>
      </c>
      <c r="L590" s="320">
        <v>1149.7</v>
      </c>
      <c r="M590" s="308">
        <f t="shared" si="73"/>
        <v>0.00879359832999913</v>
      </c>
      <c r="N590" s="348">
        <v>329.943</v>
      </c>
      <c r="O590" s="319">
        <f t="shared" si="74"/>
        <v>2.9013862137949027</v>
      </c>
      <c r="P590" s="317">
        <f t="shared" si="75"/>
        <v>527.6158997999478</v>
      </c>
      <c r="Q590" s="318">
        <f t="shared" si="76"/>
        <v>174.08317282769417</v>
      </c>
      <c r="S590" s="97"/>
      <c r="T590" s="97"/>
    </row>
    <row r="591" spans="1:20" ht="12.75">
      <c r="A591" s="407"/>
      <c r="B591" s="42">
        <v>3</v>
      </c>
      <c r="C591" s="282" t="s">
        <v>620</v>
      </c>
      <c r="D591" s="283">
        <v>23</v>
      </c>
      <c r="E591" s="283">
        <v>1964</v>
      </c>
      <c r="F591" s="724">
        <v>11.503</v>
      </c>
      <c r="G591" s="724">
        <v>1.762356</v>
      </c>
      <c r="H591" s="724" t="s">
        <v>263</v>
      </c>
      <c r="I591" s="724">
        <v>9.740644</v>
      </c>
      <c r="J591" s="320">
        <v>1100.28</v>
      </c>
      <c r="K591" s="724">
        <v>9.31</v>
      </c>
      <c r="L591" s="320">
        <v>1052.09</v>
      </c>
      <c r="M591" s="308">
        <f t="shared" si="73"/>
        <v>0.00884905283768499</v>
      </c>
      <c r="N591" s="348">
        <v>334.412</v>
      </c>
      <c r="O591" s="319">
        <f t="shared" si="74"/>
        <v>2.959229457555913</v>
      </c>
      <c r="P591" s="317">
        <f t="shared" si="75"/>
        <v>530.9431702610993</v>
      </c>
      <c r="Q591" s="318">
        <f t="shared" si="76"/>
        <v>177.55376745335477</v>
      </c>
      <c r="S591" s="97"/>
      <c r="T591" s="97"/>
    </row>
    <row r="592" spans="1:20" ht="12.75">
      <c r="A592" s="407"/>
      <c r="B592" s="42">
        <v>4</v>
      </c>
      <c r="C592" s="282" t="s">
        <v>269</v>
      </c>
      <c r="D592" s="283">
        <v>33</v>
      </c>
      <c r="E592" s="283">
        <v>1978</v>
      </c>
      <c r="F592" s="724">
        <v>12.084</v>
      </c>
      <c r="G592" s="724">
        <v>1.938</v>
      </c>
      <c r="H592" s="724">
        <v>0.27</v>
      </c>
      <c r="I592" s="724">
        <v>9.876</v>
      </c>
      <c r="J592" s="320">
        <v>1095.47</v>
      </c>
      <c r="K592" s="724">
        <v>9.88</v>
      </c>
      <c r="L592" s="320">
        <v>1095.47</v>
      </c>
      <c r="M592" s="308">
        <f t="shared" si="73"/>
        <v>0.00901895989849106</v>
      </c>
      <c r="N592" s="348">
        <v>329.943</v>
      </c>
      <c r="O592" s="319">
        <f t="shared" si="74"/>
        <v>2.9757426857878353</v>
      </c>
      <c r="P592" s="317">
        <f t="shared" si="75"/>
        <v>541.1375939094636</v>
      </c>
      <c r="Q592" s="318">
        <f t="shared" si="76"/>
        <v>178.54456114727014</v>
      </c>
      <c r="S592" s="97"/>
      <c r="T592" s="97"/>
    </row>
    <row r="593" spans="1:20" ht="12.75">
      <c r="A593" s="407"/>
      <c r="B593" s="42">
        <v>5</v>
      </c>
      <c r="C593" s="282" t="s">
        <v>621</v>
      </c>
      <c r="D593" s="283">
        <v>33</v>
      </c>
      <c r="E593" s="283">
        <v>1985</v>
      </c>
      <c r="F593" s="724">
        <v>28.427</v>
      </c>
      <c r="G593" s="724">
        <v>4.154052</v>
      </c>
      <c r="H593" s="724">
        <v>5.28</v>
      </c>
      <c r="I593" s="724">
        <v>18.992948</v>
      </c>
      <c r="J593" s="320">
        <v>2059.6</v>
      </c>
      <c r="K593" s="724">
        <v>18.99</v>
      </c>
      <c r="L593" s="320">
        <v>2059.6</v>
      </c>
      <c r="M593" s="308">
        <f t="shared" si="73"/>
        <v>0.009220236939211496</v>
      </c>
      <c r="N593" s="348">
        <v>329.943</v>
      </c>
      <c r="O593" s="319">
        <f t="shared" si="74"/>
        <v>3.042152636434259</v>
      </c>
      <c r="P593" s="317">
        <f t="shared" si="75"/>
        <v>553.2142163526897</v>
      </c>
      <c r="Q593" s="318">
        <f t="shared" si="76"/>
        <v>182.5291581860555</v>
      </c>
      <c r="S593" s="97"/>
      <c r="T593" s="97"/>
    </row>
    <row r="594" spans="1:20" ht="12.75">
      <c r="A594" s="407"/>
      <c r="B594" s="42">
        <v>6</v>
      </c>
      <c r="C594" s="282" t="s">
        <v>270</v>
      </c>
      <c r="D594" s="283">
        <v>29</v>
      </c>
      <c r="E594" s="283">
        <v>1977</v>
      </c>
      <c r="F594" s="724">
        <v>18.467</v>
      </c>
      <c r="G594" s="724">
        <v>2.80908</v>
      </c>
      <c r="H594" s="724">
        <v>4.64</v>
      </c>
      <c r="I594" s="724">
        <v>11.01792</v>
      </c>
      <c r="J594" s="320">
        <v>1154.83</v>
      </c>
      <c r="K594" s="724">
        <v>11.02</v>
      </c>
      <c r="L594" s="320">
        <v>1154.83</v>
      </c>
      <c r="M594" s="308">
        <f t="shared" si="73"/>
        <v>0.009542530069360858</v>
      </c>
      <c r="N594" s="348">
        <v>329.943</v>
      </c>
      <c r="O594" s="319">
        <f t="shared" si="74"/>
        <v>3.1484909986751295</v>
      </c>
      <c r="P594" s="317">
        <f t="shared" si="75"/>
        <v>572.5518041616515</v>
      </c>
      <c r="Q594" s="318">
        <f t="shared" si="76"/>
        <v>188.90945992050777</v>
      </c>
      <c r="S594" s="97"/>
      <c r="T594" s="97"/>
    </row>
    <row r="595" spans="1:20" ht="12.75">
      <c r="A595" s="407"/>
      <c r="B595" s="42">
        <v>7</v>
      </c>
      <c r="C595" s="282" t="s">
        <v>622</v>
      </c>
      <c r="D595" s="283">
        <v>27</v>
      </c>
      <c r="E595" s="283">
        <v>1960</v>
      </c>
      <c r="F595" s="724">
        <v>14.344</v>
      </c>
      <c r="G595" s="724">
        <v>1.34691</v>
      </c>
      <c r="H595" s="724">
        <v>3.27</v>
      </c>
      <c r="I595" s="724">
        <v>9.72709</v>
      </c>
      <c r="J595" s="320">
        <v>1144.99</v>
      </c>
      <c r="K595" s="724">
        <v>9.73</v>
      </c>
      <c r="L595" s="320">
        <v>1004.2</v>
      </c>
      <c r="M595" s="308">
        <f t="shared" si="73"/>
        <v>0.009689304919338776</v>
      </c>
      <c r="N595" s="348">
        <v>329.943</v>
      </c>
      <c r="O595" s="319">
        <f t="shared" si="74"/>
        <v>3.1969183330013937</v>
      </c>
      <c r="P595" s="317">
        <f t="shared" si="75"/>
        <v>581.3582951603265</v>
      </c>
      <c r="Q595" s="318">
        <f t="shared" si="76"/>
        <v>191.8150999800836</v>
      </c>
      <c r="S595" s="97"/>
      <c r="T595" s="97"/>
    </row>
    <row r="596" spans="1:20" ht="12.75">
      <c r="A596" s="407"/>
      <c r="B596" s="42">
        <v>8</v>
      </c>
      <c r="C596" s="282" t="s">
        <v>268</v>
      </c>
      <c r="D596" s="283">
        <v>51</v>
      </c>
      <c r="E596" s="283">
        <v>1986</v>
      </c>
      <c r="F596" s="724">
        <v>28.307</v>
      </c>
      <c r="G596" s="724">
        <v>3.382575</v>
      </c>
      <c r="H596" s="724">
        <v>6.79</v>
      </c>
      <c r="I596" s="724">
        <v>18.134425</v>
      </c>
      <c r="J596" s="320">
        <v>1842.82</v>
      </c>
      <c r="K596" s="724">
        <v>18.13</v>
      </c>
      <c r="L596" s="320">
        <v>1842.82</v>
      </c>
      <c r="M596" s="308">
        <f t="shared" si="73"/>
        <v>0.00983818278507939</v>
      </c>
      <c r="N596" s="348">
        <v>329.943</v>
      </c>
      <c r="O596" s="319">
        <f t="shared" si="74"/>
        <v>3.246039542657449</v>
      </c>
      <c r="P596" s="317">
        <f t="shared" si="75"/>
        <v>590.2909671047634</v>
      </c>
      <c r="Q596" s="318">
        <f t="shared" si="76"/>
        <v>194.76237255944693</v>
      </c>
      <c r="S596" s="97"/>
      <c r="T596" s="97"/>
    </row>
    <row r="597" spans="1:20" ht="12.75">
      <c r="A597" s="407"/>
      <c r="B597" s="42">
        <v>9</v>
      </c>
      <c r="C597" s="282" t="s">
        <v>623</v>
      </c>
      <c r="D597" s="283">
        <v>20</v>
      </c>
      <c r="E597" s="283">
        <v>1980</v>
      </c>
      <c r="F597" s="724">
        <v>12.215</v>
      </c>
      <c r="G597" s="724">
        <v>1.58049</v>
      </c>
      <c r="H597" s="724">
        <v>3.2</v>
      </c>
      <c r="I597" s="724">
        <v>7.43451</v>
      </c>
      <c r="J597" s="320">
        <v>750.77</v>
      </c>
      <c r="K597" s="724">
        <v>6.7</v>
      </c>
      <c r="L597" s="320">
        <v>676.71</v>
      </c>
      <c r="M597" s="308">
        <f t="shared" si="73"/>
        <v>0.009900843788328825</v>
      </c>
      <c r="N597" s="348">
        <v>329.943</v>
      </c>
      <c r="O597" s="319">
        <f t="shared" si="74"/>
        <v>3.2667141020525774</v>
      </c>
      <c r="P597" s="317">
        <f t="shared" si="75"/>
        <v>594.0506272997295</v>
      </c>
      <c r="Q597" s="318">
        <f t="shared" si="76"/>
        <v>196.00284612315465</v>
      </c>
      <c r="S597" s="97"/>
      <c r="T597" s="97"/>
    </row>
    <row r="598" spans="1:20" ht="13.5" thickBot="1">
      <c r="A598" s="408"/>
      <c r="B598" s="47">
        <v>10</v>
      </c>
      <c r="C598" s="526" t="s">
        <v>624</v>
      </c>
      <c r="D598" s="527">
        <v>10</v>
      </c>
      <c r="E598" s="527">
        <v>1958</v>
      </c>
      <c r="F598" s="1034">
        <v>4.4092</v>
      </c>
      <c r="G598" s="1034" t="s">
        <v>263</v>
      </c>
      <c r="H598" s="1034" t="s">
        <v>263</v>
      </c>
      <c r="I598" s="1034">
        <v>4.4092</v>
      </c>
      <c r="J598" s="1045">
        <v>439.06</v>
      </c>
      <c r="K598" s="724">
        <v>4.41</v>
      </c>
      <c r="L598" s="1045">
        <v>439.06</v>
      </c>
      <c r="M598" s="1075">
        <f t="shared" si="73"/>
        <v>0.010044185304969708</v>
      </c>
      <c r="N598" s="348">
        <v>329.943</v>
      </c>
      <c r="O598" s="1025">
        <f t="shared" si="74"/>
        <v>3.3140086320776203</v>
      </c>
      <c r="P598" s="1025">
        <f t="shared" si="75"/>
        <v>602.6511182981825</v>
      </c>
      <c r="Q598" s="1026">
        <f t="shared" si="76"/>
        <v>198.8405179246572</v>
      </c>
      <c r="S598" s="97"/>
      <c r="T598" s="97"/>
    </row>
    <row r="599" spans="19:20" ht="12.75">
      <c r="S599" s="97"/>
      <c r="T599" s="97"/>
    </row>
    <row r="600" spans="19:20" ht="12.75">
      <c r="S600" s="97"/>
      <c r="T600" s="97"/>
    </row>
    <row r="601" spans="19:20" ht="12.75">
      <c r="S601" s="97"/>
      <c r="T601" s="97"/>
    </row>
    <row r="602" spans="1:20" s="17" customFormat="1" ht="15">
      <c r="A602" s="393" t="s">
        <v>39</v>
      </c>
      <c r="B602" s="393"/>
      <c r="C602" s="393"/>
      <c r="D602" s="393"/>
      <c r="E602" s="393"/>
      <c r="F602" s="393"/>
      <c r="G602" s="393"/>
      <c r="H602" s="393"/>
      <c r="I602" s="393"/>
      <c r="J602" s="393"/>
      <c r="K602" s="393"/>
      <c r="L602" s="393"/>
      <c r="M602" s="393"/>
      <c r="N602" s="393"/>
      <c r="O602" s="393"/>
      <c r="P602" s="393"/>
      <c r="Q602" s="393"/>
      <c r="S602" s="97"/>
      <c r="T602" s="97"/>
    </row>
    <row r="603" spans="1:20" s="17" customFormat="1" ht="13.5" customHeight="1" thickBot="1">
      <c r="A603" s="394" t="s">
        <v>625</v>
      </c>
      <c r="B603" s="394"/>
      <c r="C603" s="394"/>
      <c r="D603" s="394"/>
      <c r="E603" s="394"/>
      <c r="F603" s="394"/>
      <c r="G603" s="394"/>
      <c r="H603" s="394"/>
      <c r="I603" s="394"/>
      <c r="J603" s="394"/>
      <c r="K603" s="394"/>
      <c r="L603" s="394"/>
      <c r="M603" s="394"/>
      <c r="N603" s="394"/>
      <c r="O603" s="394"/>
      <c r="P603" s="394"/>
      <c r="Q603" s="394"/>
      <c r="S603" s="97"/>
      <c r="T603" s="97"/>
    </row>
    <row r="604" spans="1:20" ht="12.75" customHeight="1">
      <c r="A604" s="395" t="s">
        <v>1</v>
      </c>
      <c r="B604" s="397" t="s">
        <v>0</v>
      </c>
      <c r="C604" s="384" t="s">
        <v>2</v>
      </c>
      <c r="D604" s="384" t="s">
        <v>3</v>
      </c>
      <c r="E604" s="384" t="s">
        <v>13</v>
      </c>
      <c r="F604" s="386" t="s">
        <v>14</v>
      </c>
      <c r="G604" s="387"/>
      <c r="H604" s="387"/>
      <c r="I604" s="388"/>
      <c r="J604" s="384" t="s">
        <v>4</v>
      </c>
      <c r="K604" s="384" t="s">
        <v>15</v>
      </c>
      <c r="L604" s="384" t="s">
        <v>5</v>
      </c>
      <c r="M604" s="384" t="s">
        <v>6</v>
      </c>
      <c r="N604" s="384" t="s">
        <v>16</v>
      </c>
      <c r="O604" s="389" t="s">
        <v>17</v>
      </c>
      <c r="P604" s="384" t="s">
        <v>25</v>
      </c>
      <c r="Q604" s="391" t="s">
        <v>26</v>
      </c>
      <c r="S604" s="97"/>
      <c r="T604" s="97"/>
    </row>
    <row r="605" spans="1:20" s="2" customFormat="1" ht="33.75">
      <c r="A605" s="396"/>
      <c r="B605" s="398"/>
      <c r="C605" s="399"/>
      <c r="D605" s="385"/>
      <c r="E605" s="385"/>
      <c r="F605" s="37" t="s">
        <v>18</v>
      </c>
      <c r="G605" s="37" t="s">
        <v>19</v>
      </c>
      <c r="H605" s="37" t="s">
        <v>20</v>
      </c>
      <c r="I605" s="37" t="s">
        <v>21</v>
      </c>
      <c r="J605" s="385"/>
      <c r="K605" s="385"/>
      <c r="L605" s="385"/>
      <c r="M605" s="385"/>
      <c r="N605" s="385"/>
      <c r="O605" s="390"/>
      <c r="P605" s="385"/>
      <c r="Q605" s="392"/>
      <c r="S605" s="97"/>
      <c r="T605" s="97"/>
    </row>
    <row r="606" spans="1:20" s="3" customFormat="1" ht="13.5" customHeight="1" thickBot="1">
      <c r="A606" s="414"/>
      <c r="B606" s="415"/>
      <c r="C606" s="416"/>
      <c r="D606" s="65" t="s">
        <v>7</v>
      </c>
      <c r="E606" s="65" t="s">
        <v>8</v>
      </c>
      <c r="F606" s="65" t="s">
        <v>9</v>
      </c>
      <c r="G606" s="65" t="s">
        <v>9</v>
      </c>
      <c r="H606" s="65" t="s">
        <v>9</v>
      </c>
      <c r="I606" s="65" t="s">
        <v>9</v>
      </c>
      <c r="J606" s="65" t="s">
        <v>22</v>
      </c>
      <c r="K606" s="65" t="s">
        <v>9</v>
      </c>
      <c r="L606" s="65" t="s">
        <v>22</v>
      </c>
      <c r="M606" s="65" t="s">
        <v>136</v>
      </c>
      <c r="N606" s="65" t="s">
        <v>10</v>
      </c>
      <c r="O606" s="65" t="s">
        <v>137</v>
      </c>
      <c r="P606" s="66" t="s">
        <v>27</v>
      </c>
      <c r="Q606" s="67" t="s">
        <v>28</v>
      </c>
      <c r="S606" s="97"/>
      <c r="T606" s="97"/>
    </row>
    <row r="607" spans="1:20" s="110" customFormat="1" ht="12.75">
      <c r="A607" s="417" t="s">
        <v>11</v>
      </c>
      <c r="B607" s="113">
        <v>1</v>
      </c>
      <c r="C607" s="69" t="s">
        <v>626</v>
      </c>
      <c r="D607" s="1181">
        <v>100</v>
      </c>
      <c r="E607" s="68" t="s">
        <v>73</v>
      </c>
      <c r="F607" s="277">
        <f aca="true" t="shared" si="77" ref="F607:F646">G607+H607+I607</f>
        <v>22.445183999999998</v>
      </c>
      <c r="G607" s="277">
        <v>6.09858</v>
      </c>
      <c r="H607" s="277">
        <v>16</v>
      </c>
      <c r="I607" s="277">
        <v>0.346604</v>
      </c>
      <c r="J607" s="1183">
        <v>4428.23</v>
      </c>
      <c r="K607" s="277">
        <v>0.346604</v>
      </c>
      <c r="L607" s="1183">
        <v>4428.23</v>
      </c>
      <c r="M607" s="356">
        <f aca="true" t="shared" si="78" ref="M607:M646">K607/L607</f>
        <v>7.827145383144056E-05</v>
      </c>
      <c r="N607" s="573">
        <v>221.4</v>
      </c>
      <c r="O607" s="357">
        <f aca="true" t="shared" si="79" ref="O607:O646">M607*N607</f>
        <v>0.01732929987828094</v>
      </c>
      <c r="P607" s="357">
        <f aca="true" t="shared" si="80" ref="P607:P646">M607*60*1000</f>
        <v>4.696287229886434</v>
      </c>
      <c r="Q607" s="358">
        <f aca="true" t="shared" si="81" ref="Q607:Q646">P607*N607/1000</f>
        <v>1.0397579926968565</v>
      </c>
      <c r="S607" s="97"/>
      <c r="T607" s="97"/>
    </row>
    <row r="608" spans="1:20" s="110" customFormat="1" ht="12.75">
      <c r="A608" s="376"/>
      <c r="B608" s="109">
        <v>2</v>
      </c>
      <c r="C608" s="16" t="s">
        <v>627</v>
      </c>
      <c r="D608" s="1182">
        <v>28</v>
      </c>
      <c r="E608" s="68" t="s">
        <v>73</v>
      </c>
      <c r="F608" s="277">
        <f t="shared" si="77"/>
        <v>6.461804</v>
      </c>
      <c r="G608" s="578">
        <v>2.239002</v>
      </c>
      <c r="H608" s="578">
        <v>4.08</v>
      </c>
      <c r="I608" s="578">
        <v>0.142802</v>
      </c>
      <c r="J608" s="1182">
        <v>1537.65</v>
      </c>
      <c r="K608" s="183">
        <v>0.14279</v>
      </c>
      <c r="L608" s="1182">
        <v>1537.65</v>
      </c>
      <c r="M608" s="156">
        <f t="shared" si="78"/>
        <v>9.286248496081683E-05</v>
      </c>
      <c r="N608" s="157">
        <v>221.4</v>
      </c>
      <c r="O608" s="155">
        <f t="shared" si="79"/>
        <v>0.020559754170324848</v>
      </c>
      <c r="P608" s="357">
        <f t="shared" si="80"/>
        <v>5.571749097649009</v>
      </c>
      <c r="Q608" s="1175">
        <f t="shared" si="81"/>
        <v>1.2335852502194906</v>
      </c>
      <c r="S608" s="97"/>
      <c r="T608" s="97"/>
    </row>
    <row r="609" spans="1:20" ht="12.75">
      <c r="A609" s="376"/>
      <c r="B609" s="32">
        <v>3</v>
      </c>
      <c r="C609" s="16" t="s">
        <v>628</v>
      </c>
      <c r="D609" s="1182">
        <v>25</v>
      </c>
      <c r="E609" s="68" t="s">
        <v>73</v>
      </c>
      <c r="F609" s="277">
        <f t="shared" si="77"/>
        <v>5.303</v>
      </c>
      <c r="G609" s="578">
        <v>1.173</v>
      </c>
      <c r="H609" s="578">
        <v>3.92</v>
      </c>
      <c r="I609" s="578">
        <v>0.21</v>
      </c>
      <c r="J609" s="1182">
        <v>1257.05</v>
      </c>
      <c r="K609" s="183">
        <v>0.2</v>
      </c>
      <c r="L609" s="1182">
        <v>1257.05</v>
      </c>
      <c r="M609" s="156">
        <f t="shared" si="78"/>
        <v>0.0001591026609920051</v>
      </c>
      <c r="N609" s="573">
        <v>221.4</v>
      </c>
      <c r="O609" s="155">
        <f t="shared" si="79"/>
        <v>0.035225329143629934</v>
      </c>
      <c r="P609" s="357">
        <f t="shared" si="80"/>
        <v>9.546159659520306</v>
      </c>
      <c r="Q609" s="1175">
        <f t="shared" si="81"/>
        <v>2.113519748617796</v>
      </c>
      <c r="S609" s="97"/>
      <c r="T609" s="97"/>
    </row>
    <row r="610" spans="1:20" ht="12.75">
      <c r="A610" s="376"/>
      <c r="B610" s="32">
        <v>4</v>
      </c>
      <c r="C610" s="16" t="s">
        <v>629</v>
      </c>
      <c r="D610" s="1182">
        <v>75</v>
      </c>
      <c r="E610" s="68" t="s">
        <v>73</v>
      </c>
      <c r="F610" s="277">
        <f t="shared" si="77"/>
        <v>22.365903000000003</v>
      </c>
      <c r="G610" s="578">
        <v>8.057</v>
      </c>
      <c r="H610" s="578">
        <v>12</v>
      </c>
      <c r="I610" s="578">
        <v>2.308903</v>
      </c>
      <c r="J610" s="1182">
        <v>4062.96</v>
      </c>
      <c r="K610" s="183">
        <v>2.308903</v>
      </c>
      <c r="L610" s="1182">
        <v>4062.96</v>
      </c>
      <c r="M610" s="156">
        <f t="shared" si="78"/>
        <v>0.0005682810069505976</v>
      </c>
      <c r="N610" s="157">
        <v>221.4</v>
      </c>
      <c r="O610" s="155">
        <f t="shared" si="79"/>
        <v>0.1258174149388623</v>
      </c>
      <c r="P610" s="357">
        <f t="shared" si="80"/>
        <v>34.096860417035856</v>
      </c>
      <c r="Q610" s="1175">
        <f t="shared" si="81"/>
        <v>7.549044896331739</v>
      </c>
      <c r="S610" s="97"/>
      <c r="T610" s="97"/>
    </row>
    <row r="611" spans="1:20" ht="12.75">
      <c r="A611" s="376"/>
      <c r="B611" s="32">
        <v>5</v>
      </c>
      <c r="C611" s="16" t="s">
        <v>630</v>
      </c>
      <c r="D611" s="1182">
        <v>45</v>
      </c>
      <c r="E611" s="68" t="s">
        <v>73</v>
      </c>
      <c r="F611" s="277">
        <f t="shared" si="77"/>
        <v>12.927762</v>
      </c>
      <c r="G611" s="578">
        <v>3.519</v>
      </c>
      <c r="H611" s="578">
        <v>7.1613</v>
      </c>
      <c r="I611" s="578">
        <v>2.247462</v>
      </c>
      <c r="J611" s="1182">
        <v>2343.93</v>
      </c>
      <c r="K611" s="183">
        <v>2.247467</v>
      </c>
      <c r="L611" s="1182">
        <v>2343.93</v>
      </c>
      <c r="M611" s="156">
        <f t="shared" si="78"/>
        <v>0.000958845613990179</v>
      </c>
      <c r="N611" s="573">
        <v>221.4</v>
      </c>
      <c r="O611" s="155">
        <f t="shared" si="79"/>
        <v>0.21228841893742562</v>
      </c>
      <c r="P611" s="357">
        <f t="shared" si="80"/>
        <v>57.530736839410736</v>
      </c>
      <c r="Q611" s="1175">
        <f t="shared" si="81"/>
        <v>12.737305136245537</v>
      </c>
      <c r="S611" s="97"/>
      <c r="T611" s="97"/>
    </row>
    <row r="612" spans="1:20" ht="12.75">
      <c r="A612" s="376"/>
      <c r="B612" s="32">
        <v>6</v>
      </c>
      <c r="C612" s="16" t="s">
        <v>631</v>
      </c>
      <c r="D612" s="1182">
        <v>10</v>
      </c>
      <c r="E612" s="68" t="s">
        <v>73</v>
      </c>
      <c r="F612" s="277">
        <f t="shared" si="77"/>
        <v>3.64</v>
      </c>
      <c r="G612" s="578">
        <v>1.303458</v>
      </c>
      <c r="H612" s="578">
        <v>1.6</v>
      </c>
      <c r="I612" s="578">
        <v>0.736542</v>
      </c>
      <c r="J612" s="1182">
        <v>641.61</v>
      </c>
      <c r="K612" s="183">
        <v>0.736542</v>
      </c>
      <c r="L612" s="1182">
        <v>641.61</v>
      </c>
      <c r="M612" s="156">
        <f t="shared" si="78"/>
        <v>0.001147959040538645</v>
      </c>
      <c r="N612" s="157">
        <v>221.4</v>
      </c>
      <c r="O612" s="155">
        <f t="shared" si="79"/>
        <v>0.254158131575256</v>
      </c>
      <c r="P612" s="357">
        <f t="shared" si="80"/>
        <v>68.87754243231869</v>
      </c>
      <c r="Q612" s="1175">
        <f t="shared" si="81"/>
        <v>15.249487894515358</v>
      </c>
      <c r="S612" s="97"/>
      <c r="T612" s="97"/>
    </row>
    <row r="613" spans="1:20" ht="12.75">
      <c r="A613" s="376"/>
      <c r="B613" s="32">
        <v>7</v>
      </c>
      <c r="C613" s="16" t="s">
        <v>632</v>
      </c>
      <c r="D613" s="1182">
        <v>20</v>
      </c>
      <c r="E613" s="68" t="s">
        <v>73</v>
      </c>
      <c r="F613" s="277">
        <f t="shared" si="77"/>
        <v>7.110322999999999</v>
      </c>
      <c r="G613" s="578">
        <v>2.397</v>
      </c>
      <c r="H613" s="578">
        <v>3.2</v>
      </c>
      <c r="I613" s="578">
        <v>1.513323</v>
      </c>
      <c r="J613" s="1182">
        <v>1239.08</v>
      </c>
      <c r="K613" s="183">
        <v>1.513323</v>
      </c>
      <c r="L613" s="1182">
        <v>1239.08</v>
      </c>
      <c r="M613" s="156">
        <f t="shared" si="78"/>
        <v>0.0012213279207153695</v>
      </c>
      <c r="N613" s="573">
        <v>221.4</v>
      </c>
      <c r="O613" s="155">
        <f t="shared" si="79"/>
        <v>0.27040200164638284</v>
      </c>
      <c r="P613" s="357">
        <f t="shared" si="80"/>
        <v>73.27967524292217</v>
      </c>
      <c r="Q613" s="1175">
        <f t="shared" si="81"/>
        <v>16.22412009878297</v>
      </c>
      <c r="S613" s="97"/>
      <c r="T613" s="97"/>
    </row>
    <row r="614" spans="1:20" ht="12.75">
      <c r="A614" s="376"/>
      <c r="B614" s="32">
        <v>8</v>
      </c>
      <c r="C614" s="16" t="s">
        <v>633</v>
      </c>
      <c r="D614" s="1182">
        <v>55</v>
      </c>
      <c r="E614" s="68" t="s">
        <v>73</v>
      </c>
      <c r="F614" s="277">
        <f t="shared" si="77"/>
        <v>15.246065000000002</v>
      </c>
      <c r="G614" s="578">
        <v>3.672</v>
      </c>
      <c r="H614" s="578">
        <v>8.4</v>
      </c>
      <c r="I614" s="578">
        <v>3.174065</v>
      </c>
      <c r="J614" s="1182">
        <v>2537.72</v>
      </c>
      <c r="K614" s="183">
        <v>3.174065</v>
      </c>
      <c r="L614" s="1182">
        <v>2537.72</v>
      </c>
      <c r="M614" s="156">
        <f t="shared" si="78"/>
        <v>0.001250754614378261</v>
      </c>
      <c r="N614" s="157">
        <v>221.4</v>
      </c>
      <c r="O614" s="155">
        <f t="shared" si="79"/>
        <v>0.276917071623347</v>
      </c>
      <c r="P614" s="357">
        <f t="shared" si="80"/>
        <v>75.04527686269566</v>
      </c>
      <c r="Q614" s="1175">
        <f t="shared" si="81"/>
        <v>16.61502429740082</v>
      </c>
      <c r="S614" s="97"/>
      <c r="T614" s="97"/>
    </row>
    <row r="615" spans="1:20" ht="12.75">
      <c r="A615" s="376"/>
      <c r="B615" s="32">
        <v>9</v>
      </c>
      <c r="C615" s="16" t="s">
        <v>634</v>
      </c>
      <c r="D615" s="1182">
        <v>43</v>
      </c>
      <c r="E615" s="68" t="s">
        <v>73</v>
      </c>
      <c r="F615" s="277">
        <f t="shared" si="77"/>
        <v>14.698580999999999</v>
      </c>
      <c r="G615" s="578">
        <v>4.284</v>
      </c>
      <c r="H615" s="578">
        <v>7.05</v>
      </c>
      <c r="I615" s="578">
        <v>3.364581</v>
      </c>
      <c r="J615" s="1182">
        <v>2318.55</v>
      </c>
      <c r="K615" s="183">
        <v>3.364577</v>
      </c>
      <c r="L615" s="1182">
        <v>2318.55</v>
      </c>
      <c r="M615" s="156">
        <f t="shared" si="78"/>
        <v>0.0014511556791960492</v>
      </c>
      <c r="N615" s="573">
        <v>221.4</v>
      </c>
      <c r="O615" s="155">
        <f t="shared" si="79"/>
        <v>0.32128586737400533</v>
      </c>
      <c r="P615" s="357">
        <f t="shared" si="80"/>
        <v>87.06934075176295</v>
      </c>
      <c r="Q615" s="1175">
        <f t="shared" si="81"/>
        <v>19.277152042440317</v>
      </c>
      <c r="S615" s="97"/>
      <c r="T615" s="97"/>
    </row>
    <row r="616" spans="1:20" ht="13.5" thickBot="1">
      <c r="A616" s="377"/>
      <c r="B616" s="70">
        <v>10</v>
      </c>
      <c r="C616" s="71" t="s">
        <v>635</v>
      </c>
      <c r="D616" s="817">
        <v>22</v>
      </c>
      <c r="E616" s="68" t="s">
        <v>73</v>
      </c>
      <c r="F616" s="277">
        <f t="shared" si="77"/>
        <v>7.69129</v>
      </c>
      <c r="G616" s="328">
        <v>1.938</v>
      </c>
      <c r="H616" s="328">
        <v>3.52</v>
      </c>
      <c r="I616" s="328">
        <v>2.23329</v>
      </c>
      <c r="J616" s="817">
        <v>1131.55</v>
      </c>
      <c r="K616" s="1184">
        <v>2.23329</v>
      </c>
      <c r="L616" s="817">
        <v>1131.55</v>
      </c>
      <c r="M616" s="1176">
        <f t="shared" si="78"/>
        <v>0.0019736556051433876</v>
      </c>
      <c r="N616" s="160">
        <v>221.4</v>
      </c>
      <c r="O616" s="1177">
        <f t="shared" si="79"/>
        <v>0.436967350978746</v>
      </c>
      <c r="P616" s="1178">
        <f t="shared" si="80"/>
        <v>118.41933630860325</v>
      </c>
      <c r="Q616" s="1179">
        <f t="shared" si="81"/>
        <v>26.21804105872476</v>
      </c>
      <c r="S616" s="97"/>
      <c r="T616" s="97"/>
    </row>
    <row r="617" spans="1:20" ht="12.75">
      <c r="A617" s="458" t="s">
        <v>29</v>
      </c>
      <c r="B617" s="73">
        <v>1</v>
      </c>
      <c r="C617" s="35" t="s">
        <v>636</v>
      </c>
      <c r="D617" s="135">
        <v>55</v>
      </c>
      <c r="E617" s="36" t="s">
        <v>73</v>
      </c>
      <c r="F617" s="608">
        <f t="shared" si="77"/>
        <v>27.257742</v>
      </c>
      <c r="G617" s="608">
        <v>12.903</v>
      </c>
      <c r="H617" s="608">
        <v>8.72</v>
      </c>
      <c r="I617" s="609">
        <v>5.634742</v>
      </c>
      <c r="J617" s="135">
        <v>2548.82</v>
      </c>
      <c r="K617" s="608">
        <v>5.634742</v>
      </c>
      <c r="L617" s="135">
        <v>2548.82</v>
      </c>
      <c r="M617" s="184">
        <f t="shared" si="78"/>
        <v>0.0022107257476008503</v>
      </c>
      <c r="N617" s="185">
        <v>221.4</v>
      </c>
      <c r="O617" s="185">
        <f t="shared" si="79"/>
        <v>0.4894546805188283</v>
      </c>
      <c r="P617" s="185">
        <f t="shared" si="80"/>
        <v>132.64354485605102</v>
      </c>
      <c r="Q617" s="259">
        <f t="shared" si="81"/>
        <v>29.367280831129698</v>
      </c>
      <c r="S617" s="97"/>
      <c r="T617" s="97"/>
    </row>
    <row r="618" spans="1:20" ht="12.75">
      <c r="A618" s="379"/>
      <c r="B618" s="36">
        <v>2</v>
      </c>
      <c r="C618" s="35" t="s">
        <v>637</v>
      </c>
      <c r="D618" s="135">
        <v>32</v>
      </c>
      <c r="E618" s="36" t="s">
        <v>73</v>
      </c>
      <c r="F618" s="609">
        <f t="shared" si="77"/>
        <v>9.61839</v>
      </c>
      <c r="G618" s="609">
        <v>0.969</v>
      </c>
      <c r="H618" s="609">
        <v>5.12</v>
      </c>
      <c r="I618" s="609">
        <v>3.52939</v>
      </c>
      <c r="J618" s="135">
        <v>1417.51</v>
      </c>
      <c r="K618" s="609">
        <v>3.52939</v>
      </c>
      <c r="L618" s="135">
        <v>1417.51</v>
      </c>
      <c r="M618" s="184">
        <f t="shared" si="78"/>
        <v>0.0024898519234432207</v>
      </c>
      <c r="N618" s="163">
        <v>221.4</v>
      </c>
      <c r="O618" s="185">
        <f t="shared" si="79"/>
        <v>0.551253215850329</v>
      </c>
      <c r="P618" s="185">
        <f t="shared" si="80"/>
        <v>149.39111540659326</v>
      </c>
      <c r="Q618" s="259">
        <f t="shared" si="81"/>
        <v>33.07519295101975</v>
      </c>
      <c r="S618" s="97"/>
      <c r="T618" s="97"/>
    </row>
    <row r="619" spans="1:20" ht="12.75">
      <c r="A619" s="379"/>
      <c r="B619" s="36">
        <v>3</v>
      </c>
      <c r="C619" s="35" t="s">
        <v>638</v>
      </c>
      <c r="D619" s="135">
        <v>45</v>
      </c>
      <c r="E619" s="36" t="s">
        <v>73</v>
      </c>
      <c r="F619" s="609">
        <f t="shared" si="77"/>
        <v>17.130935</v>
      </c>
      <c r="G619" s="609">
        <v>3.978</v>
      </c>
      <c r="H619" s="609">
        <v>7.2</v>
      </c>
      <c r="I619" s="609">
        <v>5.952935</v>
      </c>
      <c r="J619" s="135">
        <v>2329.45</v>
      </c>
      <c r="K619" s="609">
        <v>5.952936</v>
      </c>
      <c r="L619" s="135">
        <v>2329.45</v>
      </c>
      <c r="M619" s="164">
        <f t="shared" si="78"/>
        <v>0.002555511386808045</v>
      </c>
      <c r="N619" s="185">
        <v>221.4</v>
      </c>
      <c r="O619" s="185">
        <f t="shared" si="79"/>
        <v>0.5657902210393012</v>
      </c>
      <c r="P619" s="185">
        <f t="shared" si="80"/>
        <v>153.3306832084827</v>
      </c>
      <c r="Q619" s="251">
        <f t="shared" si="81"/>
        <v>33.94741326235807</v>
      </c>
      <c r="S619" s="97"/>
      <c r="T619" s="97"/>
    </row>
    <row r="620" spans="1:20" ht="12.75">
      <c r="A620" s="379"/>
      <c r="B620" s="36">
        <v>4</v>
      </c>
      <c r="C620" s="35" t="s">
        <v>639</v>
      </c>
      <c r="D620" s="135">
        <v>60</v>
      </c>
      <c r="E620" s="36" t="s">
        <v>73</v>
      </c>
      <c r="F620" s="609">
        <f t="shared" si="77"/>
        <v>26.195628999999997</v>
      </c>
      <c r="G620" s="609">
        <v>9.1749</v>
      </c>
      <c r="H620" s="609">
        <v>9.6</v>
      </c>
      <c r="I620" s="609">
        <v>7.420729</v>
      </c>
      <c r="J620" s="135">
        <v>2725.86</v>
      </c>
      <c r="K620" s="609">
        <v>7.420729</v>
      </c>
      <c r="L620" s="135">
        <v>2725.86</v>
      </c>
      <c r="M620" s="164">
        <f t="shared" si="78"/>
        <v>0.002722344140931669</v>
      </c>
      <c r="N620" s="163">
        <v>221.4</v>
      </c>
      <c r="O620" s="163">
        <f t="shared" si="79"/>
        <v>0.6027269928022715</v>
      </c>
      <c r="P620" s="185">
        <f t="shared" si="80"/>
        <v>163.34064845590012</v>
      </c>
      <c r="Q620" s="251">
        <f t="shared" si="81"/>
        <v>36.16361956813629</v>
      </c>
      <c r="S620" s="97"/>
      <c r="T620" s="97"/>
    </row>
    <row r="621" spans="1:20" ht="12.75">
      <c r="A621" s="379"/>
      <c r="B621" s="36">
        <v>5</v>
      </c>
      <c r="C621" s="35" t="s">
        <v>640</v>
      </c>
      <c r="D621" s="135">
        <v>45</v>
      </c>
      <c r="E621" s="36" t="s">
        <v>73</v>
      </c>
      <c r="F621" s="609">
        <f t="shared" si="77"/>
        <v>21.098387000000002</v>
      </c>
      <c r="G621" s="609">
        <v>5.61</v>
      </c>
      <c r="H621" s="609">
        <v>7.2</v>
      </c>
      <c r="I621" s="609">
        <v>8.288387</v>
      </c>
      <c r="J621" s="135">
        <v>2937.81</v>
      </c>
      <c r="K621" s="609">
        <v>8.288391</v>
      </c>
      <c r="L621" s="135">
        <v>2937.81</v>
      </c>
      <c r="M621" s="164">
        <f t="shared" si="78"/>
        <v>0.0028212821795827506</v>
      </c>
      <c r="N621" s="185">
        <v>221.4</v>
      </c>
      <c r="O621" s="163">
        <f t="shared" si="79"/>
        <v>0.624631874559621</v>
      </c>
      <c r="P621" s="185">
        <f t="shared" si="80"/>
        <v>169.27693077496502</v>
      </c>
      <c r="Q621" s="251">
        <f t="shared" si="81"/>
        <v>37.477912473577256</v>
      </c>
      <c r="S621" s="97"/>
      <c r="T621" s="97"/>
    </row>
    <row r="622" spans="1:20" ht="12.75">
      <c r="A622" s="379"/>
      <c r="B622" s="36">
        <v>6</v>
      </c>
      <c r="C622" s="35" t="s">
        <v>641</v>
      </c>
      <c r="D622" s="135">
        <v>75</v>
      </c>
      <c r="E622" s="36" t="s">
        <v>73</v>
      </c>
      <c r="F622" s="609">
        <f t="shared" si="77"/>
        <v>29.348774</v>
      </c>
      <c r="G622" s="609">
        <v>6.222</v>
      </c>
      <c r="H622" s="609">
        <v>11.84</v>
      </c>
      <c r="I622" s="609">
        <v>11.286774</v>
      </c>
      <c r="J622" s="135">
        <v>3992.51</v>
      </c>
      <c r="K622" s="609">
        <v>11.286775</v>
      </c>
      <c r="L622" s="135">
        <v>3992.51</v>
      </c>
      <c r="M622" s="164">
        <f t="shared" si="78"/>
        <v>0.002826987283688707</v>
      </c>
      <c r="N622" s="163">
        <v>221.4</v>
      </c>
      <c r="O622" s="163">
        <f t="shared" si="79"/>
        <v>0.6258949846086798</v>
      </c>
      <c r="P622" s="185">
        <f t="shared" si="80"/>
        <v>169.61923702132242</v>
      </c>
      <c r="Q622" s="251">
        <f t="shared" si="81"/>
        <v>37.55369907652078</v>
      </c>
      <c r="S622" s="97"/>
      <c r="T622" s="97"/>
    </row>
    <row r="623" spans="1:20" ht="12.75">
      <c r="A623" s="379"/>
      <c r="B623" s="36">
        <v>7</v>
      </c>
      <c r="C623" s="35" t="s">
        <v>642</v>
      </c>
      <c r="D623" s="135">
        <v>40</v>
      </c>
      <c r="E623" s="36" t="s">
        <v>73</v>
      </c>
      <c r="F623" s="609">
        <f t="shared" si="77"/>
        <v>16.576999999999998</v>
      </c>
      <c r="G623" s="609">
        <v>1.53</v>
      </c>
      <c r="H623" s="609">
        <v>4.1</v>
      </c>
      <c r="I623" s="609">
        <v>10.947</v>
      </c>
      <c r="J623" s="135">
        <v>3862.18</v>
      </c>
      <c r="K623" s="609">
        <v>10.947001</v>
      </c>
      <c r="L623" s="135">
        <v>3862.18</v>
      </c>
      <c r="M623" s="164">
        <f t="shared" si="78"/>
        <v>0.002834409841074212</v>
      </c>
      <c r="N623" s="185">
        <v>221.4</v>
      </c>
      <c r="O623" s="163">
        <f t="shared" si="79"/>
        <v>0.6275383388138306</v>
      </c>
      <c r="P623" s="185">
        <f t="shared" si="80"/>
        <v>170.06459046445272</v>
      </c>
      <c r="Q623" s="251">
        <f t="shared" si="81"/>
        <v>37.65230032882984</v>
      </c>
      <c r="S623" s="97"/>
      <c r="T623" s="97"/>
    </row>
    <row r="624" spans="1:20" ht="12.75">
      <c r="A624" s="379"/>
      <c r="B624" s="36">
        <v>8</v>
      </c>
      <c r="C624" s="35" t="s">
        <v>643</v>
      </c>
      <c r="D624" s="135">
        <v>76</v>
      </c>
      <c r="E624" s="36" t="s">
        <v>73</v>
      </c>
      <c r="F624" s="609">
        <f t="shared" si="77"/>
        <v>29.34375</v>
      </c>
      <c r="G624" s="609">
        <v>5.763</v>
      </c>
      <c r="H624" s="609">
        <v>12</v>
      </c>
      <c r="I624" s="609">
        <v>11.58075</v>
      </c>
      <c r="J624" s="135">
        <v>4006.48</v>
      </c>
      <c r="K624" s="609">
        <v>11.580751</v>
      </c>
      <c r="L624" s="135">
        <v>4006.48</v>
      </c>
      <c r="M624" s="164">
        <f t="shared" si="78"/>
        <v>0.0028905051316866675</v>
      </c>
      <c r="N624" s="163">
        <v>221.4</v>
      </c>
      <c r="O624" s="163">
        <f t="shared" si="79"/>
        <v>0.6399578361554282</v>
      </c>
      <c r="P624" s="185">
        <f t="shared" si="80"/>
        <v>173.43030790120002</v>
      </c>
      <c r="Q624" s="251">
        <f t="shared" si="81"/>
        <v>38.397470169325686</v>
      </c>
      <c r="S624" s="97"/>
      <c r="T624" s="97"/>
    </row>
    <row r="625" spans="1:20" ht="12.75">
      <c r="A625" s="379"/>
      <c r="B625" s="36">
        <v>9</v>
      </c>
      <c r="C625" s="35" t="s">
        <v>644</v>
      </c>
      <c r="D625" s="135">
        <v>53</v>
      </c>
      <c r="E625" s="36" t="s">
        <v>73</v>
      </c>
      <c r="F625" s="609">
        <f t="shared" si="77"/>
        <v>19.349516</v>
      </c>
      <c r="G625" s="609">
        <v>3.519</v>
      </c>
      <c r="H625" s="609">
        <v>8.24</v>
      </c>
      <c r="I625" s="609">
        <v>7.590516</v>
      </c>
      <c r="J625" s="135">
        <v>2517.62</v>
      </c>
      <c r="K625" s="609">
        <v>7.590519</v>
      </c>
      <c r="L625" s="135">
        <v>2517.62</v>
      </c>
      <c r="M625" s="164">
        <f t="shared" si="78"/>
        <v>0.0030149581747841215</v>
      </c>
      <c r="N625" s="185">
        <v>221.4</v>
      </c>
      <c r="O625" s="163">
        <f t="shared" si="79"/>
        <v>0.6675117398972045</v>
      </c>
      <c r="P625" s="185">
        <f t="shared" si="80"/>
        <v>180.8974904870473</v>
      </c>
      <c r="Q625" s="251">
        <f t="shared" si="81"/>
        <v>40.05070439383228</v>
      </c>
      <c r="S625" s="97"/>
      <c r="T625" s="97"/>
    </row>
    <row r="626" spans="1:20" ht="13.5" customHeight="1" thickBot="1">
      <c r="A626" s="459"/>
      <c r="B626" s="74">
        <v>10</v>
      </c>
      <c r="C626" s="35" t="s">
        <v>645</v>
      </c>
      <c r="D626" s="276">
        <v>44</v>
      </c>
      <c r="E626" s="36" t="s">
        <v>73</v>
      </c>
      <c r="F626" s="609">
        <f t="shared" si="77"/>
        <v>17.695871</v>
      </c>
      <c r="G626" s="613">
        <v>3.213</v>
      </c>
      <c r="H626" s="613">
        <v>7.04</v>
      </c>
      <c r="I626" s="613">
        <v>7.442871</v>
      </c>
      <c r="J626" s="276">
        <v>2358.02</v>
      </c>
      <c r="K626" s="613">
        <v>7.442875</v>
      </c>
      <c r="L626" s="276">
        <v>2358.02</v>
      </c>
      <c r="M626" s="332">
        <f t="shared" si="78"/>
        <v>0.0031564087666771275</v>
      </c>
      <c r="N626" s="260">
        <v>221.4</v>
      </c>
      <c r="O626" s="260">
        <f t="shared" si="79"/>
        <v>0.6988289009423161</v>
      </c>
      <c r="P626" s="260">
        <f t="shared" si="80"/>
        <v>189.38452600062766</v>
      </c>
      <c r="Q626" s="261">
        <f t="shared" si="81"/>
        <v>41.92973405653897</v>
      </c>
      <c r="S626" s="97"/>
      <c r="T626" s="97"/>
    </row>
    <row r="627" spans="1:20" ht="12.75">
      <c r="A627" s="528" t="s">
        <v>30</v>
      </c>
      <c r="B627" s="366">
        <v>1</v>
      </c>
      <c r="C627" s="627" t="s">
        <v>646</v>
      </c>
      <c r="D627" s="952">
        <v>36</v>
      </c>
      <c r="E627" s="366" t="s">
        <v>73</v>
      </c>
      <c r="F627" s="671">
        <f t="shared" si="77"/>
        <v>26.110871</v>
      </c>
      <c r="G627" s="671">
        <v>4.08</v>
      </c>
      <c r="H627" s="671">
        <v>5.76</v>
      </c>
      <c r="I627" s="671">
        <v>16.270871</v>
      </c>
      <c r="J627" s="952">
        <v>2342.66</v>
      </c>
      <c r="K627" s="671">
        <v>16.270872</v>
      </c>
      <c r="L627" s="952">
        <v>2342.66</v>
      </c>
      <c r="M627" s="1180">
        <f t="shared" si="78"/>
        <v>0.006945468826035362</v>
      </c>
      <c r="N627" s="673">
        <v>221.4</v>
      </c>
      <c r="O627" s="673">
        <f t="shared" si="79"/>
        <v>1.5377267980842293</v>
      </c>
      <c r="P627" s="673">
        <f t="shared" si="80"/>
        <v>416.72812956212175</v>
      </c>
      <c r="Q627" s="707">
        <f t="shared" si="81"/>
        <v>92.26360788505376</v>
      </c>
      <c r="S627" s="97"/>
      <c r="T627" s="97"/>
    </row>
    <row r="628" spans="1:20" ht="12.75">
      <c r="A628" s="530"/>
      <c r="B628" s="367">
        <v>2</v>
      </c>
      <c r="C628" s="698" t="s">
        <v>647</v>
      </c>
      <c r="D628" s="918">
        <v>20</v>
      </c>
      <c r="E628" s="653" t="s">
        <v>73</v>
      </c>
      <c r="F628" s="850">
        <f t="shared" si="77"/>
        <v>16.388773999999998</v>
      </c>
      <c r="G628" s="850">
        <v>2.397</v>
      </c>
      <c r="H628" s="850">
        <v>3.2</v>
      </c>
      <c r="I628" s="850">
        <v>10.791774</v>
      </c>
      <c r="J628" s="918">
        <v>1514.56</v>
      </c>
      <c r="K628" s="850">
        <v>10.791774</v>
      </c>
      <c r="L628" s="918">
        <v>1514.56</v>
      </c>
      <c r="M628" s="675">
        <f t="shared" si="78"/>
        <v>0.007125352577646313</v>
      </c>
      <c r="N628" s="674">
        <v>221.4</v>
      </c>
      <c r="O628" s="674">
        <f t="shared" si="79"/>
        <v>1.5775530606908938</v>
      </c>
      <c r="P628" s="674">
        <f t="shared" si="80"/>
        <v>427.5211546587788</v>
      </c>
      <c r="Q628" s="676">
        <f t="shared" si="81"/>
        <v>94.65318364145364</v>
      </c>
      <c r="S628" s="97"/>
      <c r="T628" s="97"/>
    </row>
    <row r="629" spans="1:20" ht="12.75">
      <c r="A629" s="530"/>
      <c r="B629" s="367">
        <v>3</v>
      </c>
      <c r="C629" s="633" t="s">
        <v>648</v>
      </c>
      <c r="D629" s="652">
        <v>29</v>
      </c>
      <c r="E629" s="367" t="s">
        <v>73</v>
      </c>
      <c r="F629" s="677">
        <f t="shared" si="77"/>
        <v>9.455</v>
      </c>
      <c r="G629" s="677">
        <v>0.102</v>
      </c>
      <c r="H629" s="677">
        <v>0.153552</v>
      </c>
      <c r="I629" s="677">
        <v>9.199448</v>
      </c>
      <c r="J629" s="652">
        <v>1288.78</v>
      </c>
      <c r="K629" s="677">
        <v>9.199448</v>
      </c>
      <c r="L629" s="652">
        <v>1288.78</v>
      </c>
      <c r="M629" s="679">
        <f t="shared" si="78"/>
        <v>0.007138105805490464</v>
      </c>
      <c r="N629" s="678">
        <v>221.4</v>
      </c>
      <c r="O629" s="678">
        <f t="shared" si="79"/>
        <v>1.5803766253355886</v>
      </c>
      <c r="P629" s="674">
        <f t="shared" si="80"/>
        <v>428.2863483294279</v>
      </c>
      <c r="Q629" s="680">
        <f t="shared" si="81"/>
        <v>94.82259752013533</v>
      </c>
      <c r="S629" s="97"/>
      <c r="T629" s="97"/>
    </row>
    <row r="630" spans="1:20" ht="12.75">
      <c r="A630" s="530"/>
      <c r="B630" s="367">
        <v>4</v>
      </c>
      <c r="C630" s="633" t="s">
        <v>649</v>
      </c>
      <c r="D630" s="652">
        <v>102</v>
      </c>
      <c r="E630" s="653" t="s">
        <v>73</v>
      </c>
      <c r="F630" s="677">
        <f t="shared" si="77"/>
        <v>28.119806</v>
      </c>
      <c r="G630" s="677">
        <v>3.876</v>
      </c>
      <c r="H630" s="677">
        <v>0.84</v>
      </c>
      <c r="I630" s="677">
        <v>23.403806</v>
      </c>
      <c r="J630" s="652">
        <v>3236.9</v>
      </c>
      <c r="K630" s="677">
        <v>23.403806</v>
      </c>
      <c r="L630" s="652">
        <v>3236.9</v>
      </c>
      <c r="M630" s="679">
        <f t="shared" si="78"/>
        <v>0.007230314807377429</v>
      </c>
      <c r="N630" s="674">
        <v>221.4</v>
      </c>
      <c r="O630" s="678">
        <f t="shared" si="79"/>
        <v>1.6007916983533628</v>
      </c>
      <c r="P630" s="674">
        <f t="shared" si="80"/>
        <v>433.8188884426457</v>
      </c>
      <c r="Q630" s="680">
        <f t="shared" si="81"/>
        <v>96.04750190120176</v>
      </c>
      <c r="S630" s="97"/>
      <c r="T630" s="97"/>
    </row>
    <row r="631" spans="1:20" ht="12.75">
      <c r="A631" s="530"/>
      <c r="B631" s="367">
        <v>5</v>
      </c>
      <c r="C631" s="633" t="s">
        <v>650</v>
      </c>
      <c r="D631" s="652">
        <v>24</v>
      </c>
      <c r="E631" s="367" t="s">
        <v>73</v>
      </c>
      <c r="F631" s="677">
        <f t="shared" si="77"/>
        <v>12.880613</v>
      </c>
      <c r="G631" s="677">
        <v>0.663</v>
      </c>
      <c r="H631" s="677">
        <v>3.84</v>
      </c>
      <c r="I631" s="677">
        <v>8.377613</v>
      </c>
      <c r="J631" s="652">
        <v>1127.22</v>
      </c>
      <c r="K631" s="677">
        <v>8.377612</v>
      </c>
      <c r="L631" s="652">
        <v>1127.22</v>
      </c>
      <c r="M631" s="679">
        <f t="shared" si="78"/>
        <v>0.007432100211138907</v>
      </c>
      <c r="N631" s="678">
        <v>221.4</v>
      </c>
      <c r="O631" s="678">
        <f t="shared" si="79"/>
        <v>1.645466986746154</v>
      </c>
      <c r="P631" s="674">
        <f t="shared" si="80"/>
        <v>445.9260126683344</v>
      </c>
      <c r="Q631" s="680">
        <f t="shared" si="81"/>
        <v>98.72801920476924</v>
      </c>
      <c r="S631" s="97"/>
      <c r="T631" s="97"/>
    </row>
    <row r="632" spans="1:20" ht="12.75">
      <c r="A632" s="530"/>
      <c r="B632" s="367">
        <v>6</v>
      </c>
      <c r="C632" s="633" t="s">
        <v>651</v>
      </c>
      <c r="D632" s="652">
        <v>45</v>
      </c>
      <c r="E632" s="653" t="s">
        <v>73</v>
      </c>
      <c r="F632" s="677">
        <f t="shared" si="77"/>
        <v>29.410516</v>
      </c>
      <c r="G632" s="677">
        <v>4.794</v>
      </c>
      <c r="H632" s="677">
        <v>7.12</v>
      </c>
      <c r="I632" s="677">
        <v>17.496516</v>
      </c>
      <c r="J632" s="652">
        <v>2324.82</v>
      </c>
      <c r="K632" s="677">
        <v>17.496516</v>
      </c>
      <c r="L632" s="652">
        <v>2324.82</v>
      </c>
      <c r="M632" s="679">
        <f t="shared" si="78"/>
        <v>0.007525965881229514</v>
      </c>
      <c r="N632" s="674">
        <v>221.4</v>
      </c>
      <c r="O632" s="678">
        <f t="shared" si="79"/>
        <v>1.6662488461042144</v>
      </c>
      <c r="P632" s="674">
        <f t="shared" si="80"/>
        <v>451.55795287377083</v>
      </c>
      <c r="Q632" s="680">
        <f t="shared" si="81"/>
        <v>99.97493076625285</v>
      </c>
      <c r="S632" s="97"/>
      <c r="T632" s="97"/>
    </row>
    <row r="633" spans="1:20" ht="12.75">
      <c r="A633" s="530"/>
      <c r="B633" s="367">
        <v>7</v>
      </c>
      <c r="C633" s="633" t="s">
        <v>652</v>
      </c>
      <c r="D633" s="652">
        <v>13</v>
      </c>
      <c r="E633" s="367" t="s">
        <v>73</v>
      </c>
      <c r="F633" s="677">
        <f t="shared" si="77"/>
        <v>19.95</v>
      </c>
      <c r="G633" s="677"/>
      <c r="H633" s="677">
        <v>0.065808</v>
      </c>
      <c r="I633" s="677">
        <v>19.884192</v>
      </c>
      <c r="J633" s="652">
        <v>2599.57</v>
      </c>
      <c r="K633" s="677">
        <v>19.884192</v>
      </c>
      <c r="L633" s="652">
        <v>2599.57</v>
      </c>
      <c r="M633" s="679">
        <f t="shared" si="78"/>
        <v>0.007649031185926902</v>
      </c>
      <c r="N633" s="678">
        <v>221.4</v>
      </c>
      <c r="O633" s="678">
        <f t="shared" si="79"/>
        <v>1.6934955045642162</v>
      </c>
      <c r="P633" s="674">
        <f t="shared" si="80"/>
        <v>458.94187115561414</v>
      </c>
      <c r="Q633" s="680">
        <f t="shared" si="81"/>
        <v>101.60973027385297</v>
      </c>
      <c r="S633" s="97"/>
      <c r="T633" s="97"/>
    </row>
    <row r="634" spans="1:20" ht="12.75">
      <c r="A634" s="530"/>
      <c r="B634" s="367">
        <v>8</v>
      </c>
      <c r="C634" s="633" t="s">
        <v>653</v>
      </c>
      <c r="D634" s="652">
        <v>54</v>
      </c>
      <c r="E634" s="653" t="s">
        <v>73</v>
      </c>
      <c r="F634" s="677">
        <f t="shared" si="77"/>
        <v>37.142613</v>
      </c>
      <c r="G634" s="677">
        <v>5.814</v>
      </c>
      <c r="H634" s="677">
        <v>8.64</v>
      </c>
      <c r="I634" s="677">
        <v>22.688613</v>
      </c>
      <c r="J634" s="652">
        <v>2957.8</v>
      </c>
      <c r="K634" s="677">
        <v>22.688613</v>
      </c>
      <c r="L634" s="652">
        <v>2957.8</v>
      </c>
      <c r="M634" s="679">
        <f t="shared" si="78"/>
        <v>0.007670773209818108</v>
      </c>
      <c r="N634" s="674">
        <v>221.4</v>
      </c>
      <c r="O634" s="678">
        <f t="shared" si="79"/>
        <v>1.6983091886537292</v>
      </c>
      <c r="P634" s="674">
        <f t="shared" si="80"/>
        <v>460.24639258908644</v>
      </c>
      <c r="Q634" s="680">
        <f t="shared" si="81"/>
        <v>101.89855131922374</v>
      </c>
      <c r="S634" s="97"/>
      <c r="T634" s="97"/>
    </row>
    <row r="635" spans="1:20" ht="12.75">
      <c r="A635" s="530"/>
      <c r="B635" s="367">
        <v>9</v>
      </c>
      <c r="C635" s="633" t="s">
        <v>654</v>
      </c>
      <c r="D635" s="652">
        <v>30</v>
      </c>
      <c r="E635" s="367" t="s">
        <v>73</v>
      </c>
      <c r="F635" s="677">
        <f t="shared" si="77"/>
        <v>22.148226</v>
      </c>
      <c r="G635" s="677">
        <v>2.55</v>
      </c>
      <c r="H635" s="677">
        <v>4.72</v>
      </c>
      <c r="I635" s="677">
        <v>14.878226</v>
      </c>
      <c r="J635" s="652">
        <v>1922.87</v>
      </c>
      <c r="K635" s="677">
        <v>14.878226</v>
      </c>
      <c r="L635" s="652">
        <v>1922.87</v>
      </c>
      <c r="M635" s="679">
        <f t="shared" si="78"/>
        <v>0.007737510076084187</v>
      </c>
      <c r="N635" s="678">
        <v>221.4</v>
      </c>
      <c r="O635" s="678">
        <f t="shared" si="79"/>
        <v>1.713084730845039</v>
      </c>
      <c r="P635" s="674">
        <f t="shared" si="80"/>
        <v>464.2506045650512</v>
      </c>
      <c r="Q635" s="680">
        <f t="shared" si="81"/>
        <v>102.78508385070235</v>
      </c>
      <c r="S635" s="97"/>
      <c r="T635" s="97"/>
    </row>
    <row r="636" spans="1:20" ht="13.5" thickBot="1">
      <c r="A636" s="534"/>
      <c r="B636" s="535">
        <v>10</v>
      </c>
      <c r="C636" s="640" t="s">
        <v>655</v>
      </c>
      <c r="D636" s="658">
        <v>62</v>
      </c>
      <c r="E636" s="535" t="s">
        <v>73</v>
      </c>
      <c r="F636" s="681">
        <f t="shared" si="77"/>
        <v>32.031645</v>
      </c>
      <c r="G636" s="681">
        <v>3.978</v>
      </c>
      <c r="H636" s="681">
        <v>9.69</v>
      </c>
      <c r="I636" s="681">
        <v>18.363645</v>
      </c>
      <c r="J636" s="658">
        <v>2358.24</v>
      </c>
      <c r="K636" s="681">
        <v>18.363644</v>
      </c>
      <c r="L636" s="658">
        <v>2358.24</v>
      </c>
      <c r="M636" s="684">
        <f t="shared" si="78"/>
        <v>0.007787012348191873</v>
      </c>
      <c r="N636" s="683">
        <v>221.4</v>
      </c>
      <c r="O636" s="683">
        <f t="shared" si="79"/>
        <v>1.7240445338896808</v>
      </c>
      <c r="P636" s="683">
        <f t="shared" si="80"/>
        <v>467.2207408915124</v>
      </c>
      <c r="Q636" s="685">
        <f t="shared" si="81"/>
        <v>103.44267203338084</v>
      </c>
      <c r="S636" s="97"/>
      <c r="T636" s="97"/>
    </row>
    <row r="637" spans="1:20" ht="12.75">
      <c r="A637" s="418" t="s">
        <v>12</v>
      </c>
      <c r="B637" s="40">
        <v>1</v>
      </c>
      <c r="C637" s="725" t="s">
        <v>656</v>
      </c>
      <c r="D637" s="922">
        <v>42</v>
      </c>
      <c r="E637" s="88" t="s">
        <v>73</v>
      </c>
      <c r="F637" s="726">
        <f t="shared" si="77"/>
        <v>24.096452</v>
      </c>
      <c r="G637" s="726">
        <v>2.346</v>
      </c>
      <c r="H637" s="726">
        <v>6.74</v>
      </c>
      <c r="I637" s="726">
        <v>15.010452</v>
      </c>
      <c r="J637" s="922">
        <v>1919.95</v>
      </c>
      <c r="K637" s="726">
        <v>15.010452</v>
      </c>
      <c r="L637" s="922">
        <v>1919.95</v>
      </c>
      <c r="M637" s="714">
        <f t="shared" si="78"/>
        <v>0.007818147347587177</v>
      </c>
      <c r="N637" s="715">
        <v>221.4</v>
      </c>
      <c r="O637" s="715">
        <f t="shared" si="79"/>
        <v>1.730937822755801</v>
      </c>
      <c r="P637" s="715">
        <f t="shared" si="80"/>
        <v>469.0888408552306</v>
      </c>
      <c r="Q637" s="716">
        <f t="shared" si="81"/>
        <v>103.85626936534807</v>
      </c>
      <c r="S637" s="97"/>
      <c r="T637" s="97"/>
    </row>
    <row r="638" spans="1:20" ht="12.75">
      <c r="A638" s="382"/>
      <c r="B638" s="42">
        <v>2</v>
      </c>
      <c r="C638" s="725" t="s">
        <v>657</v>
      </c>
      <c r="D638" s="922">
        <v>105</v>
      </c>
      <c r="E638" s="88" t="s">
        <v>73</v>
      </c>
      <c r="F638" s="726">
        <f t="shared" si="77"/>
        <v>33.50371</v>
      </c>
      <c r="G638" s="726">
        <v>5.049</v>
      </c>
      <c r="H638" s="726">
        <v>0.94</v>
      </c>
      <c r="I638" s="726">
        <v>27.51471</v>
      </c>
      <c r="J638" s="922">
        <v>3495.11</v>
      </c>
      <c r="K638" s="726">
        <v>27.514706</v>
      </c>
      <c r="L638" s="922">
        <v>3495.11</v>
      </c>
      <c r="M638" s="714">
        <f t="shared" si="78"/>
        <v>0.007872343359722584</v>
      </c>
      <c r="N638" s="715">
        <v>221.4</v>
      </c>
      <c r="O638" s="715">
        <f t="shared" si="79"/>
        <v>1.74293681984258</v>
      </c>
      <c r="P638" s="715">
        <f t="shared" si="80"/>
        <v>472.340601583355</v>
      </c>
      <c r="Q638" s="716">
        <f t="shared" si="81"/>
        <v>104.5762091905548</v>
      </c>
      <c r="S638" s="97"/>
      <c r="T638" s="97"/>
    </row>
    <row r="639" spans="1:20" ht="12.75">
      <c r="A639" s="382"/>
      <c r="B639" s="42">
        <v>3</v>
      </c>
      <c r="C639" s="52" t="s">
        <v>658</v>
      </c>
      <c r="D639" s="751">
        <v>32</v>
      </c>
      <c r="E639" s="42" t="s">
        <v>73</v>
      </c>
      <c r="F639" s="727">
        <f t="shared" si="77"/>
        <v>14.897226</v>
      </c>
      <c r="G639" s="727">
        <v>3.111</v>
      </c>
      <c r="H639" s="727">
        <v>0.47</v>
      </c>
      <c r="I639" s="727">
        <v>11.316226</v>
      </c>
      <c r="J639" s="751">
        <v>1420.48</v>
      </c>
      <c r="K639" s="727">
        <v>11.316228</v>
      </c>
      <c r="L639" s="751">
        <v>1420.48</v>
      </c>
      <c r="M639" s="721">
        <f t="shared" si="78"/>
        <v>0.007966481752646993</v>
      </c>
      <c r="N639" s="722">
        <v>221.4</v>
      </c>
      <c r="O639" s="722">
        <f t="shared" si="79"/>
        <v>1.7637790600360441</v>
      </c>
      <c r="P639" s="715">
        <f t="shared" si="80"/>
        <v>477.98890515881953</v>
      </c>
      <c r="Q639" s="723">
        <f t="shared" si="81"/>
        <v>105.82674360216265</v>
      </c>
      <c r="S639" s="97"/>
      <c r="T639" s="97"/>
    </row>
    <row r="640" spans="1:20" ht="12.75">
      <c r="A640" s="382"/>
      <c r="B640" s="42">
        <v>4</v>
      </c>
      <c r="C640" s="52" t="s">
        <v>659</v>
      </c>
      <c r="D640" s="751">
        <v>20</v>
      </c>
      <c r="E640" s="42" t="s">
        <v>73</v>
      </c>
      <c r="F640" s="727">
        <f t="shared" si="77"/>
        <v>10.959999999999999</v>
      </c>
      <c r="G640" s="727">
        <v>0.204</v>
      </c>
      <c r="H640" s="727">
        <v>1.710969</v>
      </c>
      <c r="I640" s="727">
        <v>9.045031</v>
      </c>
      <c r="J640" s="751">
        <v>1076.74</v>
      </c>
      <c r="K640" s="727">
        <v>9.04503</v>
      </c>
      <c r="L640" s="751">
        <v>1076.74</v>
      </c>
      <c r="M640" s="721">
        <f t="shared" si="78"/>
        <v>0.008400384493935398</v>
      </c>
      <c r="N640" s="715">
        <v>221.4</v>
      </c>
      <c r="O640" s="722">
        <f t="shared" si="79"/>
        <v>1.859845126957297</v>
      </c>
      <c r="P640" s="715">
        <f t="shared" si="80"/>
        <v>504.02306963612386</v>
      </c>
      <c r="Q640" s="723">
        <f t="shared" si="81"/>
        <v>111.59070761743783</v>
      </c>
      <c r="S640" s="97"/>
      <c r="T640" s="97"/>
    </row>
    <row r="641" spans="1:20" ht="12.75">
      <c r="A641" s="382"/>
      <c r="B641" s="42">
        <v>5</v>
      </c>
      <c r="C641" s="52" t="s">
        <v>660</v>
      </c>
      <c r="D641" s="751">
        <v>12</v>
      </c>
      <c r="E641" s="42" t="s">
        <v>73</v>
      </c>
      <c r="F641" s="727">
        <f t="shared" si="77"/>
        <v>10.52</v>
      </c>
      <c r="G641" s="727"/>
      <c r="H641" s="727"/>
      <c r="I641" s="727">
        <v>10.52</v>
      </c>
      <c r="J641" s="751">
        <v>1215.32</v>
      </c>
      <c r="K641" s="727">
        <v>10.52</v>
      </c>
      <c r="L641" s="751">
        <v>1215.32</v>
      </c>
      <c r="M641" s="721">
        <f t="shared" si="78"/>
        <v>0.008656156403251819</v>
      </c>
      <c r="N641" s="722">
        <v>221.4</v>
      </c>
      <c r="O641" s="722">
        <f t="shared" si="79"/>
        <v>1.9164730276799529</v>
      </c>
      <c r="P641" s="715">
        <f t="shared" si="80"/>
        <v>519.3693841951091</v>
      </c>
      <c r="Q641" s="723">
        <f t="shared" si="81"/>
        <v>114.98838166079716</v>
      </c>
      <c r="S641" s="97"/>
      <c r="T641" s="97"/>
    </row>
    <row r="642" spans="1:20" ht="12.75">
      <c r="A642" s="382"/>
      <c r="B642" s="42">
        <v>6</v>
      </c>
      <c r="C642" s="52" t="s">
        <v>661</v>
      </c>
      <c r="D642" s="751">
        <v>109</v>
      </c>
      <c r="E642" s="42" t="s">
        <v>73</v>
      </c>
      <c r="F642" s="727">
        <f t="shared" si="77"/>
        <v>42.584333</v>
      </c>
      <c r="G642" s="727">
        <v>3.817452</v>
      </c>
      <c r="H642" s="727">
        <v>16.32</v>
      </c>
      <c r="I642" s="727">
        <v>22.446881</v>
      </c>
      <c r="J642" s="751">
        <v>2560.75</v>
      </c>
      <c r="K642" s="727">
        <v>22.446881</v>
      </c>
      <c r="L642" s="751">
        <v>2560.75</v>
      </c>
      <c r="M642" s="721">
        <f t="shared" si="78"/>
        <v>0.008765744801327736</v>
      </c>
      <c r="N642" s="715">
        <v>221.4</v>
      </c>
      <c r="O642" s="722">
        <f t="shared" si="79"/>
        <v>1.9407358990139607</v>
      </c>
      <c r="P642" s="715">
        <f t="shared" si="80"/>
        <v>525.944688079664</v>
      </c>
      <c r="Q642" s="723">
        <f t="shared" si="81"/>
        <v>116.44415394083762</v>
      </c>
      <c r="S642" s="97"/>
      <c r="T642" s="97"/>
    </row>
    <row r="643" spans="1:20" ht="12.75">
      <c r="A643" s="382"/>
      <c r="B643" s="42">
        <v>7</v>
      </c>
      <c r="C643" s="52" t="s">
        <v>662</v>
      </c>
      <c r="D643" s="751">
        <v>12</v>
      </c>
      <c r="E643" s="42" t="s">
        <v>73</v>
      </c>
      <c r="F643" s="727">
        <f t="shared" si="77"/>
        <v>7.265419</v>
      </c>
      <c r="G643" s="727">
        <v>0.51</v>
      </c>
      <c r="H643" s="727">
        <v>1.92</v>
      </c>
      <c r="I643" s="727">
        <v>4.835419</v>
      </c>
      <c r="J643" s="751">
        <v>540.32</v>
      </c>
      <c r="K643" s="727">
        <v>4.835419</v>
      </c>
      <c r="L643" s="751">
        <v>540.32</v>
      </c>
      <c r="M643" s="721">
        <f t="shared" si="78"/>
        <v>0.008949176413976901</v>
      </c>
      <c r="N643" s="722">
        <v>221.4</v>
      </c>
      <c r="O643" s="722">
        <f t="shared" si="79"/>
        <v>1.981347658054486</v>
      </c>
      <c r="P643" s="715">
        <f t="shared" si="80"/>
        <v>536.9505848386141</v>
      </c>
      <c r="Q643" s="723">
        <f t="shared" si="81"/>
        <v>118.88085948326916</v>
      </c>
      <c r="S643" s="97"/>
      <c r="T643" s="97"/>
    </row>
    <row r="644" spans="1:20" ht="12.75">
      <c r="A644" s="382"/>
      <c r="B644" s="42">
        <v>8</v>
      </c>
      <c r="C644" s="52" t="s">
        <v>663</v>
      </c>
      <c r="D644" s="751">
        <v>44</v>
      </c>
      <c r="E644" s="42" t="s">
        <v>73</v>
      </c>
      <c r="F644" s="727">
        <f t="shared" si="77"/>
        <v>17.397</v>
      </c>
      <c r="G644" s="727"/>
      <c r="H644" s="727"/>
      <c r="I644" s="727">
        <v>17.397</v>
      </c>
      <c r="J644" s="751">
        <v>1876.15</v>
      </c>
      <c r="K644" s="727">
        <v>17.396997</v>
      </c>
      <c r="L644" s="751">
        <v>1876.15</v>
      </c>
      <c r="M644" s="721">
        <f t="shared" si="78"/>
        <v>0.009272711137169203</v>
      </c>
      <c r="N644" s="715">
        <v>221.4</v>
      </c>
      <c r="O644" s="722">
        <f t="shared" si="79"/>
        <v>2.0529782457692614</v>
      </c>
      <c r="P644" s="715">
        <f t="shared" si="80"/>
        <v>556.3626682301522</v>
      </c>
      <c r="Q644" s="723">
        <f t="shared" si="81"/>
        <v>123.1786947461557</v>
      </c>
      <c r="S644" s="97"/>
      <c r="T644" s="97"/>
    </row>
    <row r="645" spans="1:20" ht="12.75">
      <c r="A645" s="382"/>
      <c r="B645" s="42">
        <v>9</v>
      </c>
      <c r="C645" s="52" t="s">
        <v>664</v>
      </c>
      <c r="D645" s="751">
        <v>10</v>
      </c>
      <c r="E645" s="42" t="s">
        <v>73</v>
      </c>
      <c r="F645" s="727">
        <f t="shared" si="77"/>
        <v>7.153742</v>
      </c>
      <c r="G645" s="727">
        <v>0.459</v>
      </c>
      <c r="H645" s="727">
        <v>1.52</v>
      </c>
      <c r="I645" s="727">
        <v>5.174742</v>
      </c>
      <c r="J645" s="751">
        <v>528.57</v>
      </c>
      <c r="K645" s="727">
        <v>5.174743</v>
      </c>
      <c r="L645" s="751">
        <v>528.57</v>
      </c>
      <c r="M645" s="721">
        <f t="shared" si="78"/>
        <v>0.009790080784002118</v>
      </c>
      <c r="N645" s="722">
        <v>221.4</v>
      </c>
      <c r="O645" s="722">
        <f t="shared" si="79"/>
        <v>2.167523885578069</v>
      </c>
      <c r="P645" s="715">
        <f t="shared" si="80"/>
        <v>587.404847040127</v>
      </c>
      <c r="Q645" s="723">
        <f t="shared" si="81"/>
        <v>130.05143313468415</v>
      </c>
      <c r="S645" s="97"/>
      <c r="T645" s="97"/>
    </row>
    <row r="646" spans="1:20" ht="13.5" thickBot="1">
      <c r="A646" s="383"/>
      <c r="B646" s="47">
        <v>10</v>
      </c>
      <c r="C646" s="90" t="s">
        <v>665</v>
      </c>
      <c r="D646" s="751">
        <v>28</v>
      </c>
      <c r="E646" s="42" t="s">
        <v>73</v>
      </c>
      <c r="F646" s="727">
        <f t="shared" si="77"/>
        <v>15.297</v>
      </c>
      <c r="G646" s="727"/>
      <c r="H646" s="727"/>
      <c r="I646" s="727">
        <v>15.297</v>
      </c>
      <c r="J646" s="751">
        <v>1512.77</v>
      </c>
      <c r="K646" s="727">
        <v>15.297</v>
      </c>
      <c r="L646" s="751">
        <v>1512.77</v>
      </c>
      <c r="M646" s="721">
        <f t="shared" si="78"/>
        <v>0.010111913906277888</v>
      </c>
      <c r="N646" s="715">
        <v>221.4</v>
      </c>
      <c r="O646" s="722">
        <f t="shared" si="79"/>
        <v>2.2387777388499246</v>
      </c>
      <c r="P646" s="715">
        <f t="shared" si="80"/>
        <v>606.7148343766733</v>
      </c>
      <c r="Q646" s="723">
        <f t="shared" si="81"/>
        <v>134.32666433099547</v>
      </c>
      <c r="S646" s="97"/>
      <c r="T646" s="97"/>
    </row>
    <row r="647" spans="19:20" ht="12.75">
      <c r="S647" s="97"/>
      <c r="T647" s="97"/>
    </row>
    <row r="648" spans="19:20" ht="12.75">
      <c r="S648" s="97"/>
      <c r="T648" s="97"/>
    </row>
    <row r="649" spans="19:20" ht="12.75">
      <c r="S649" s="97"/>
      <c r="T649" s="97"/>
    </row>
    <row r="650" spans="3:20" ht="12.75">
      <c r="C650" s="1"/>
      <c r="D650" s="1"/>
      <c r="E650" s="1"/>
      <c r="S650" s="97"/>
      <c r="T650" s="97"/>
    </row>
    <row r="651" spans="3:20" ht="12.75">
      <c r="C651" s="1"/>
      <c r="D651" s="1"/>
      <c r="E651" s="1"/>
      <c r="S651" s="97"/>
      <c r="T651" s="97"/>
    </row>
    <row r="652" spans="1:20" s="17" customFormat="1" ht="12.75" customHeight="1">
      <c r="A652" s="393" t="s">
        <v>41</v>
      </c>
      <c r="B652" s="393"/>
      <c r="C652" s="393"/>
      <c r="D652" s="393"/>
      <c r="E652" s="393"/>
      <c r="F652" s="393"/>
      <c r="G652" s="393"/>
      <c r="H652" s="393"/>
      <c r="I652" s="393"/>
      <c r="J652" s="393"/>
      <c r="K652" s="393"/>
      <c r="L652" s="393"/>
      <c r="M652" s="393"/>
      <c r="N652" s="393"/>
      <c r="O652" s="393"/>
      <c r="P652" s="393"/>
      <c r="Q652" s="393"/>
      <c r="S652" s="97"/>
      <c r="T652" s="97"/>
    </row>
    <row r="653" spans="1:20" s="17" customFormat="1" ht="15" customHeight="1" thickBot="1">
      <c r="A653" s="394" t="s">
        <v>666</v>
      </c>
      <c r="B653" s="394"/>
      <c r="C653" s="394"/>
      <c r="D653" s="394"/>
      <c r="E653" s="394"/>
      <c r="F653" s="394"/>
      <c r="G653" s="394"/>
      <c r="H653" s="394"/>
      <c r="I653" s="394"/>
      <c r="J653" s="394"/>
      <c r="K653" s="394"/>
      <c r="L653" s="394"/>
      <c r="M653" s="394"/>
      <c r="N653" s="394"/>
      <c r="O653" s="394"/>
      <c r="P653" s="394"/>
      <c r="Q653" s="394"/>
      <c r="S653" s="97"/>
      <c r="T653" s="97"/>
    </row>
    <row r="654" spans="1:20" ht="12.75" customHeight="1">
      <c r="A654" s="470" t="s">
        <v>1</v>
      </c>
      <c r="B654" s="397" t="s">
        <v>0</v>
      </c>
      <c r="C654" s="456" t="s">
        <v>2</v>
      </c>
      <c r="D654" s="456" t="s">
        <v>3</v>
      </c>
      <c r="E654" s="456" t="s">
        <v>42</v>
      </c>
      <c r="F654" s="457" t="s">
        <v>14</v>
      </c>
      <c r="G654" s="457"/>
      <c r="H654" s="457"/>
      <c r="I654" s="457"/>
      <c r="J654" s="456" t="s">
        <v>4</v>
      </c>
      <c r="K654" s="456" t="s">
        <v>15</v>
      </c>
      <c r="L654" s="456" t="s">
        <v>5</v>
      </c>
      <c r="M654" s="456" t="s">
        <v>6</v>
      </c>
      <c r="N654" s="456" t="s">
        <v>16</v>
      </c>
      <c r="O654" s="456" t="s">
        <v>17</v>
      </c>
      <c r="P654" s="468" t="s">
        <v>25</v>
      </c>
      <c r="Q654" s="391" t="s">
        <v>26</v>
      </c>
      <c r="S654" s="97"/>
      <c r="T654" s="97"/>
    </row>
    <row r="655" spans="1:20" s="2" customFormat="1" ht="33.75">
      <c r="A655" s="471"/>
      <c r="B655" s="398"/>
      <c r="C655" s="425"/>
      <c r="D655" s="425"/>
      <c r="E655" s="425"/>
      <c r="F655" s="37" t="s">
        <v>18</v>
      </c>
      <c r="G655" s="37" t="s">
        <v>19</v>
      </c>
      <c r="H655" s="37" t="s">
        <v>32</v>
      </c>
      <c r="I655" s="37" t="s">
        <v>21</v>
      </c>
      <c r="J655" s="425"/>
      <c r="K655" s="425"/>
      <c r="L655" s="425"/>
      <c r="M655" s="425"/>
      <c r="N655" s="425"/>
      <c r="O655" s="425"/>
      <c r="P655" s="469"/>
      <c r="Q655" s="392"/>
      <c r="S655" s="97"/>
      <c r="T655" s="97"/>
    </row>
    <row r="656" spans="1:20" s="3" customFormat="1" ht="13.5" customHeight="1" thickBot="1">
      <c r="A656" s="472"/>
      <c r="B656" s="398"/>
      <c r="C656" s="433"/>
      <c r="D656" s="65" t="s">
        <v>7</v>
      </c>
      <c r="E656" s="65" t="s">
        <v>8</v>
      </c>
      <c r="F656" s="65" t="s">
        <v>9</v>
      </c>
      <c r="G656" s="65" t="s">
        <v>9</v>
      </c>
      <c r="H656" s="65" t="s">
        <v>9</v>
      </c>
      <c r="I656" s="65" t="s">
        <v>9</v>
      </c>
      <c r="J656" s="65" t="s">
        <v>22</v>
      </c>
      <c r="K656" s="65" t="s">
        <v>9</v>
      </c>
      <c r="L656" s="65" t="s">
        <v>22</v>
      </c>
      <c r="M656" s="65" t="s">
        <v>23</v>
      </c>
      <c r="N656" s="65" t="s">
        <v>10</v>
      </c>
      <c r="O656" s="65" t="s">
        <v>24</v>
      </c>
      <c r="P656" s="72" t="s">
        <v>27</v>
      </c>
      <c r="Q656" s="67" t="s">
        <v>28</v>
      </c>
      <c r="S656" s="97"/>
      <c r="T656" s="97"/>
    </row>
    <row r="657" spans="1:20" ht="12.75">
      <c r="A657" s="453" t="s">
        <v>11</v>
      </c>
      <c r="B657" s="31">
        <v>1</v>
      </c>
      <c r="C657" s="69" t="s">
        <v>667</v>
      </c>
      <c r="D657" s="68">
        <v>29</v>
      </c>
      <c r="E657" s="68" t="s">
        <v>73</v>
      </c>
      <c r="F657" s="1210">
        <f aca="true" t="shared" si="82" ref="F657:F696">G657+H657+I657</f>
        <v>9.699</v>
      </c>
      <c r="G657" s="277">
        <v>3.2594</v>
      </c>
      <c r="H657" s="277">
        <v>4.64</v>
      </c>
      <c r="I657" s="277">
        <v>1.7996</v>
      </c>
      <c r="J657" s="1183">
        <v>1637.55</v>
      </c>
      <c r="K657" s="572">
        <v>1.7996</v>
      </c>
      <c r="L657" s="1183">
        <v>1637.55</v>
      </c>
      <c r="M657" s="356">
        <f aca="true" t="shared" si="83" ref="M657:M696">K657/L657</f>
        <v>0.0010989588104180026</v>
      </c>
      <c r="N657" s="573">
        <v>206.4</v>
      </c>
      <c r="O657" s="1185">
        <f aca="true" t="shared" si="84" ref="O657:O696">M657*N657</f>
        <v>0.22682509847027574</v>
      </c>
      <c r="P657" s="1185">
        <f aca="true" t="shared" si="85" ref="P657:P696">M657*1000*60</f>
        <v>65.93752862508015</v>
      </c>
      <c r="Q657" s="1186">
        <f aca="true" t="shared" si="86" ref="Q657:Q696">O657*60</f>
        <v>13.609505908216544</v>
      </c>
      <c r="R657" s="6"/>
      <c r="S657" s="97"/>
      <c r="T657" s="97"/>
    </row>
    <row r="658" spans="1:20" ht="12.75">
      <c r="A658" s="454"/>
      <c r="B658" s="32">
        <v>2</v>
      </c>
      <c r="C658" s="16" t="s">
        <v>272</v>
      </c>
      <c r="D658" s="32">
        <v>22</v>
      </c>
      <c r="E658" s="32">
        <v>2009</v>
      </c>
      <c r="F658" s="578">
        <f t="shared" si="82"/>
        <v>5.4584</v>
      </c>
      <c r="G658" s="578">
        <v>3.0129</v>
      </c>
      <c r="H658" s="578">
        <v>0</v>
      </c>
      <c r="I658" s="578">
        <v>2.4455</v>
      </c>
      <c r="J658" s="265">
        <v>2046.35</v>
      </c>
      <c r="K658" s="578">
        <v>2.4455</v>
      </c>
      <c r="L658" s="265">
        <v>2046.35</v>
      </c>
      <c r="M658" s="156">
        <f t="shared" si="83"/>
        <v>0.00119505460942654</v>
      </c>
      <c r="N658" s="157">
        <v>206.4</v>
      </c>
      <c r="O658" s="1187">
        <f t="shared" si="84"/>
        <v>0.24665927138563784</v>
      </c>
      <c r="P658" s="1187">
        <f t="shared" si="85"/>
        <v>71.7032765655924</v>
      </c>
      <c r="Q658" s="1175">
        <f t="shared" si="86"/>
        <v>14.799556283138271</v>
      </c>
      <c r="S658" s="97"/>
      <c r="T658" s="97"/>
    </row>
    <row r="659" spans="1:20" ht="12.75">
      <c r="A659" s="454"/>
      <c r="B659" s="32">
        <v>3</v>
      </c>
      <c r="C659" s="69" t="s">
        <v>668</v>
      </c>
      <c r="D659" s="68">
        <v>30</v>
      </c>
      <c r="E659" s="68" t="s">
        <v>273</v>
      </c>
      <c r="F659" s="578">
        <f t="shared" si="82"/>
        <v>10.2881</v>
      </c>
      <c r="G659" s="277">
        <v>3.3416</v>
      </c>
      <c r="H659" s="277">
        <v>4.8</v>
      </c>
      <c r="I659" s="277">
        <v>2.1465</v>
      </c>
      <c r="J659" s="1183">
        <v>1717.43</v>
      </c>
      <c r="K659" s="572">
        <v>2.1465</v>
      </c>
      <c r="L659" s="1183">
        <v>1717.43</v>
      </c>
      <c r="M659" s="356">
        <f t="shared" si="83"/>
        <v>0.0012498325987085354</v>
      </c>
      <c r="N659" s="573">
        <v>206.4</v>
      </c>
      <c r="O659" s="1187">
        <f t="shared" si="84"/>
        <v>0.2579654483734417</v>
      </c>
      <c r="P659" s="1187">
        <f t="shared" si="85"/>
        <v>74.98995592251212</v>
      </c>
      <c r="Q659" s="1175">
        <f t="shared" si="86"/>
        <v>15.477926902406502</v>
      </c>
      <c r="S659" s="97"/>
      <c r="T659" s="97"/>
    </row>
    <row r="660" spans="1:20" ht="12.75">
      <c r="A660" s="454"/>
      <c r="B660" s="32">
        <v>4</v>
      </c>
      <c r="C660" s="16" t="s">
        <v>669</v>
      </c>
      <c r="D660" s="68">
        <v>20</v>
      </c>
      <c r="E660" s="68" t="s">
        <v>73</v>
      </c>
      <c r="F660" s="277">
        <f t="shared" si="82"/>
        <v>7</v>
      </c>
      <c r="G660" s="277">
        <v>2.0269</v>
      </c>
      <c r="H660" s="277">
        <v>3.2</v>
      </c>
      <c r="I660" s="277">
        <v>1.7731</v>
      </c>
      <c r="J660" s="1183">
        <v>1035.75</v>
      </c>
      <c r="K660" s="572">
        <v>1.7731</v>
      </c>
      <c r="L660" s="1183">
        <v>1035.75</v>
      </c>
      <c r="M660" s="356">
        <f t="shared" si="83"/>
        <v>0.0017118995896693216</v>
      </c>
      <c r="N660" s="573">
        <v>206.4</v>
      </c>
      <c r="O660" s="357">
        <f t="shared" si="84"/>
        <v>0.353336075307748</v>
      </c>
      <c r="P660" s="357">
        <f t="shared" si="85"/>
        <v>102.7139753801593</v>
      </c>
      <c r="Q660" s="1188">
        <f t="shared" si="86"/>
        <v>21.20016451846488</v>
      </c>
      <c r="S660" s="97"/>
      <c r="T660" s="97"/>
    </row>
    <row r="661" spans="1:20" ht="12.75">
      <c r="A661" s="454"/>
      <c r="B661" s="32">
        <v>5</v>
      </c>
      <c r="C661" s="16" t="s">
        <v>274</v>
      </c>
      <c r="D661" s="32">
        <v>30</v>
      </c>
      <c r="E661" s="32" t="s">
        <v>73</v>
      </c>
      <c r="F661" s="1211">
        <f t="shared" si="82"/>
        <v>11</v>
      </c>
      <c r="G661" s="1212">
        <v>2.9033</v>
      </c>
      <c r="H661" s="1211">
        <v>4.8</v>
      </c>
      <c r="I661" s="1211">
        <v>3.2967</v>
      </c>
      <c r="J661" s="1223">
        <v>1712.83</v>
      </c>
      <c r="K661" s="1211">
        <v>3.2967</v>
      </c>
      <c r="L661" s="1223">
        <v>1712.83</v>
      </c>
      <c r="M661" s="1189">
        <f t="shared" si="83"/>
        <v>0.001924709399064706</v>
      </c>
      <c r="N661" s="1190">
        <v>206.4</v>
      </c>
      <c r="O661" s="1191">
        <f t="shared" si="84"/>
        <v>0.3972600199669553</v>
      </c>
      <c r="P661" s="1191">
        <f t="shared" si="85"/>
        <v>115.48256394388235</v>
      </c>
      <c r="Q661" s="1192">
        <f t="shared" si="86"/>
        <v>23.83560119801732</v>
      </c>
      <c r="S661" s="97"/>
      <c r="T661" s="97"/>
    </row>
    <row r="662" spans="1:20" ht="12.75">
      <c r="A662" s="454"/>
      <c r="B662" s="32">
        <v>6</v>
      </c>
      <c r="C662" s="16" t="s">
        <v>278</v>
      </c>
      <c r="D662" s="32">
        <v>22</v>
      </c>
      <c r="E662" s="32" t="s">
        <v>73</v>
      </c>
      <c r="F662" s="578">
        <f t="shared" si="82"/>
        <v>9.17</v>
      </c>
      <c r="G662" s="578">
        <v>3.1225</v>
      </c>
      <c r="H662" s="578">
        <v>3.52</v>
      </c>
      <c r="I662" s="578">
        <v>2.5275</v>
      </c>
      <c r="J662" s="265">
        <v>1237.62</v>
      </c>
      <c r="K662" s="578">
        <v>2.575</v>
      </c>
      <c r="L662" s="265">
        <v>1237.62</v>
      </c>
      <c r="M662" s="156">
        <f t="shared" si="83"/>
        <v>0.0020806063250432285</v>
      </c>
      <c r="N662" s="157">
        <v>206.4</v>
      </c>
      <c r="O662" s="1187">
        <f t="shared" si="84"/>
        <v>0.42943714548892237</v>
      </c>
      <c r="P662" s="1187">
        <f t="shared" si="85"/>
        <v>124.8363795025937</v>
      </c>
      <c r="Q662" s="1175">
        <f t="shared" si="86"/>
        <v>25.766228729335342</v>
      </c>
      <c r="S662" s="97"/>
      <c r="T662" s="97"/>
    </row>
    <row r="663" spans="1:20" ht="12.75">
      <c r="A663" s="454"/>
      <c r="B663" s="32">
        <v>7</v>
      </c>
      <c r="C663" s="16" t="s">
        <v>670</v>
      </c>
      <c r="D663" s="32">
        <v>50</v>
      </c>
      <c r="E663" s="32" t="s">
        <v>73</v>
      </c>
      <c r="F663" s="578">
        <f t="shared" si="82"/>
        <v>18.562</v>
      </c>
      <c r="G663" s="1213">
        <v>5.1767</v>
      </c>
      <c r="H663" s="578">
        <v>7.92</v>
      </c>
      <c r="I663" s="578">
        <v>5.4653</v>
      </c>
      <c r="J663" s="265">
        <v>2596.6</v>
      </c>
      <c r="K663" s="578">
        <v>5.4653</v>
      </c>
      <c r="L663" s="265">
        <v>2596.6</v>
      </c>
      <c r="M663" s="356">
        <f t="shared" si="83"/>
        <v>0.002104790880382038</v>
      </c>
      <c r="N663" s="157">
        <v>206.4</v>
      </c>
      <c r="O663" s="1187">
        <f t="shared" si="84"/>
        <v>0.43442883771085267</v>
      </c>
      <c r="P663" s="1187">
        <f t="shared" si="85"/>
        <v>126.2874528229223</v>
      </c>
      <c r="Q663" s="1175">
        <f t="shared" si="86"/>
        <v>26.06573026265116</v>
      </c>
      <c r="S663" s="97"/>
      <c r="T663" s="97"/>
    </row>
    <row r="664" spans="1:20" ht="12.75">
      <c r="A664" s="454"/>
      <c r="B664" s="32">
        <v>8</v>
      </c>
      <c r="C664" s="69" t="s">
        <v>275</v>
      </c>
      <c r="D664" s="68">
        <v>13</v>
      </c>
      <c r="E664" s="68">
        <v>2007</v>
      </c>
      <c r="F664" s="578">
        <f t="shared" si="82"/>
        <v>6.782</v>
      </c>
      <c r="G664" s="277">
        <v>2.0816</v>
      </c>
      <c r="H664" s="277">
        <v>2</v>
      </c>
      <c r="I664" s="277">
        <v>2.7004</v>
      </c>
      <c r="J664" s="1183">
        <v>1052.22</v>
      </c>
      <c r="K664" s="572">
        <v>2.7004</v>
      </c>
      <c r="L664" s="1183">
        <v>1052.22</v>
      </c>
      <c r="M664" s="356">
        <f t="shared" si="83"/>
        <v>0.002566383455931269</v>
      </c>
      <c r="N664" s="573">
        <v>206.4</v>
      </c>
      <c r="O664" s="1187">
        <f t="shared" si="84"/>
        <v>0.529701545304214</v>
      </c>
      <c r="P664" s="1187">
        <f t="shared" si="85"/>
        <v>153.98300735587617</v>
      </c>
      <c r="Q664" s="1175">
        <f t="shared" si="86"/>
        <v>31.78209271825284</v>
      </c>
      <c r="S664" s="97"/>
      <c r="T664" s="97"/>
    </row>
    <row r="665" spans="1:20" ht="12.75">
      <c r="A665" s="454"/>
      <c r="B665" s="32">
        <v>9</v>
      </c>
      <c r="C665" s="16" t="s">
        <v>276</v>
      </c>
      <c r="D665" s="32">
        <v>60</v>
      </c>
      <c r="E665" s="32" t="s">
        <v>73</v>
      </c>
      <c r="F665" s="578">
        <f t="shared" si="82"/>
        <v>25.2498</v>
      </c>
      <c r="G665" s="578">
        <v>7.4501</v>
      </c>
      <c r="H665" s="578">
        <v>9.6</v>
      </c>
      <c r="I665" s="578">
        <v>8.1997</v>
      </c>
      <c r="J665" s="265">
        <v>3136.98</v>
      </c>
      <c r="K665" s="578">
        <v>8.1997</v>
      </c>
      <c r="L665" s="265">
        <v>3136.98</v>
      </c>
      <c r="M665" s="356">
        <f t="shared" si="83"/>
        <v>0.002613883416534374</v>
      </c>
      <c r="N665" s="157">
        <v>206.4</v>
      </c>
      <c r="O665" s="1187">
        <f t="shared" si="84"/>
        <v>0.5395055371726948</v>
      </c>
      <c r="P665" s="1187">
        <f t="shared" si="85"/>
        <v>156.83300499206243</v>
      </c>
      <c r="Q665" s="1175">
        <f t="shared" si="86"/>
        <v>32.37033223036169</v>
      </c>
      <c r="S665" s="97"/>
      <c r="T665" s="97"/>
    </row>
    <row r="666" spans="1:20" s="110" customFormat="1" ht="13.5" thickBot="1">
      <c r="A666" s="455"/>
      <c r="B666" s="118">
        <v>10</v>
      </c>
      <c r="C666" s="16" t="s">
        <v>671</v>
      </c>
      <c r="D666" s="32">
        <v>60</v>
      </c>
      <c r="E666" s="32" t="s">
        <v>73</v>
      </c>
      <c r="F666" s="578">
        <f t="shared" si="82"/>
        <v>24.4102</v>
      </c>
      <c r="G666" s="1213">
        <v>6.5024</v>
      </c>
      <c r="H666" s="578">
        <v>9.6</v>
      </c>
      <c r="I666" s="578">
        <v>8.3078</v>
      </c>
      <c r="J666" s="265">
        <v>3121.61</v>
      </c>
      <c r="K666" s="578">
        <v>8.3078</v>
      </c>
      <c r="L666" s="265">
        <v>3121.61</v>
      </c>
      <c r="M666" s="1176">
        <f t="shared" si="83"/>
        <v>0.0026613830683525487</v>
      </c>
      <c r="N666" s="160">
        <v>206.4</v>
      </c>
      <c r="O666" s="1185">
        <f t="shared" si="84"/>
        <v>0.5493094653079661</v>
      </c>
      <c r="P666" s="1185">
        <f t="shared" si="85"/>
        <v>159.68298410115293</v>
      </c>
      <c r="Q666" s="1186">
        <f t="shared" si="86"/>
        <v>32.95856791847797</v>
      </c>
      <c r="S666" s="97"/>
      <c r="T666" s="97"/>
    </row>
    <row r="667" spans="1:20" ht="12.75">
      <c r="A667" s="462" t="s">
        <v>29</v>
      </c>
      <c r="B667" s="34">
        <v>1</v>
      </c>
      <c r="C667" s="33" t="s">
        <v>672</v>
      </c>
      <c r="D667" s="34">
        <v>30</v>
      </c>
      <c r="E667" s="34" t="s">
        <v>73</v>
      </c>
      <c r="F667" s="1214">
        <f t="shared" si="82"/>
        <v>12.920100000000001</v>
      </c>
      <c r="G667" s="608">
        <v>3.9606</v>
      </c>
      <c r="H667" s="608">
        <v>4.8</v>
      </c>
      <c r="I667" s="608">
        <v>4.1595</v>
      </c>
      <c r="J667" s="951">
        <v>1557.33</v>
      </c>
      <c r="K667" s="608">
        <v>4.1595</v>
      </c>
      <c r="L667" s="951">
        <v>1557.33</v>
      </c>
      <c r="M667" s="184">
        <f t="shared" si="83"/>
        <v>0.0026709175319296493</v>
      </c>
      <c r="N667" s="185">
        <v>206.4</v>
      </c>
      <c r="O667" s="1193">
        <f t="shared" si="84"/>
        <v>0.5512773785902796</v>
      </c>
      <c r="P667" s="1193">
        <f t="shared" si="85"/>
        <v>160.25505191577898</v>
      </c>
      <c r="Q667" s="1194">
        <f t="shared" si="86"/>
        <v>33.076642715416774</v>
      </c>
      <c r="S667" s="97"/>
      <c r="T667" s="97"/>
    </row>
    <row r="668" spans="1:20" ht="12.75">
      <c r="A668" s="463"/>
      <c r="B668" s="36">
        <v>2</v>
      </c>
      <c r="C668" s="35" t="s">
        <v>673</v>
      </c>
      <c r="D668" s="36">
        <v>41</v>
      </c>
      <c r="E668" s="36" t="s">
        <v>73</v>
      </c>
      <c r="F668" s="609">
        <f t="shared" si="82"/>
        <v>18.966</v>
      </c>
      <c r="G668" s="609">
        <v>5.8779</v>
      </c>
      <c r="H668" s="609">
        <v>6.56</v>
      </c>
      <c r="I668" s="609">
        <v>6.5281</v>
      </c>
      <c r="J668" s="135">
        <v>2326.63</v>
      </c>
      <c r="K668" s="609">
        <v>6.5281</v>
      </c>
      <c r="L668" s="135">
        <v>2326.63</v>
      </c>
      <c r="M668" s="184">
        <f t="shared" si="83"/>
        <v>0.0028058178567284013</v>
      </c>
      <c r="N668" s="185">
        <v>206.4</v>
      </c>
      <c r="O668" s="1195">
        <f t="shared" si="84"/>
        <v>0.579120805628742</v>
      </c>
      <c r="P668" s="1195">
        <f t="shared" si="85"/>
        <v>168.34907140370407</v>
      </c>
      <c r="Q668" s="251">
        <f t="shared" si="86"/>
        <v>34.74724833772452</v>
      </c>
      <c r="S668" s="97"/>
      <c r="T668" s="97"/>
    </row>
    <row r="669" spans="1:20" s="110" customFormat="1" ht="12.75">
      <c r="A669" s="463"/>
      <c r="B669" s="120">
        <v>3</v>
      </c>
      <c r="C669" s="35" t="s">
        <v>277</v>
      </c>
      <c r="D669" s="36">
        <v>60</v>
      </c>
      <c r="E669" s="36" t="s">
        <v>73</v>
      </c>
      <c r="F669" s="609">
        <f t="shared" si="82"/>
        <v>23.415</v>
      </c>
      <c r="G669" s="609">
        <v>4.985</v>
      </c>
      <c r="H669" s="609">
        <v>9.6</v>
      </c>
      <c r="I669" s="609">
        <v>8.83</v>
      </c>
      <c r="J669" s="135">
        <v>3137.37</v>
      </c>
      <c r="K669" s="609">
        <v>8.83</v>
      </c>
      <c r="L669" s="135">
        <v>3137.37</v>
      </c>
      <c r="M669" s="164">
        <f t="shared" si="83"/>
        <v>0.0028144592445264664</v>
      </c>
      <c r="N669" s="185">
        <v>206.4</v>
      </c>
      <c r="O669" s="917">
        <f t="shared" si="84"/>
        <v>0.5809043880702627</v>
      </c>
      <c r="P669" s="917">
        <f t="shared" si="85"/>
        <v>168.86755467158798</v>
      </c>
      <c r="Q669" s="1196">
        <f t="shared" si="86"/>
        <v>34.85426328421576</v>
      </c>
      <c r="S669" s="97"/>
      <c r="T669" s="97"/>
    </row>
    <row r="670" spans="1:20" ht="12.75">
      <c r="A670" s="463"/>
      <c r="B670" s="36">
        <v>4</v>
      </c>
      <c r="C670" s="35" t="s">
        <v>674</v>
      </c>
      <c r="D670" s="36">
        <v>30</v>
      </c>
      <c r="E670" s="36" t="s">
        <v>73</v>
      </c>
      <c r="F670" s="609">
        <f t="shared" si="82"/>
        <v>12.8241</v>
      </c>
      <c r="G670" s="609">
        <v>2.98</v>
      </c>
      <c r="H670" s="609">
        <v>4.8</v>
      </c>
      <c r="I670" s="609">
        <v>5.0441</v>
      </c>
      <c r="J670" s="135">
        <v>1709.2</v>
      </c>
      <c r="K670" s="609">
        <v>5.0441</v>
      </c>
      <c r="L670" s="135">
        <v>1709.2</v>
      </c>
      <c r="M670" s="164">
        <f t="shared" si="83"/>
        <v>0.0029511467353147674</v>
      </c>
      <c r="N670" s="185">
        <v>206.4</v>
      </c>
      <c r="O670" s="1195">
        <f t="shared" si="84"/>
        <v>0.609116686168968</v>
      </c>
      <c r="P670" s="1195">
        <f t="shared" si="85"/>
        <v>177.06880411888605</v>
      </c>
      <c r="Q670" s="251">
        <f t="shared" si="86"/>
        <v>36.54700117013808</v>
      </c>
      <c r="S670" s="97"/>
      <c r="T670" s="97"/>
    </row>
    <row r="671" spans="1:20" ht="12.75">
      <c r="A671" s="463"/>
      <c r="B671" s="36">
        <v>5</v>
      </c>
      <c r="C671" s="35" t="s">
        <v>675</v>
      </c>
      <c r="D671" s="36">
        <v>30</v>
      </c>
      <c r="E671" s="36" t="s">
        <v>73</v>
      </c>
      <c r="F671" s="1215">
        <f t="shared" si="82"/>
        <v>13.4022</v>
      </c>
      <c r="G671" s="609">
        <v>3.5059</v>
      </c>
      <c r="H671" s="609">
        <v>4.8</v>
      </c>
      <c r="I671" s="609">
        <v>5.0963</v>
      </c>
      <c r="J671" s="135">
        <v>1713.36</v>
      </c>
      <c r="K671" s="609">
        <v>5.0963</v>
      </c>
      <c r="L671" s="135">
        <v>1713.36</v>
      </c>
      <c r="M671" s="164">
        <f t="shared" si="83"/>
        <v>0.0029744478685156655</v>
      </c>
      <c r="N671" s="185">
        <v>206.4</v>
      </c>
      <c r="O671" s="917">
        <f t="shared" si="84"/>
        <v>0.6139260400616334</v>
      </c>
      <c r="P671" s="917">
        <f t="shared" si="85"/>
        <v>178.46687211093993</v>
      </c>
      <c r="Q671" s="1196">
        <f t="shared" si="86"/>
        <v>36.835562403698006</v>
      </c>
      <c r="S671" s="97"/>
      <c r="T671" s="97"/>
    </row>
    <row r="672" spans="1:20" ht="12.75">
      <c r="A672" s="463"/>
      <c r="B672" s="36">
        <v>6</v>
      </c>
      <c r="C672" s="35" t="s">
        <v>676</v>
      </c>
      <c r="D672" s="36">
        <v>30</v>
      </c>
      <c r="E672" s="36" t="s">
        <v>73</v>
      </c>
      <c r="F672" s="609">
        <f t="shared" si="82"/>
        <v>12.6473</v>
      </c>
      <c r="G672" s="609">
        <v>2.6021</v>
      </c>
      <c r="H672" s="609">
        <v>4.8</v>
      </c>
      <c r="I672" s="609">
        <v>5.2452</v>
      </c>
      <c r="J672" s="135">
        <v>1693.38</v>
      </c>
      <c r="K672" s="609">
        <v>5.2452</v>
      </c>
      <c r="L672" s="135">
        <v>1693.38</v>
      </c>
      <c r="M672" s="164">
        <f t="shared" si="83"/>
        <v>0.0030974736916699144</v>
      </c>
      <c r="N672" s="185">
        <v>206.4</v>
      </c>
      <c r="O672" s="1195">
        <f t="shared" si="84"/>
        <v>0.6393185699606704</v>
      </c>
      <c r="P672" s="1195">
        <f t="shared" si="85"/>
        <v>185.8484215001949</v>
      </c>
      <c r="Q672" s="251">
        <f t="shared" si="86"/>
        <v>38.359114197640224</v>
      </c>
      <c r="S672" s="97"/>
      <c r="T672" s="97"/>
    </row>
    <row r="673" spans="1:20" ht="12.75">
      <c r="A673" s="463"/>
      <c r="B673" s="36">
        <v>7</v>
      </c>
      <c r="C673" s="35" t="s">
        <v>677</v>
      </c>
      <c r="D673" s="36">
        <v>24</v>
      </c>
      <c r="E673" s="36" t="s">
        <v>73</v>
      </c>
      <c r="F673" s="1215">
        <f t="shared" si="82"/>
        <v>11.0999</v>
      </c>
      <c r="G673" s="609">
        <v>3.1772</v>
      </c>
      <c r="H673" s="609">
        <v>3.84</v>
      </c>
      <c r="I673" s="609">
        <v>4.0827</v>
      </c>
      <c r="J673" s="135">
        <v>1308.77</v>
      </c>
      <c r="K673" s="609">
        <v>4.0816</v>
      </c>
      <c r="L673" s="135">
        <v>1308.77</v>
      </c>
      <c r="M673" s="164">
        <f t="shared" si="83"/>
        <v>0.0031186533921162616</v>
      </c>
      <c r="N673" s="185">
        <v>206.4</v>
      </c>
      <c r="O673" s="917">
        <f t="shared" si="84"/>
        <v>0.6436900601327964</v>
      </c>
      <c r="P673" s="917">
        <f t="shared" si="85"/>
        <v>187.1192035269757</v>
      </c>
      <c r="Q673" s="1196">
        <f t="shared" si="86"/>
        <v>38.621403607967785</v>
      </c>
      <c r="S673" s="97"/>
      <c r="T673" s="97"/>
    </row>
    <row r="674" spans="1:20" ht="12.75">
      <c r="A674" s="463"/>
      <c r="B674" s="36">
        <v>8</v>
      </c>
      <c r="C674" s="35" t="s">
        <v>678</v>
      </c>
      <c r="D674" s="36">
        <v>22</v>
      </c>
      <c r="E674" s="36" t="s">
        <v>73</v>
      </c>
      <c r="F674" s="609">
        <f t="shared" si="82"/>
        <v>9.984</v>
      </c>
      <c r="G674" s="1140">
        <v>2.8212</v>
      </c>
      <c r="H674" s="609">
        <v>3.52</v>
      </c>
      <c r="I674" s="609">
        <v>3.6428</v>
      </c>
      <c r="J674" s="135">
        <v>1148.35</v>
      </c>
      <c r="K674" s="609">
        <v>3.6428</v>
      </c>
      <c r="L674" s="135">
        <v>1148.35</v>
      </c>
      <c r="M674" s="164">
        <f t="shared" si="83"/>
        <v>0.0031722035964644926</v>
      </c>
      <c r="N674" s="185">
        <v>206.4</v>
      </c>
      <c r="O674" s="1195">
        <f t="shared" si="84"/>
        <v>0.6547428223102713</v>
      </c>
      <c r="P674" s="1195">
        <f t="shared" si="85"/>
        <v>190.33221578786956</v>
      </c>
      <c r="Q674" s="251">
        <f t="shared" si="86"/>
        <v>39.28456933861627</v>
      </c>
      <c r="S674" s="97"/>
      <c r="T674" s="97"/>
    </row>
    <row r="675" spans="1:20" ht="12.75">
      <c r="A675" s="463"/>
      <c r="B675" s="36">
        <v>9</v>
      </c>
      <c r="C675" s="35" t="s">
        <v>679</v>
      </c>
      <c r="D675" s="36">
        <v>55</v>
      </c>
      <c r="E675" s="36" t="s">
        <v>73</v>
      </c>
      <c r="F675" s="609">
        <f t="shared" si="82"/>
        <v>22.473</v>
      </c>
      <c r="G675" s="609">
        <v>5.489</v>
      </c>
      <c r="H675" s="609">
        <v>8.8</v>
      </c>
      <c r="I675" s="609">
        <v>8.184</v>
      </c>
      <c r="J675" s="135">
        <v>2545.12</v>
      </c>
      <c r="K675" s="609">
        <v>8.184</v>
      </c>
      <c r="L675" s="135">
        <v>2545.12</v>
      </c>
      <c r="M675" s="164">
        <f t="shared" si="83"/>
        <v>0.003215565474319482</v>
      </c>
      <c r="N675" s="185">
        <v>206.4</v>
      </c>
      <c r="O675" s="1195">
        <f t="shared" si="84"/>
        <v>0.6636927138995411</v>
      </c>
      <c r="P675" s="1195">
        <f t="shared" si="85"/>
        <v>192.9339284591689</v>
      </c>
      <c r="Q675" s="251">
        <f t="shared" si="86"/>
        <v>39.821562833972465</v>
      </c>
      <c r="S675" s="97"/>
      <c r="T675" s="97"/>
    </row>
    <row r="676" spans="1:20" ht="13.5" thickBot="1">
      <c r="A676" s="464"/>
      <c r="B676" s="36">
        <v>10</v>
      </c>
      <c r="C676" s="91" t="s">
        <v>279</v>
      </c>
      <c r="D676" s="39">
        <v>40</v>
      </c>
      <c r="E676" s="39">
        <v>1993</v>
      </c>
      <c r="F676" s="622">
        <f t="shared" si="82"/>
        <v>19.2403</v>
      </c>
      <c r="G676" s="613">
        <v>5.6423</v>
      </c>
      <c r="H676" s="613">
        <v>6.4</v>
      </c>
      <c r="I676" s="613">
        <v>7.198</v>
      </c>
      <c r="J676" s="276">
        <v>2229.96</v>
      </c>
      <c r="K676" s="613">
        <v>7.198</v>
      </c>
      <c r="L676" s="276">
        <v>2229.96</v>
      </c>
      <c r="M676" s="332">
        <f t="shared" si="83"/>
        <v>0.003227860589427613</v>
      </c>
      <c r="N676" s="1058">
        <v>206.4</v>
      </c>
      <c r="O676" s="1195">
        <f t="shared" si="84"/>
        <v>0.6662304256578594</v>
      </c>
      <c r="P676" s="916">
        <f t="shared" si="85"/>
        <v>193.67163536565678</v>
      </c>
      <c r="Q676" s="259">
        <f t="shared" si="86"/>
        <v>39.97382553947156</v>
      </c>
      <c r="S676" s="97"/>
      <c r="T676" s="97"/>
    </row>
    <row r="677" spans="1:20" ht="12.75">
      <c r="A677" s="701" t="s">
        <v>30</v>
      </c>
      <c r="B677" s="366">
        <v>1</v>
      </c>
      <c r="C677" s="698" t="s">
        <v>680</v>
      </c>
      <c r="D677" s="653">
        <v>20</v>
      </c>
      <c r="E677" s="653" t="s">
        <v>73</v>
      </c>
      <c r="F677" s="1216">
        <f t="shared" si="82"/>
        <v>13.6999</v>
      </c>
      <c r="G677" s="850">
        <v>1.8351</v>
      </c>
      <c r="H677" s="850">
        <v>3.2</v>
      </c>
      <c r="I677" s="850">
        <v>8.6648</v>
      </c>
      <c r="J677" s="918">
        <v>1087.66</v>
      </c>
      <c r="K677" s="850">
        <v>8.6648</v>
      </c>
      <c r="L677" s="918">
        <v>1087.66</v>
      </c>
      <c r="M677" s="675">
        <f t="shared" si="83"/>
        <v>0.007966460107018736</v>
      </c>
      <c r="N677" s="674">
        <v>206.4</v>
      </c>
      <c r="O677" s="1197">
        <f t="shared" si="84"/>
        <v>1.6442773660886671</v>
      </c>
      <c r="P677" s="1197">
        <f t="shared" si="85"/>
        <v>477.98760642112416</v>
      </c>
      <c r="Q677" s="1198">
        <f t="shared" si="86"/>
        <v>98.65664196532003</v>
      </c>
      <c r="S677" s="97"/>
      <c r="T677" s="97"/>
    </row>
    <row r="678" spans="1:20" ht="12.75">
      <c r="A678" s="703"/>
      <c r="B678" s="367">
        <v>2</v>
      </c>
      <c r="C678" s="633" t="s">
        <v>681</v>
      </c>
      <c r="D678" s="367">
        <v>20</v>
      </c>
      <c r="E678" s="367" t="s">
        <v>73</v>
      </c>
      <c r="F678" s="677">
        <f t="shared" si="82"/>
        <v>13.9261</v>
      </c>
      <c r="G678" s="677">
        <v>2.246</v>
      </c>
      <c r="H678" s="677">
        <v>3.2</v>
      </c>
      <c r="I678" s="677">
        <v>8.4801</v>
      </c>
      <c r="J678" s="652">
        <v>1040.33</v>
      </c>
      <c r="K678" s="677">
        <v>8.4801</v>
      </c>
      <c r="L678" s="652">
        <v>1040.33</v>
      </c>
      <c r="M678" s="679">
        <f t="shared" si="83"/>
        <v>0.008151355819787952</v>
      </c>
      <c r="N678" s="674">
        <v>206.4</v>
      </c>
      <c r="O678" s="1062">
        <f t="shared" si="84"/>
        <v>1.6824398412042334</v>
      </c>
      <c r="P678" s="1062">
        <f t="shared" si="85"/>
        <v>489.0813491872771</v>
      </c>
      <c r="Q678" s="680">
        <f t="shared" si="86"/>
        <v>100.94639047225401</v>
      </c>
      <c r="S678" s="97"/>
      <c r="T678" s="97"/>
    </row>
    <row r="679" spans="1:20" ht="12.75">
      <c r="A679" s="703"/>
      <c r="B679" s="367"/>
      <c r="C679" s="633" t="s">
        <v>682</v>
      </c>
      <c r="D679" s="367">
        <v>9</v>
      </c>
      <c r="E679" s="367" t="s">
        <v>73</v>
      </c>
      <c r="F679" s="1217">
        <f t="shared" si="82"/>
        <v>8.269</v>
      </c>
      <c r="G679" s="677">
        <v>1.6524</v>
      </c>
      <c r="H679" s="677">
        <v>1.44</v>
      </c>
      <c r="I679" s="677">
        <v>5.1766</v>
      </c>
      <c r="J679" s="652">
        <v>634.43</v>
      </c>
      <c r="K679" s="677">
        <v>5.1766</v>
      </c>
      <c r="L679" s="652">
        <v>634.43</v>
      </c>
      <c r="M679" s="679">
        <f t="shared" si="83"/>
        <v>0.00815945021515376</v>
      </c>
      <c r="N679" s="674">
        <v>206.4</v>
      </c>
      <c r="O679" s="1199">
        <f t="shared" si="84"/>
        <v>1.6841105244077361</v>
      </c>
      <c r="P679" s="1199">
        <f t="shared" si="85"/>
        <v>489.5670129092256</v>
      </c>
      <c r="Q679" s="1200">
        <f t="shared" si="86"/>
        <v>101.04663146446417</v>
      </c>
      <c r="S679" s="97"/>
      <c r="T679" s="97"/>
    </row>
    <row r="680" spans="1:20" ht="12.75">
      <c r="A680" s="631"/>
      <c r="B680" s="367">
        <v>3</v>
      </c>
      <c r="C680" s="633" t="s">
        <v>282</v>
      </c>
      <c r="D680" s="367">
        <v>6</v>
      </c>
      <c r="E680" s="367" t="s">
        <v>73</v>
      </c>
      <c r="F680" s="677">
        <f t="shared" si="82"/>
        <v>4.3241</v>
      </c>
      <c r="G680" s="677">
        <v>0.6081</v>
      </c>
      <c r="H680" s="677">
        <v>0.96</v>
      </c>
      <c r="I680" s="677">
        <v>2.756</v>
      </c>
      <c r="J680" s="652">
        <v>337.61</v>
      </c>
      <c r="K680" s="677">
        <v>2.756</v>
      </c>
      <c r="L680" s="652">
        <v>337.61</v>
      </c>
      <c r="M680" s="679">
        <f t="shared" si="83"/>
        <v>0.008163265306122448</v>
      </c>
      <c r="N680" s="674">
        <v>206.4</v>
      </c>
      <c r="O680" s="1062">
        <f t="shared" si="84"/>
        <v>1.6848979591836732</v>
      </c>
      <c r="P680" s="1062">
        <f t="shared" si="85"/>
        <v>489.79591836734687</v>
      </c>
      <c r="Q680" s="680">
        <f t="shared" si="86"/>
        <v>101.0938775510204</v>
      </c>
      <c r="S680" s="97"/>
      <c r="T680" s="97"/>
    </row>
    <row r="681" spans="1:20" ht="12.75">
      <c r="A681" s="631"/>
      <c r="B681" s="367">
        <v>4</v>
      </c>
      <c r="C681" s="633" t="s">
        <v>683</v>
      </c>
      <c r="D681" s="696">
        <v>18</v>
      </c>
      <c r="E681" s="367" t="s">
        <v>73</v>
      </c>
      <c r="F681" s="1217">
        <f t="shared" si="82"/>
        <v>7.5701</v>
      </c>
      <c r="G681" s="677">
        <v>1.0956</v>
      </c>
      <c r="H681" s="677">
        <v>0</v>
      </c>
      <c r="I681" s="677">
        <v>6.4745</v>
      </c>
      <c r="J681" s="652">
        <v>788.29</v>
      </c>
      <c r="K681" s="677">
        <v>6.4745</v>
      </c>
      <c r="L681" s="652">
        <v>788.29</v>
      </c>
      <c r="M681" s="679">
        <f t="shared" si="83"/>
        <v>0.008213347879587461</v>
      </c>
      <c r="N681" s="674">
        <v>206.4</v>
      </c>
      <c r="O681" s="1199">
        <f t="shared" si="84"/>
        <v>1.695235002346852</v>
      </c>
      <c r="P681" s="1199">
        <f t="shared" si="85"/>
        <v>492.8008727752477</v>
      </c>
      <c r="Q681" s="1200">
        <f t="shared" si="86"/>
        <v>101.71410014081113</v>
      </c>
      <c r="S681" s="97"/>
      <c r="T681" s="97"/>
    </row>
    <row r="682" spans="1:20" ht="12.75">
      <c r="A682" s="631"/>
      <c r="B682" s="367">
        <v>6</v>
      </c>
      <c r="C682" s="633" t="s">
        <v>684</v>
      </c>
      <c r="D682" s="367">
        <v>5</v>
      </c>
      <c r="E682" s="367" t="s">
        <v>73</v>
      </c>
      <c r="F682" s="677">
        <f t="shared" si="82"/>
        <v>2.5909</v>
      </c>
      <c r="G682" s="677">
        <v>0.2743</v>
      </c>
      <c r="H682" s="677">
        <v>0.717</v>
      </c>
      <c r="I682" s="677">
        <v>1.5996</v>
      </c>
      <c r="J682" s="652">
        <v>192.6</v>
      </c>
      <c r="K682" s="677">
        <v>1.5996</v>
      </c>
      <c r="L682" s="652">
        <v>192.6</v>
      </c>
      <c r="M682" s="679">
        <f t="shared" si="83"/>
        <v>0.008305295950155764</v>
      </c>
      <c r="N682" s="674">
        <v>206.4</v>
      </c>
      <c r="O682" s="1062">
        <f t="shared" si="84"/>
        <v>1.7142130841121497</v>
      </c>
      <c r="P682" s="1062">
        <f t="shared" si="85"/>
        <v>498.31775700934577</v>
      </c>
      <c r="Q682" s="680">
        <f t="shared" si="86"/>
        <v>102.85278504672898</v>
      </c>
      <c r="S682" s="97"/>
      <c r="T682" s="97"/>
    </row>
    <row r="683" spans="1:20" ht="12.75">
      <c r="A683" s="631"/>
      <c r="B683" s="367"/>
      <c r="C683" s="633" t="s">
        <v>685</v>
      </c>
      <c r="D683" s="367">
        <v>20</v>
      </c>
      <c r="E683" s="367" t="s">
        <v>73</v>
      </c>
      <c r="F683" s="1217">
        <f t="shared" si="82"/>
        <v>13.5751</v>
      </c>
      <c r="G683" s="677">
        <v>2.0269</v>
      </c>
      <c r="H683" s="677">
        <v>3.2</v>
      </c>
      <c r="I683" s="677">
        <v>8.3482</v>
      </c>
      <c r="J683" s="652">
        <v>1004.86</v>
      </c>
      <c r="K683" s="677">
        <v>8.3482</v>
      </c>
      <c r="L683" s="652">
        <v>1004.86</v>
      </c>
      <c r="M683" s="679">
        <f t="shared" si="83"/>
        <v>0.008307823975479172</v>
      </c>
      <c r="N683" s="674">
        <v>206.4</v>
      </c>
      <c r="O683" s="1199">
        <f t="shared" si="84"/>
        <v>1.7147348685389012</v>
      </c>
      <c r="P683" s="1199">
        <f t="shared" si="85"/>
        <v>498.46943852875035</v>
      </c>
      <c r="Q683" s="1200">
        <f t="shared" si="86"/>
        <v>102.88409211233407</v>
      </c>
      <c r="S683" s="97"/>
      <c r="T683" s="97"/>
    </row>
    <row r="684" spans="1:20" ht="12.75">
      <c r="A684" s="631"/>
      <c r="B684" s="367">
        <v>7</v>
      </c>
      <c r="C684" s="633" t="s">
        <v>283</v>
      </c>
      <c r="D684" s="367">
        <v>4</v>
      </c>
      <c r="E684" s="367" t="s">
        <v>73</v>
      </c>
      <c r="F684" s="677">
        <f t="shared" si="82"/>
        <v>2.9960000000000004</v>
      </c>
      <c r="G684" s="677">
        <v>0.241</v>
      </c>
      <c r="H684" s="677">
        <v>0.64</v>
      </c>
      <c r="I684" s="677">
        <v>2.115</v>
      </c>
      <c r="J684" s="652">
        <v>254.45</v>
      </c>
      <c r="K684" s="677">
        <v>2.115</v>
      </c>
      <c r="L684" s="652">
        <v>254.45</v>
      </c>
      <c r="M684" s="679">
        <f t="shared" si="83"/>
        <v>0.00831204558852427</v>
      </c>
      <c r="N684" s="674">
        <v>206.4</v>
      </c>
      <c r="O684" s="1062">
        <f t="shared" si="84"/>
        <v>1.7156062094714093</v>
      </c>
      <c r="P684" s="1062">
        <f t="shared" si="85"/>
        <v>498.72273531145623</v>
      </c>
      <c r="Q684" s="680">
        <f t="shared" si="86"/>
        <v>102.93637256828455</v>
      </c>
      <c r="S684" s="97"/>
      <c r="T684" s="97"/>
    </row>
    <row r="685" spans="1:20" ht="12.75">
      <c r="A685" s="705"/>
      <c r="B685" s="533"/>
      <c r="C685" s="633" t="s">
        <v>686</v>
      </c>
      <c r="D685" s="367">
        <v>7</v>
      </c>
      <c r="E685" s="367" t="s">
        <v>73</v>
      </c>
      <c r="F685" s="677">
        <f t="shared" si="82"/>
        <v>4.369</v>
      </c>
      <c r="G685" s="677">
        <v>0.4382</v>
      </c>
      <c r="H685" s="677">
        <v>1.12</v>
      </c>
      <c r="I685" s="677">
        <v>2.8108</v>
      </c>
      <c r="J685" s="652">
        <v>337.32</v>
      </c>
      <c r="K685" s="677">
        <v>2.8108</v>
      </c>
      <c r="L685" s="652">
        <v>337.32</v>
      </c>
      <c r="M685" s="679">
        <f t="shared" si="83"/>
        <v>0.008332740424522709</v>
      </c>
      <c r="N685" s="674">
        <v>206.4</v>
      </c>
      <c r="O685" s="1062">
        <f t="shared" si="84"/>
        <v>1.719877623621487</v>
      </c>
      <c r="P685" s="1062">
        <f t="shared" si="85"/>
        <v>499.96442547136246</v>
      </c>
      <c r="Q685" s="680">
        <f t="shared" si="86"/>
        <v>103.19265741728923</v>
      </c>
      <c r="S685" s="97"/>
      <c r="T685" s="97"/>
    </row>
    <row r="686" spans="1:20" ht="13.5" thickBot="1">
      <c r="A686" s="638"/>
      <c r="B686" s="535">
        <v>10</v>
      </c>
      <c r="C686" s="640" t="s">
        <v>687</v>
      </c>
      <c r="D686" s="535">
        <v>5</v>
      </c>
      <c r="E686" s="535" t="s">
        <v>73</v>
      </c>
      <c r="F686" s="682">
        <f t="shared" si="82"/>
        <v>1.992</v>
      </c>
      <c r="G686" s="681">
        <v>0.1698</v>
      </c>
      <c r="H686" s="681">
        <v>0.48</v>
      </c>
      <c r="I686" s="681">
        <v>1.3422</v>
      </c>
      <c r="J686" s="658">
        <v>159.37</v>
      </c>
      <c r="K686" s="681">
        <v>1.3422</v>
      </c>
      <c r="L686" s="658">
        <v>159.37</v>
      </c>
      <c r="M686" s="679">
        <f t="shared" si="83"/>
        <v>0.008421911275647863</v>
      </c>
      <c r="N686" s="683">
        <v>206.4</v>
      </c>
      <c r="O686" s="683">
        <f t="shared" si="84"/>
        <v>1.738282487293719</v>
      </c>
      <c r="P686" s="920">
        <f t="shared" si="85"/>
        <v>505.3146765388718</v>
      </c>
      <c r="Q686" s="676">
        <f t="shared" si="86"/>
        <v>104.29694923762314</v>
      </c>
      <c r="S686" s="97"/>
      <c r="T686" s="97"/>
    </row>
    <row r="687" spans="1:20" ht="12.75">
      <c r="A687" s="465" t="s">
        <v>12</v>
      </c>
      <c r="B687" s="40">
        <v>1</v>
      </c>
      <c r="C687" s="645" t="s">
        <v>688</v>
      </c>
      <c r="D687" s="40">
        <v>20</v>
      </c>
      <c r="E687" s="40" t="s">
        <v>73</v>
      </c>
      <c r="F687" s="1218">
        <f t="shared" si="82"/>
        <v>13.859</v>
      </c>
      <c r="G687" s="733">
        <v>1.8077</v>
      </c>
      <c r="H687" s="733">
        <v>3.2</v>
      </c>
      <c r="I687" s="733">
        <v>8.8513</v>
      </c>
      <c r="J687" s="953">
        <v>1036.2</v>
      </c>
      <c r="K687" s="733">
        <v>8.8513</v>
      </c>
      <c r="L687" s="953">
        <v>1036.2</v>
      </c>
      <c r="M687" s="1201">
        <f t="shared" si="83"/>
        <v>0.008542076819146883</v>
      </c>
      <c r="N687" s="715">
        <v>206.4</v>
      </c>
      <c r="O687" s="925">
        <f t="shared" si="84"/>
        <v>1.7630846554719168</v>
      </c>
      <c r="P687" s="1202">
        <f t="shared" si="85"/>
        <v>512.524609148813</v>
      </c>
      <c r="Q687" s="1203">
        <f t="shared" si="86"/>
        <v>105.785079328315</v>
      </c>
      <c r="S687" s="97"/>
      <c r="T687" s="97"/>
    </row>
    <row r="688" spans="1:20" ht="12.75">
      <c r="A688" s="466"/>
      <c r="B688" s="42">
        <v>2</v>
      </c>
      <c r="C688" s="52" t="s">
        <v>689</v>
      </c>
      <c r="D688" s="42">
        <v>20</v>
      </c>
      <c r="E688" s="42" t="s">
        <v>73</v>
      </c>
      <c r="F688" s="727">
        <f t="shared" si="82"/>
        <v>13.9969</v>
      </c>
      <c r="G688" s="727">
        <v>1.5886</v>
      </c>
      <c r="H688" s="727">
        <v>3.2</v>
      </c>
      <c r="I688" s="727">
        <v>9.2083</v>
      </c>
      <c r="J688" s="751">
        <v>1070.75</v>
      </c>
      <c r="K688" s="727">
        <v>9.2083</v>
      </c>
      <c r="L688" s="751">
        <v>1070.75</v>
      </c>
      <c r="M688" s="721">
        <f t="shared" si="83"/>
        <v>0.008599859911277142</v>
      </c>
      <c r="N688" s="715">
        <v>206.4</v>
      </c>
      <c r="O688" s="1204">
        <f t="shared" si="84"/>
        <v>1.7750110856876022</v>
      </c>
      <c r="P688" s="1204">
        <f t="shared" si="85"/>
        <v>515.9915946766284</v>
      </c>
      <c r="Q688" s="723">
        <f t="shared" si="86"/>
        <v>106.50066514125614</v>
      </c>
      <c r="S688" s="97"/>
      <c r="T688" s="97"/>
    </row>
    <row r="689" spans="1:20" ht="12.75">
      <c r="A689" s="466"/>
      <c r="B689" s="42">
        <v>3</v>
      </c>
      <c r="C689" s="52" t="s">
        <v>690</v>
      </c>
      <c r="D689" s="42">
        <v>17</v>
      </c>
      <c r="E689" s="42" t="s">
        <v>73</v>
      </c>
      <c r="F689" s="1219">
        <f t="shared" si="82"/>
        <v>9.115</v>
      </c>
      <c r="G689" s="727">
        <v>1.5882</v>
      </c>
      <c r="H689" s="727">
        <v>0.685</v>
      </c>
      <c r="I689" s="727">
        <v>6.8418</v>
      </c>
      <c r="J689" s="751">
        <v>780.3</v>
      </c>
      <c r="K689" s="727">
        <v>6.8418</v>
      </c>
      <c r="L689" s="751">
        <v>780.3</v>
      </c>
      <c r="M689" s="721">
        <f t="shared" si="83"/>
        <v>0.008768166089965399</v>
      </c>
      <c r="N689" s="715">
        <v>206.4</v>
      </c>
      <c r="O689" s="1205">
        <f t="shared" si="84"/>
        <v>1.8097494809688583</v>
      </c>
      <c r="P689" s="1205">
        <f t="shared" si="85"/>
        <v>526.089965397924</v>
      </c>
      <c r="Q689" s="1206">
        <f t="shared" si="86"/>
        <v>108.5849688581315</v>
      </c>
      <c r="S689" s="97"/>
      <c r="T689" s="97"/>
    </row>
    <row r="690" spans="1:20" ht="12.75">
      <c r="A690" s="466"/>
      <c r="B690" s="42">
        <v>4</v>
      </c>
      <c r="C690" s="52" t="s">
        <v>691</v>
      </c>
      <c r="D690" s="729">
        <v>20</v>
      </c>
      <c r="E690" s="42" t="s">
        <v>73</v>
      </c>
      <c r="F690" s="727">
        <f t="shared" si="82"/>
        <v>14.216800000000001</v>
      </c>
      <c r="G690" s="727">
        <v>2.2624</v>
      </c>
      <c r="H690" s="727">
        <v>3.04</v>
      </c>
      <c r="I690" s="727">
        <v>8.9144</v>
      </c>
      <c r="J690" s="751">
        <v>979.37</v>
      </c>
      <c r="K690" s="727">
        <v>8.9144</v>
      </c>
      <c r="L690" s="751">
        <v>979.37</v>
      </c>
      <c r="M690" s="721">
        <f t="shared" si="83"/>
        <v>0.00910217793071056</v>
      </c>
      <c r="N690" s="715">
        <v>206.4</v>
      </c>
      <c r="O690" s="1204">
        <f t="shared" si="84"/>
        <v>1.8786895248986597</v>
      </c>
      <c r="P690" s="1204">
        <f t="shared" si="85"/>
        <v>546.1306758426337</v>
      </c>
      <c r="Q690" s="723">
        <f t="shared" si="86"/>
        <v>112.72137149391958</v>
      </c>
      <c r="S690" s="97"/>
      <c r="T690" s="97"/>
    </row>
    <row r="691" spans="1:20" ht="12.75">
      <c r="A691" s="466"/>
      <c r="B691" s="42">
        <v>5</v>
      </c>
      <c r="C691" s="52" t="s">
        <v>692</v>
      </c>
      <c r="D691" s="42">
        <v>9</v>
      </c>
      <c r="E691" s="42" t="s">
        <v>73</v>
      </c>
      <c r="F691" s="1219">
        <f t="shared" si="82"/>
        <v>3.7379999999999995</v>
      </c>
      <c r="G691" s="727">
        <v>1.071</v>
      </c>
      <c r="H691" s="727">
        <v>0</v>
      </c>
      <c r="I691" s="727">
        <v>2.667</v>
      </c>
      <c r="J691" s="751">
        <v>285.09</v>
      </c>
      <c r="K691" s="727">
        <v>2.667</v>
      </c>
      <c r="L691" s="751">
        <v>285.09</v>
      </c>
      <c r="M691" s="721">
        <f t="shared" si="83"/>
        <v>0.009354940545091023</v>
      </c>
      <c r="N691" s="715">
        <v>206.4</v>
      </c>
      <c r="O691" s="1205">
        <f t="shared" si="84"/>
        <v>1.9308597285067872</v>
      </c>
      <c r="P691" s="1205">
        <f t="shared" si="85"/>
        <v>561.2964327054615</v>
      </c>
      <c r="Q691" s="1206">
        <f t="shared" si="86"/>
        <v>115.85158371040723</v>
      </c>
      <c r="S691" s="97"/>
      <c r="T691" s="97"/>
    </row>
    <row r="692" spans="1:20" ht="12.75">
      <c r="A692" s="466"/>
      <c r="B692" s="42">
        <v>6</v>
      </c>
      <c r="C692" s="52" t="s">
        <v>693</v>
      </c>
      <c r="D692" s="42">
        <v>12</v>
      </c>
      <c r="E692" s="42" t="s">
        <v>73</v>
      </c>
      <c r="F692" s="727">
        <f t="shared" si="82"/>
        <v>6.5481</v>
      </c>
      <c r="G692" s="727">
        <v>1.375</v>
      </c>
      <c r="H692" s="727">
        <v>0</v>
      </c>
      <c r="I692" s="727">
        <v>5.1731</v>
      </c>
      <c r="J692" s="751">
        <v>529.6</v>
      </c>
      <c r="K692" s="727">
        <v>5.1731</v>
      </c>
      <c r="L692" s="751">
        <v>529.6</v>
      </c>
      <c r="M692" s="721">
        <f t="shared" si="83"/>
        <v>0.009767938066465255</v>
      </c>
      <c r="N692" s="715">
        <v>206.4</v>
      </c>
      <c r="O692" s="1204">
        <f t="shared" si="84"/>
        <v>2.0161024169184287</v>
      </c>
      <c r="P692" s="1204">
        <f t="shared" si="85"/>
        <v>586.0762839879153</v>
      </c>
      <c r="Q692" s="723">
        <f t="shared" si="86"/>
        <v>120.96614501510572</v>
      </c>
      <c r="S692" s="97"/>
      <c r="T692" s="97"/>
    </row>
    <row r="693" spans="1:20" ht="12.75">
      <c r="A693" s="466"/>
      <c r="B693" s="42">
        <v>7</v>
      </c>
      <c r="C693" s="52" t="s">
        <v>281</v>
      </c>
      <c r="D693" s="42">
        <v>5</v>
      </c>
      <c r="E693" s="42" t="s">
        <v>73</v>
      </c>
      <c r="F693" s="1219">
        <f t="shared" si="82"/>
        <v>4.26</v>
      </c>
      <c r="G693" s="727">
        <v>0.6026</v>
      </c>
      <c r="H693" s="727">
        <v>0.8</v>
      </c>
      <c r="I693" s="727">
        <v>2.8574</v>
      </c>
      <c r="J693" s="751">
        <v>285.14</v>
      </c>
      <c r="K693" s="727">
        <v>2.8574</v>
      </c>
      <c r="L693" s="751">
        <v>285.14</v>
      </c>
      <c r="M693" s="721">
        <f t="shared" si="83"/>
        <v>0.010021042295012977</v>
      </c>
      <c r="N693" s="715">
        <v>206.4</v>
      </c>
      <c r="O693" s="1204">
        <f t="shared" si="84"/>
        <v>2.0683431296906782</v>
      </c>
      <c r="P693" s="1205">
        <f t="shared" si="85"/>
        <v>601.2625377007786</v>
      </c>
      <c r="Q693" s="1206">
        <f t="shared" si="86"/>
        <v>124.1005877814407</v>
      </c>
      <c r="S693" s="97"/>
      <c r="T693" s="97"/>
    </row>
    <row r="694" spans="1:20" ht="12.75">
      <c r="A694" s="466"/>
      <c r="B694" s="42">
        <v>8</v>
      </c>
      <c r="C694" s="52" t="s">
        <v>694</v>
      </c>
      <c r="D694" s="42">
        <v>16</v>
      </c>
      <c r="E694" s="42" t="s">
        <v>73</v>
      </c>
      <c r="F694" s="1220">
        <f t="shared" si="82"/>
        <v>8.554</v>
      </c>
      <c r="G694" s="727">
        <v>1.2052</v>
      </c>
      <c r="H694" s="727">
        <v>0</v>
      </c>
      <c r="I694" s="727">
        <v>7.3488</v>
      </c>
      <c r="J694" s="751">
        <v>696.15</v>
      </c>
      <c r="K694" s="727">
        <v>7.3488</v>
      </c>
      <c r="L694" s="751">
        <v>696.15</v>
      </c>
      <c r="M694" s="721">
        <f t="shared" si="83"/>
        <v>0.010556345615169145</v>
      </c>
      <c r="N694" s="715">
        <v>206.4</v>
      </c>
      <c r="O694" s="1204">
        <f t="shared" si="84"/>
        <v>2.1788297349709116</v>
      </c>
      <c r="P694" s="1204">
        <f t="shared" si="85"/>
        <v>633.3807369101487</v>
      </c>
      <c r="Q694" s="723">
        <f t="shared" si="86"/>
        <v>130.7297840982547</v>
      </c>
      <c r="S694" s="97"/>
      <c r="T694" s="97"/>
    </row>
    <row r="695" spans="1:20" ht="12.75">
      <c r="A695" s="466"/>
      <c r="B695" s="42">
        <v>9</v>
      </c>
      <c r="C695" s="52" t="s">
        <v>695</v>
      </c>
      <c r="D695" s="42">
        <v>4</v>
      </c>
      <c r="E695" s="42" t="s">
        <v>73</v>
      </c>
      <c r="F695" s="727">
        <f t="shared" si="82"/>
        <v>2.657</v>
      </c>
      <c r="G695" s="727">
        <v>0.2191</v>
      </c>
      <c r="H695" s="727">
        <v>0.64</v>
      </c>
      <c r="I695" s="727">
        <v>1.7979</v>
      </c>
      <c r="J695" s="751">
        <v>156.81</v>
      </c>
      <c r="K695" s="727">
        <v>1.7979</v>
      </c>
      <c r="L695" s="751">
        <v>156.81</v>
      </c>
      <c r="M695" s="721">
        <f t="shared" si="83"/>
        <v>0.011465467763535488</v>
      </c>
      <c r="N695" s="715">
        <v>206.4</v>
      </c>
      <c r="O695" s="1204">
        <f t="shared" si="84"/>
        <v>2.366472546393725</v>
      </c>
      <c r="P695" s="1204">
        <f t="shared" si="85"/>
        <v>687.9280658121293</v>
      </c>
      <c r="Q695" s="723">
        <f t="shared" si="86"/>
        <v>141.9883527836235</v>
      </c>
      <c r="S695" s="97"/>
      <c r="T695" s="97"/>
    </row>
    <row r="696" spans="1:20" ht="13.5" thickBot="1">
      <c r="A696" s="467"/>
      <c r="B696" s="47">
        <v>10</v>
      </c>
      <c r="C696" s="56" t="s">
        <v>280</v>
      </c>
      <c r="D696" s="47">
        <v>9</v>
      </c>
      <c r="E696" s="47" t="s">
        <v>73</v>
      </c>
      <c r="F696" s="1221">
        <f t="shared" si="82"/>
        <v>10.443999999999999</v>
      </c>
      <c r="G696" s="728">
        <v>1.0792</v>
      </c>
      <c r="H696" s="728">
        <v>1.44</v>
      </c>
      <c r="I696" s="728">
        <v>7.9248</v>
      </c>
      <c r="J696" s="926">
        <v>635.51</v>
      </c>
      <c r="K696" s="728">
        <v>7.9248</v>
      </c>
      <c r="L696" s="926">
        <v>635.51</v>
      </c>
      <c r="M696" s="717">
        <f t="shared" si="83"/>
        <v>0.012469984736668188</v>
      </c>
      <c r="N696" s="718">
        <v>206.4</v>
      </c>
      <c r="O696" s="1207">
        <f t="shared" si="84"/>
        <v>2.573804849648314</v>
      </c>
      <c r="P696" s="1207">
        <f t="shared" si="85"/>
        <v>748.1990842000913</v>
      </c>
      <c r="Q696" s="719">
        <f t="shared" si="86"/>
        <v>154.42829097889884</v>
      </c>
      <c r="S696" s="97"/>
      <c r="T696" s="97"/>
    </row>
    <row r="697" spans="6:20" ht="12.75">
      <c r="F697" s="1222"/>
      <c r="G697" s="1222"/>
      <c r="H697" s="1222"/>
      <c r="I697" s="1222"/>
      <c r="S697" s="97"/>
      <c r="T697" s="97"/>
    </row>
    <row r="698" spans="19:20" ht="12.75">
      <c r="S698" s="97"/>
      <c r="T698" s="97"/>
    </row>
    <row r="699" spans="1:20" ht="15">
      <c r="A699" s="419" t="s">
        <v>56</v>
      </c>
      <c r="B699" s="419"/>
      <c r="C699" s="419"/>
      <c r="D699" s="419"/>
      <c r="E699" s="419"/>
      <c r="F699" s="419"/>
      <c r="G699" s="419"/>
      <c r="H699" s="419"/>
      <c r="I699" s="419"/>
      <c r="J699" s="419"/>
      <c r="K699" s="419"/>
      <c r="L699" s="419"/>
      <c r="M699" s="419"/>
      <c r="N699" s="419"/>
      <c r="O699" s="419"/>
      <c r="P699" s="419"/>
      <c r="Q699" s="419"/>
      <c r="S699" s="97"/>
      <c r="T699" s="97"/>
    </row>
    <row r="700" spans="1:20" ht="13.5" thickBot="1">
      <c r="A700" s="420" t="s">
        <v>704</v>
      </c>
      <c r="B700" s="420"/>
      <c r="C700" s="420"/>
      <c r="D700" s="420"/>
      <c r="E700" s="420"/>
      <c r="F700" s="420"/>
      <c r="G700" s="420"/>
      <c r="H700" s="420"/>
      <c r="I700" s="420"/>
      <c r="J700" s="420"/>
      <c r="K700" s="420"/>
      <c r="L700" s="420"/>
      <c r="M700" s="420"/>
      <c r="N700" s="420"/>
      <c r="O700" s="420"/>
      <c r="P700" s="420"/>
      <c r="Q700" s="420"/>
      <c r="S700" s="97"/>
      <c r="T700" s="97"/>
    </row>
    <row r="701" spans="1:20" ht="12.75" customHeight="1">
      <c r="A701" s="395" t="s">
        <v>1</v>
      </c>
      <c r="B701" s="397" t="s">
        <v>0</v>
      </c>
      <c r="C701" s="384" t="s">
        <v>2</v>
      </c>
      <c r="D701" s="456" t="s">
        <v>3</v>
      </c>
      <c r="E701" s="456" t="s">
        <v>42</v>
      </c>
      <c r="F701" s="457" t="s">
        <v>14</v>
      </c>
      <c r="G701" s="457"/>
      <c r="H701" s="457"/>
      <c r="I701" s="457"/>
      <c r="J701" s="456" t="s">
        <v>4</v>
      </c>
      <c r="K701" s="456" t="s">
        <v>15</v>
      </c>
      <c r="L701" s="506" t="s">
        <v>5</v>
      </c>
      <c r="M701" s="456" t="s">
        <v>6</v>
      </c>
      <c r="N701" s="456" t="s">
        <v>16</v>
      </c>
      <c r="O701" s="456" t="s">
        <v>17</v>
      </c>
      <c r="P701" s="468" t="s">
        <v>25</v>
      </c>
      <c r="Q701" s="391" t="s">
        <v>26</v>
      </c>
      <c r="R701" s="2"/>
      <c r="S701" s="97"/>
      <c r="T701" s="97"/>
    </row>
    <row r="702" spans="1:20" s="2" customFormat="1" ht="45" customHeight="1">
      <c r="A702" s="396"/>
      <c r="B702" s="398"/>
      <c r="C702" s="399"/>
      <c r="D702" s="425"/>
      <c r="E702" s="425"/>
      <c r="F702" s="37" t="s">
        <v>45</v>
      </c>
      <c r="G702" s="37" t="s">
        <v>19</v>
      </c>
      <c r="H702" s="37" t="s">
        <v>20</v>
      </c>
      <c r="I702" s="37" t="s">
        <v>21</v>
      </c>
      <c r="J702" s="425"/>
      <c r="K702" s="425"/>
      <c r="L702" s="507"/>
      <c r="M702" s="425"/>
      <c r="N702" s="425"/>
      <c r="O702" s="425"/>
      <c r="P702" s="469"/>
      <c r="Q702" s="392"/>
      <c r="R702" s="3"/>
      <c r="S702" s="97"/>
      <c r="T702" s="97"/>
    </row>
    <row r="703" spans="1:20" s="3" customFormat="1" ht="13.5" customHeight="1" thickBot="1">
      <c r="A703" s="414"/>
      <c r="B703" s="415"/>
      <c r="C703" s="416"/>
      <c r="D703" s="65" t="s">
        <v>7</v>
      </c>
      <c r="E703" s="65" t="s">
        <v>8</v>
      </c>
      <c r="F703" s="65" t="s">
        <v>9</v>
      </c>
      <c r="G703" s="65" t="s">
        <v>9</v>
      </c>
      <c r="H703" s="65" t="s">
        <v>9</v>
      </c>
      <c r="I703" s="65" t="s">
        <v>9</v>
      </c>
      <c r="J703" s="65" t="s">
        <v>22</v>
      </c>
      <c r="K703" s="65" t="s">
        <v>9</v>
      </c>
      <c r="L703" s="92" t="s">
        <v>22</v>
      </c>
      <c r="M703" s="65" t="s">
        <v>23</v>
      </c>
      <c r="N703" s="65" t="s">
        <v>10</v>
      </c>
      <c r="O703" s="65" t="s">
        <v>24</v>
      </c>
      <c r="P703" s="72" t="s">
        <v>27</v>
      </c>
      <c r="Q703" s="67" t="s">
        <v>28</v>
      </c>
      <c r="R703" s="1"/>
      <c r="S703" s="97"/>
      <c r="T703" s="97"/>
    </row>
    <row r="704" spans="1:20" s="110" customFormat="1" ht="12.75" customHeight="1">
      <c r="A704" s="499" t="s">
        <v>51</v>
      </c>
      <c r="B704" s="144">
        <v>1</v>
      </c>
      <c r="C704" s="69" t="s">
        <v>696</v>
      </c>
      <c r="D704" s="68">
        <v>50</v>
      </c>
      <c r="E704" s="68">
        <v>1978</v>
      </c>
      <c r="F704" s="572">
        <v>13.3</v>
      </c>
      <c r="G704" s="1224">
        <v>4.3959</v>
      </c>
      <c r="H704" s="572">
        <v>8</v>
      </c>
      <c r="I704" s="572">
        <f aca="true" t="shared" si="87" ref="I704:I711">F704-G704-H704</f>
        <v>0.9040999999999997</v>
      </c>
      <c r="J704" s="106">
        <v>2590.16</v>
      </c>
      <c r="K704" s="572">
        <v>0.9041</v>
      </c>
      <c r="L704" s="106">
        <v>2590.16</v>
      </c>
      <c r="M704" s="574">
        <f aca="true" t="shared" si="88" ref="M704:M711">K704/L704</f>
        <v>0.0003490517960280446</v>
      </c>
      <c r="N704" s="573">
        <v>243.179</v>
      </c>
      <c r="O704" s="573">
        <f aca="true" t="shared" si="89" ref="O704:O711">M704*N704</f>
        <v>0.08488206670630385</v>
      </c>
      <c r="P704" s="573">
        <f aca="true" t="shared" si="90" ref="P704:P711">M704*1000*60</f>
        <v>20.943107761682676</v>
      </c>
      <c r="Q704" s="576">
        <f aca="true" t="shared" si="91" ref="Q704:Q711">O704*60</f>
        <v>5.092924002378231</v>
      </c>
      <c r="S704" s="97"/>
      <c r="T704" s="97"/>
    </row>
    <row r="705" spans="1:20" s="110" customFormat="1" ht="12.75" customHeight="1">
      <c r="A705" s="499"/>
      <c r="B705" s="144">
        <v>2</v>
      </c>
      <c r="C705" s="16" t="s">
        <v>284</v>
      </c>
      <c r="D705" s="32">
        <v>24</v>
      </c>
      <c r="E705" s="32">
        <v>1991</v>
      </c>
      <c r="F705" s="578">
        <v>7.02</v>
      </c>
      <c r="G705" s="578">
        <v>2.0795</v>
      </c>
      <c r="H705" s="578">
        <v>3.84</v>
      </c>
      <c r="I705" s="578">
        <f t="shared" si="87"/>
        <v>1.1005000000000003</v>
      </c>
      <c r="J705" s="265">
        <v>1163.97</v>
      </c>
      <c r="K705" s="578">
        <v>1.1005</v>
      </c>
      <c r="L705" s="265">
        <v>1163.97</v>
      </c>
      <c r="M705" s="158">
        <f t="shared" si="88"/>
        <v>0.0009454711032071273</v>
      </c>
      <c r="N705" s="157">
        <v>243.179</v>
      </c>
      <c r="O705" s="157">
        <f t="shared" si="89"/>
        <v>0.22991871740680603</v>
      </c>
      <c r="P705" s="157">
        <f t="shared" si="90"/>
        <v>56.72826619242764</v>
      </c>
      <c r="Q705" s="159">
        <f t="shared" si="91"/>
        <v>13.795123044408362</v>
      </c>
      <c r="S705" s="97"/>
      <c r="T705" s="97"/>
    </row>
    <row r="706" spans="1:20" s="110" customFormat="1" ht="12.75" customHeight="1">
      <c r="A706" s="499"/>
      <c r="B706" s="144">
        <v>3</v>
      </c>
      <c r="C706" s="16" t="s">
        <v>697</v>
      </c>
      <c r="D706" s="32">
        <v>60</v>
      </c>
      <c r="E706" s="32">
        <v>1986</v>
      </c>
      <c r="F706" s="578">
        <v>21</v>
      </c>
      <c r="G706" s="578">
        <v>7.6716</v>
      </c>
      <c r="H706" s="578">
        <v>9.28</v>
      </c>
      <c r="I706" s="578">
        <f t="shared" si="87"/>
        <v>4.048400000000001</v>
      </c>
      <c r="J706" s="265">
        <v>3808.21</v>
      </c>
      <c r="K706" s="578">
        <v>4.0484</v>
      </c>
      <c r="L706" s="265">
        <v>3808.21</v>
      </c>
      <c r="M706" s="158">
        <f t="shared" si="88"/>
        <v>0.0010630716268273022</v>
      </c>
      <c r="N706" s="157">
        <v>243.179</v>
      </c>
      <c r="O706" s="157">
        <f t="shared" si="89"/>
        <v>0.2585166951402365</v>
      </c>
      <c r="P706" s="157">
        <f t="shared" si="90"/>
        <v>63.78429760963813</v>
      </c>
      <c r="Q706" s="159">
        <f t="shared" si="91"/>
        <v>15.51100170841419</v>
      </c>
      <c r="S706" s="97"/>
      <c r="T706" s="97"/>
    </row>
    <row r="707" spans="1:20" s="110" customFormat="1" ht="12.75" customHeight="1">
      <c r="A707" s="499"/>
      <c r="B707" s="144">
        <v>4</v>
      </c>
      <c r="C707" s="16" t="s">
        <v>285</v>
      </c>
      <c r="D707" s="32">
        <v>55</v>
      </c>
      <c r="E707" s="32">
        <v>1966</v>
      </c>
      <c r="F707" s="578">
        <v>16.4</v>
      </c>
      <c r="G707" s="578">
        <v>4.8473</v>
      </c>
      <c r="H707" s="578">
        <v>8.8</v>
      </c>
      <c r="I707" s="578">
        <f t="shared" si="87"/>
        <v>2.7526999999999973</v>
      </c>
      <c r="J707" s="265">
        <v>2564.02</v>
      </c>
      <c r="K707" s="578">
        <v>2.7527</v>
      </c>
      <c r="L707" s="265">
        <v>2564.02</v>
      </c>
      <c r="M707" s="158">
        <f t="shared" si="88"/>
        <v>0.0010735875695197384</v>
      </c>
      <c r="N707" s="157">
        <v>243.179</v>
      </c>
      <c r="O707" s="157">
        <f t="shared" si="89"/>
        <v>0.2610739515682405</v>
      </c>
      <c r="P707" s="157">
        <f t="shared" si="90"/>
        <v>64.4152541711843</v>
      </c>
      <c r="Q707" s="159">
        <f t="shared" si="91"/>
        <v>15.66443709409443</v>
      </c>
      <c r="S707" s="97"/>
      <c r="T707" s="97"/>
    </row>
    <row r="708" spans="1:20" s="110" customFormat="1" ht="12.75" customHeight="1">
      <c r="A708" s="499"/>
      <c r="B708" s="144">
        <v>5</v>
      </c>
      <c r="C708" s="16" t="s">
        <v>698</v>
      </c>
      <c r="D708" s="32">
        <v>12</v>
      </c>
      <c r="E708" s="32">
        <v>1963</v>
      </c>
      <c r="F708" s="578">
        <v>3.42</v>
      </c>
      <c r="G708" s="578">
        <v>0.8724</v>
      </c>
      <c r="H708" s="578">
        <v>1.92</v>
      </c>
      <c r="I708" s="578">
        <f t="shared" si="87"/>
        <v>0.6276000000000002</v>
      </c>
      <c r="J708" s="265">
        <v>532.45</v>
      </c>
      <c r="K708" s="578">
        <v>0.6276</v>
      </c>
      <c r="L708" s="265">
        <v>532.45</v>
      </c>
      <c r="M708" s="158">
        <f t="shared" si="88"/>
        <v>0.0011787022255610854</v>
      </c>
      <c r="N708" s="157">
        <v>243.179</v>
      </c>
      <c r="O708" s="157">
        <f t="shared" si="89"/>
        <v>0.2866356285097192</v>
      </c>
      <c r="P708" s="157">
        <f t="shared" si="90"/>
        <v>70.72213353366513</v>
      </c>
      <c r="Q708" s="159">
        <f t="shared" si="91"/>
        <v>17.19813771058315</v>
      </c>
      <c r="S708" s="97"/>
      <c r="T708" s="97"/>
    </row>
    <row r="709" spans="1:20" s="110" customFormat="1" ht="12.75" customHeight="1">
      <c r="A709" s="499"/>
      <c r="B709" s="144">
        <v>6</v>
      </c>
      <c r="C709" s="16" t="s">
        <v>287</v>
      </c>
      <c r="D709" s="32">
        <v>30</v>
      </c>
      <c r="E709" s="32">
        <v>2007</v>
      </c>
      <c r="F709" s="578">
        <v>8.6</v>
      </c>
      <c r="G709" s="578">
        <v>3.8549</v>
      </c>
      <c r="H709" s="578">
        <v>2.4</v>
      </c>
      <c r="I709" s="578">
        <f t="shared" si="87"/>
        <v>2.345099999999999</v>
      </c>
      <c r="J709" s="265">
        <v>1423.9</v>
      </c>
      <c r="K709" s="578">
        <v>2.3451</v>
      </c>
      <c r="L709" s="265">
        <v>1423.9</v>
      </c>
      <c r="M709" s="158">
        <f t="shared" si="88"/>
        <v>0.001646955544630943</v>
      </c>
      <c r="N709" s="157">
        <v>243.179</v>
      </c>
      <c r="O709" s="157">
        <f t="shared" si="89"/>
        <v>0.4005050023878081</v>
      </c>
      <c r="P709" s="157">
        <f t="shared" si="90"/>
        <v>98.8173326778566</v>
      </c>
      <c r="Q709" s="159">
        <f t="shared" si="91"/>
        <v>24.030300143268487</v>
      </c>
      <c r="S709" s="97"/>
      <c r="T709" s="97"/>
    </row>
    <row r="710" spans="1:20" s="110" customFormat="1" ht="12.75" customHeight="1">
      <c r="A710" s="499"/>
      <c r="B710" s="144">
        <v>7</v>
      </c>
      <c r="C710" s="16" t="s">
        <v>286</v>
      </c>
      <c r="D710" s="32">
        <v>12</v>
      </c>
      <c r="E710" s="32">
        <v>1962</v>
      </c>
      <c r="F710" s="578">
        <v>3.8</v>
      </c>
      <c r="G710" s="578">
        <v>0.7909</v>
      </c>
      <c r="H710" s="578">
        <v>1.92</v>
      </c>
      <c r="I710" s="578">
        <f t="shared" si="87"/>
        <v>1.0890999999999997</v>
      </c>
      <c r="J710" s="265">
        <v>533.7</v>
      </c>
      <c r="K710" s="578">
        <v>1.0891</v>
      </c>
      <c r="L710" s="265">
        <v>533.7</v>
      </c>
      <c r="M710" s="158">
        <f t="shared" si="88"/>
        <v>0.0020406595465617384</v>
      </c>
      <c r="N710" s="157">
        <v>243.179</v>
      </c>
      <c r="O710" s="157">
        <f t="shared" si="89"/>
        <v>0.49624554787333697</v>
      </c>
      <c r="P710" s="157">
        <f t="shared" si="90"/>
        <v>122.4395727937043</v>
      </c>
      <c r="Q710" s="159">
        <f t="shared" si="91"/>
        <v>29.774732872400218</v>
      </c>
      <c r="S710" s="97"/>
      <c r="T710" s="97"/>
    </row>
    <row r="711" spans="1:20" s="110" customFormat="1" ht="12.75" customHeight="1">
      <c r="A711" s="499"/>
      <c r="B711" s="144">
        <v>8</v>
      </c>
      <c r="C711" s="16" t="s">
        <v>288</v>
      </c>
      <c r="D711" s="32">
        <v>30</v>
      </c>
      <c r="E711" s="32">
        <v>2000</v>
      </c>
      <c r="F711" s="578">
        <v>11.2</v>
      </c>
      <c r="G711" s="578">
        <v>3.0159</v>
      </c>
      <c r="H711" s="578">
        <v>4.72</v>
      </c>
      <c r="I711" s="578">
        <f t="shared" si="87"/>
        <v>3.4640999999999993</v>
      </c>
      <c r="J711" s="265">
        <v>1411.56</v>
      </c>
      <c r="K711" s="578">
        <v>3.4641</v>
      </c>
      <c r="L711" s="265">
        <v>1411.56</v>
      </c>
      <c r="M711" s="158">
        <f t="shared" si="88"/>
        <v>0.0024540933435348126</v>
      </c>
      <c r="N711" s="157">
        <v>243.179</v>
      </c>
      <c r="O711" s="157">
        <f t="shared" si="89"/>
        <v>0.5967839651874522</v>
      </c>
      <c r="P711" s="157">
        <f t="shared" si="90"/>
        <v>147.24560061208874</v>
      </c>
      <c r="Q711" s="159">
        <f t="shared" si="91"/>
        <v>35.807037911247136</v>
      </c>
      <c r="S711" s="97"/>
      <c r="T711" s="97"/>
    </row>
    <row r="712" spans="1:20" s="110" customFormat="1" ht="12.75" customHeight="1">
      <c r="A712" s="499"/>
      <c r="B712" s="144">
        <v>9</v>
      </c>
      <c r="C712" s="16"/>
      <c r="D712" s="32"/>
      <c r="E712" s="32"/>
      <c r="F712" s="578"/>
      <c r="G712" s="578"/>
      <c r="H712" s="578"/>
      <c r="I712" s="578"/>
      <c r="J712" s="265"/>
      <c r="K712" s="578"/>
      <c r="L712" s="265"/>
      <c r="M712" s="158"/>
      <c r="N712" s="157"/>
      <c r="O712" s="157"/>
      <c r="P712" s="157"/>
      <c r="Q712" s="159"/>
      <c r="S712" s="97"/>
      <c r="T712" s="97"/>
    </row>
    <row r="713" spans="1:20" s="110" customFormat="1" ht="12.75" customHeight="1" thickBot="1">
      <c r="A713" s="500"/>
      <c r="B713" s="144">
        <v>10</v>
      </c>
      <c r="C713" s="71"/>
      <c r="D713" s="70"/>
      <c r="E713" s="70"/>
      <c r="F713" s="328"/>
      <c r="G713" s="328"/>
      <c r="H713" s="328"/>
      <c r="I713" s="328"/>
      <c r="J713" s="817"/>
      <c r="K713" s="328"/>
      <c r="L713" s="817"/>
      <c r="M713" s="161"/>
      <c r="N713" s="160"/>
      <c r="O713" s="160"/>
      <c r="P713" s="160"/>
      <c r="Q713" s="162"/>
      <c r="S713" s="97"/>
      <c r="T713" s="97"/>
    </row>
    <row r="714" spans="1:20" s="110" customFormat="1" ht="12.75" customHeight="1">
      <c r="A714" s="446" t="s">
        <v>33</v>
      </c>
      <c r="B714" s="770">
        <v>1</v>
      </c>
      <c r="C714" s="99" t="s">
        <v>289</v>
      </c>
      <c r="D714" s="73">
        <v>60</v>
      </c>
      <c r="E714" s="73">
        <v>1968</v>
      </c>
      <c r="F714" s="622">
        <v>24.75</v>
      </c>
      <c r="G714" s="622">
        <v>4.4785</v>
      </c>
      <c r="H714" s="622">
        <v>9.6</v>
      </c>
      <c r="I714" s="622">
        <f aca="true" t="shared" si="92" ref="I714:I720">F714-G714-H714</f>
        <v>10.6715</v>
      </c>
      <c r="J714" s="138">
        <v>2731.74</v>
      </c>
      <c r="K714" s="622">
        <v>10.6715</v>
      </c>
      <c r="L714" s="138">
        <v>2731.74</v>
      </c>
      <c r="M714" s="184">
        <f aca="true" t="shared" si="93" ref="M714:M720">K714/L714</f>
        <v>0.003906484511703164</v>
      </c>
      <c r="N714" s="185">
        <v>243.179</v>
      </c>
      <c r="O714" s="185">
        <f aca="true" t="shared" si="94" ref="O714:O720">M714*N714</f>
        <v>0.9499749970714638</v>
      </c>
      <c r="P714" s="185">
        <f aca="true" t="shared" si="95" ref="P714:P720">M714*1000*60</f>
        <v>234.38907070218985</v>
      </c>
      <c r="Q714" s="259">
        <f aca="true" t="shared" si="96" ref="Q714:Q720">O714*60</f>
        <v>56.998499824287826</v>
      </c>
      <c r="S714" s="97"/>
      <c r="T714" s="97"/>
    </row>
    <row r="715" spans="1:20" s="110" customFormat="1" ht="12.75" customHeight="1">
      <c r="A715" s="447"/>
      <c r="B715" s="151">
        <v>2</v>
      </c>
      <c r="C715" s="35" t="s">
        <v>291</v>
      </c>
      <c r="D715" s="36">
        <v>30</v>
      </c>
      <c r="E715" s="36">
        <v>1982</v>
      </c>
      <c r="F715" s="609">
        <v>16.8</v>
      </c>
      <c r="G715" s="609">
        <v>3.6282</v>
      </c>
      <c r="H715" s="609">
        <v>4.8</v>
      </c>
      <c r="I715" s="609">
        <f t="shared" si="92"/>
        <v>8.3718</v>
      </c>
      <c r="J715" s="135">
        <v>1725.45</v>
      </c>
      <c r="K715" s="609">
        <v>8.3718</v>
      </c>
      <c r="L715" s="135">
        <v>1725.45</v>
      </c>
      <c r="M715" s="164">
        <f t="shared" si="93"/>
        <v>0.0048519516647831</v>
      </c>
      <c r="N715" s="163">
        <v>243.179</v>
      </c>
      <c r="O715" s="163">
        <f t="shared" si="94"/>
        <v>1.1798927538902895</v>
      </c>
      <c r="P715" s="163">
        <f t="shared" si="95"/>
        <v>291.117099886986</v>
      </c>
      <c r="Q715" s="251">
        <f t="shared" si="96"/>
        <v>70.79356523341737</v>
      </c>
      <c r="S715" s="97"/>
      <c r="T715" s="97"/>
    </row>
    <row r="716" spans="1:20" s="110" customFormat="1" ht="12.75" customHeight="1">
      <c r="A716" s="447"/>
      <c r="B716" s="151">
        <v>3</v>
      </c>
      <c r="C716" s="35" t="s">
        <v>290</v>
      </c>
      <c r="D716" s="36">
        <v>50</v>
      </c>
      <c r="E716" s="36">
        <v>1975</v>
      </c>
      <c r="F716" s="609">
        <v>24.9</v>
      </c>
      <c r="G716" s="609">
        <v>4.029</v>
      </c>
      <c r="H716" s="609">
        <v>7.68</v>
      </c>
      <c r="I716" s="609">
        <f t="shared" si="92"/>
        <v>13.190999999999999</v>
      </c>
      <c r="J716" s="135">
        <v>2485.16</v>
      </c>
      <c r="K716" s="609">
        <v>13.191</v>
      </c>
      <c r="L716" s="135">
        <v>2485.16</v>
      </c>
      <c r="M716" s="164">
        <f t="shared" si="93"/>
        <v>0.005307907740346699</v>
      </c>
      <c r="N716" s="163">
        <v>243.179</v>
      </c>
      <c r="O716" s="163">
        <f t="shared" si="94"/>
        <v>1.2907716963897697</v>
      </c>
      <c r="P716" s="163">
        <f t="shared" si="95"/>
        <v>318.47446442080195</v>
      </c>
      <c r="Q716" s="251">
        <f t="shared" si="96"/>
        <v>77.44630178338619</v>
      </c>
      <c r="S716" s="97"/>
      <c r="T716" s="97"/>
    </row>
    <row r="717" spans="1:20" ht="12.75" customHeight="1">
      <c r="A717" s="447"/>
      <c r="B717" s="147">
        <v>4</v>
      </c>
      <c r="C717" s="35" t="s">
        <v>296</v>
      </c>
      <c r="D717" s="36">
        <v>40</v>
      </c>
      <c r="E717" s="36">
        <v>1973</v>
      </c>
      <c r="F717" s="609">
        <v>26.1</v>
      </c>
      <c r="G717" s="609">
        <v>3.8549</v>
      </c>
      <c r="H717" s="609">
        <v>6.16</v>
      </c>
      <c r="I717" s="609">
        <f t="shared" si="92"/>
        <v>16.0851</v>
      </c>
      <c r="J717" s="135">
        <v>2567.4</v>
      </c>
      <c r="K717" s="609">
        <v>16.0851</v>
      </c>
      <c r="L717" s="135">
        <v>2567.4</v>
      </c>
      <c r="M717" s="164">
        <f t="shared" si="93"/>
        <v>0.006265132040196308</v>
      </c>
      <c r="N717" s="163">
        <v>243.179</v>
      </c>
      <c r="O717" s="163">
        <f t="shared" si="94"/>
        <v>1.523548544402898</v>
      </c>
      <c r="P717" s="163">
        <f t="shared" si="95"/>
        <v>375.9079224117785</v>
      </c>
      <c r="Q717" s="251">
        <f t="shared" si="96"/>
        <v>91.41291266417387</v>
      </c>
      <c r="S717" s="97"/>
      <c r="T717" s="97"/>
    </row>
    <row r="718" spans="1:20" ht="12.75" customHeight="1">
      <c r="A718" s="447"/>
      <c r="B718" s="147">
        <v>5</v>
      </c>
      <c r="C718" s="35" t="s">
        <v>295</v>
      </c>
      <c r="D718" s="36">
        <v>30</v>
      </c>
      <c r="E718" s="36">
        <v>1985</v>
      </c>
      <c r="F718" s="609">
        <v>18.43</v>
      </c>
      <c r="G718" s="609">
        <v>3.5715</v>
      </c>
      <c r="H718" s="609">
        <v>4.8</v>
      </c>
      <c r="I718" s="609">
        <f t="shared" si="92"/>
        <v>10.058499999999999</v>
      </c>
      <c r="J718" s="135">
        <v>1566.56</v>
      </c>
      <c r="K718" s="609">
        <v>10.0585</v>
      </c>
      <c r="L718" s="135">
        <v>1566.56</v>
      </c>
      <c r="M718" s="164">
        <f t="shared" si="93"/>
        <v>0.006420756306812379</v>
      </c>
      <c r="N718" s="163">
        <v>243.179</v>
      </c>
      <c r="O718" s="163">
        <f t="shared" si="94"/>
        <v>1.5613930979343276</v>
      </c>
      <c r="P718" s="163">
        <f t="shared" si="95"/>
        <v>385.24537840874274</v>
      </c>
      <c r="Q718" s="251">
        <f t="shared" si="96"/>
        <v>93.68358587605965</v>
      </c>
      <c r="S718" s="97"/>
      <c r="T718" s="97"/>
    </row>
    <row r="719" spans="1:20" ht="12.75" customHeight="1">
      <c r="A719" s="447"/>
      <c r="B719" s="147">
        <v>6</v>
      </c>
      <c r="C719" s="35" t="s">
        <v>293</v>
      </c>
      <c r="D719" s="36">
        <v>60</v>
      </c>
      <c r="E719" s="36">
        <v>1968</v>
      </c>
      <c r="F719" s="609">
        <v>32.1</v>
      </c>
      <c r="G719" s="609">
        <v>4.9887</v>
      </c>
      <c r="H719" s="609">
        <v>9.6</v>
      </c>
      <c r="I719" s="609">
        <f t="shared" si="92"/>
        <v>17.5113</v>
      </c>
      <c r="J719" s="135">
        <v>2726.22</v>
      </c>
      <c r="K719" s="609">
        <v>17.5113</v>
      </c>
      <c r="L719" s="135">
        <v>2726.22</v>
      </c>
      <c r="M719" s="164">
        <f t="shared" si="93"/>
        <v>0.006423289389704425</v>
      </c>
      <c r="N719" s="163">
        <v>243.179</v>
      </c>
      <c r="O719" s="163">
        <f t="shared" si="94"/>
        <v>1.5620090904989326</v>
      </c>
      <c r="P719" s="163">
        <f t="shared" si="95"/>
        <v>385.39736338226555</v>
      </c>
      <c r="Q719" s="251">
        <f t="shared" si="96"/>
        <v>93.72054542993595</v>
      </c>
      <c r="S719" s="97"/>
      <c r="T719" s="97"/>
    </row>
    <row r="720" spans="1:20" ht="12.75" customHeight="1">
      <c r="A720" s="447"/>
      <c r="B720" s="147">
        <v>7</v>
      </c>
      <c r="C720" s="35" t="s">
        <v>292</v>
      </c>
      <c r="D720" s="36">
        <v>60</v>
      </c>
      <c r="E720" s="36">
        <v>1980</v>
      </c>
      <c r="F720" s="609">
        <v>39.83</v>
      </c>
      <c r="G720" s="609">
        <v>7.9366</v>
      </c>
      <c r="H720" s="609">
        <v>9.44</v>
      </c>
      <c r="I720" s="609">
        <f t="shared" si="92"/>
        <v>22.453400000000002</v>
      </c>
      <c r="J720" s="135">
        <v>3087.75</v>
      </c>
      <c r="K720" s="609">
        <v>22.4534</v>
      </c>
      <c r="L720" s="135">
        <v>3087.75</v>
      </c>
      <c r="M720" s="164">
        <f t="shared" si="93"/>
        <v>0.007271767468221196</v>
      </c>
      <c r="N720" s="163">
        <v>243.179</v>
      </c>
      <c r="O720" s="163">
        <f t="shared" si="94"/>
        <v>1.7683411411545624</v>
      </c>
      <c r="P720" s="163">
        <f t="shared" si="95"/>
        <v>436.3060480932718</v>
      </c>
      <c r="Q720" s="251">
        <f t="shared" si="96"/>
        <v>106.10046846927375</v>
      </c>
      <c r="S720" s="97"/>
      <c r="T720" s="97"/>
    </row>
    <row r="721" spans="1:20" ht="12" customHeight="1">
      <c r="A721" s="447"/>
      <c r="B721" s="147">
        <v>8</v>
      </c>
      <c r="C721" s="618"/>
      <c r="D721" s="36"/>
      <c r="E721" s="36"/>
      <c r="F721" s="611"/>
      <c r="G721" s="611"/>
      <c r="H721" s="611"/>
      <c r="I721" s="611"/>
      <c r="J721" s="100"/>
      <c r="K721" s="611"/>
      <c r="L721" s="100"/>
      <c r="M721" s="101"/>
      <c r="N721" s="98"/>
      <c r="O721" s="35"/>
      <c r="P721" s="35"/>
      <c r="Q721" s="619"/>
      <c r="S721" s="97"/>
      <c r="T721" s="97"/>
    </row>
    <row r="722" spans="1:20" ht="12.75" customHeight="1" thickBot="1">
      <c r="A722" s="447"/>
      <c r="B722" s="782">
        <v>9</v>
      </c>
      <c r="C722" s="620"/>
      <c r="D722" s="39"/>
      <c r="E722" s="39"/>
      <c r="F722" s="612"/>
      <c r="G722" s="612"/>
      <c r="H722" s="612"/>
      <c r="I722" s="612"/>
      <c r="J722" s="343"/>
      <c r="K722" s="612"/>
      <c r="L722" s="343"/>
      <c r="M722" s="344"/>
      <c r="N722" s="342"/>
      <c r="O722" s="91"/>
      <c r="P722" s="91"/>
      <c r="Q722" s="621"/>
      <c r="S722" s="97"/>
      <c r="T722" s="97"/>
    </row>
    <row r="723" spans="1:20" ht="12.75">
      <c r="A723" s="670" t="s">
        <v>49</v>
      </c>
      <c r="B723" s="663">
        <v>1</v>
      </c>
      <c r="C723" s="698" t="s">
        <v>294</v>
      </c>
      <c r="D723" s="653">
        <v>50</v>
      </c>
      <c r="E723" s="653">
        <v>1988</v>
      </c>
      <c r="F723" s="850">
        <v>30.6</v>
      </c>
      <c r="G723" s="850">
        <v>3.9683</v>
      </c>
      <c r="H723" s="850">
        <v>7.84</v>
      </c>
      <c r="I723" s="850">
        <f aca="true" t="shared" si="97" ref="I723:I730">F723-G723-H723</f>
        <v>18.791700000000002</v>
      </c>
      <c r="J723" s="918">
        <v>2389.81</v>
      </c>
      <c r="K723" s="850">
        <v>18.7917</v>
      </c>
      <c r="L723" s="918">
        <v>2389.81</v>
      </c>
      <c r="M723" s="675">
        <f aca="true" t="shared" si="98" ref="M723:M730">K723/L723</f>
        <v>0.007863261096070398</v>
      </c>
      <c r="N723" s="674">
        <v>243.179</v>
      </c>
      <c r="O723" s="674">
        <f aca="true" t="shared" si="99" ref="O723:O730">M723*N723</f>
        <v>1.9121799700813034</v>
      </c>
      <c r="P723" s="674">
        <f aca="true" t="shared" si="100" ref="P723:P730">M723*1000*60</f>
        <v>471.7956657642239</v>
      </c>
      <c r="Q723" s="676">
        <f aca="true" t="shared" si="101" ref="Q723:Q730">O723*60</f>
        <v>114.7307982048782</v>
      </c>
      <c r="S723" s="97"/>
      <c r="T723" s="97"/>
    </row>
    <row r="724" spans="1:20" ht="12.75">
      <c r="A724" s="530"/>
      <c r="B724" s="664">
        <v>2</v>
      </c>
      <c r="C724" s="633" t="s">
        <v>299</v>
      </c>
      <c r="D724" s="367">
        <v>85</v>
      </c>
      <c r="E724" s="367">
        <v>1970</v>
      </c>
      <c r="F724" s="677">
        <v>50.8</v>
      </c>
      <c r="G724" s="677">
        <v>6.2926</v>
      </c>
      <c r="H724" s="677">
        <v>13.6</v>
      </c>
      <c r="I724" s="677">
        <f t="shared" si="97"/>
        <v>30.907399999999996</v>
      </c>
      <c r="J724" s="652">
        <v>3789.83</v>
      </c>
      <c r="K724" s="677">
        <v>30.9074</v>
      </c>
      <c r="L724" s="652">
        <v>3789.83</v>
      </c>
      <c r="M724" s="679">
        <f t="shared" si="98"/>
        <v>0.008155352614761083</v>
      </c>
      <c r="N724" s="678">
        <v>243.179</v>
      </c>
      <c r="O724" s="678">
        <f t="shared" si="99"/>
        <v>1.9832104935049855</v>
      </c>
      <c r="P724" s="678">
        <f t="shared" si="100"/>
        <v>489.321156885665</v>
      </c>
      <c r="Q724" s="680">
        <f t="shared" si="101"/>
        <v>118.99262961029913</v>
      </c>
      <c r="S724" s="97"/>
      <c r="T724" s="97"/>
    </row>
    <row r="725" spans="1:20" ht="12.75">
      <c r="A725" s="530"/>
      <c r="B725" s="664">
        <v>3</v>
      </c>
      <c r="C725" s="633" t="s">
        <v>300</v>
      </c>
      <c r="D725" s="367">
        <v>85</v>
      </c>
      <c r="E725" s="367">
        <v>1970</v>
      </c>
      <c r="F725" s="677">
        <v>53.1</v>
      </c>
      <c r="G725" s="677">
        <v>7.0862</v>
      </c>
      <c r="H725" s="677">
        <v>13.6</v>
      </c>
      <c r="I725" s="677">
        <f t="shared" si="97"/>
        <v>32.4138</v>
      </c>
      <c r="J725" s="652">
        <v>3839.76</v>
      </c>
      <c r="K725" s="677">
        <v>32.4138</v>
      </c>
      <c r="L725" s="652">
        <v>3839.76</v>
      </c>
      <c r="M725" s="679">
        <f t="shared" si="98"/>
        <v>0.008441621351334458</v>
      </c>
      <c r="N725" s="678">
        <v>243.179</v>
      </c>
      <c r="O725" s="678">
        <f t="shared" si="99"/>
        <v>2.052825038596162</v>
      </c>
      <c r="P725" s="678">
        <f t="shared" si="100"/>
        <v>506.49728108006747</v>
      </c>
      <c r="Q725" s="680">
        <f t="shared" si="101"/>
        <v>123.16950231576973</v>
      </c>
      <c r="S725" s="97"/>
      <c r="T725" s="97"/>
    </row>
    <row r="726" spans="1:20" ht="12.75">
      <c r="A726" s="530"/>
      <c r="B726" s="664">
        <v>4</v>
      </c>
      <c r="C726" s="633" t="s">
        <v>298</v>
      </c>
      <c r="D726" s="367">
        <v>30</v>
      </c>
      <c r="E726" s="367">
        <v>1992</v>
      </c>
      <c r="F726" s="677">
        <v>20.5</v>
      </c>
      <c r="G726" s="677">
        <v>2.2676</v>
      </c>
      <c r="H726" s="677">
        <v>4.8</v>
      </c>
      <c r="I726" s="677">
        <f t="shared" si="97"/>
        <v>13.432399999999998</v>
      </c>
      <c r="J726" s="652">
        <v>1576.72</v>
      </c>
      <c r="K726" s="677">
        <v>13.4324</v>
      </c>
      <c r="L726" s="652">
        <v>1576.72</v>
      </c>
      <c r="M726" s="679">
        <f t="shared" si="98"/>
        <v>0.00851920442437465</v>
      </c>
      <c r="N726" s="678">
        <v>243.179</v>
      </c>
      <c r="O726" s="678">
        <f t="shared" si="99"/>
        <v>2.071691612715003</v>
      </c>
      <c r="P726" s="678">
        <f t="shared" si="100"/>
        <v>511.1522654624791</v>
      </c>
      <c r="Q726" s="680">
        <f t="shared" si="101"/>
        <v>124.30149676290019</v>
      </c>
      <c r="S726" s="97"/>
      <c r="T726" s="97"/>
    </row>
    <row r="727" spans="1:20" ht="13.5" customHeight="1">
      <c r="A727" s="530"/>
      <c r="B727" s="664">
        <v>5</v>
      </c>
      <c r="C727" s="633" t="s">
        <v>297</v>
      </c>
      <c r="D727" s="367">
        <v>60</v>
      </c>
      <c r="E727" s="367">
        <v>1981</v>
      </c>
      <c r="F727" s="677">
        <v>43.1</v>
      </c>
      <c r="G727" s="677">
        <v>5.669</v>
      </c>
      <c r="H727" s="677">
        <v>9.6</v>
      </c>
      <c r="I727" s="677">
        <f t="shared" si="97"/>
        <v>27.831000000000003</v>
      </c>
      <c r="J727" s="652">
        <v>3123.05</v>
      </c>
      <c r="K727" s="677">
        <v>27.831</v>
      </c>
      <c r="L727" s="652">
        <v>3123.05</v>
      </c>
      <c r="M727" s="679">
        <f t="shared" si="98"/>
        <v>0.008911480763996733</v>
      </c>
      <c r="N727" s="678">
        <v>243.179</v>
      </c>
      <c r="O727" s="678">
        <f t="shared" si="99"/>
        <v>2.1670849807079615</v>
      </c>
      <c r="P727" s="678">
        <f t="shared" si="100"/>
        <v>534.688845839804</v>
      </c>
      <c r="Q727" s="680">
        <f t="shared" si="101"/>
        <v>130.0250988424777</v>
      </c>
      <c r="S727" s="97"/>
      <c r="T727" s="97"/>
    </row>
    <row r="728" spans="1:20" ht="12" customHeight="1">
      <c r="A728" s="530"/>
      <c r="B728" s="664">
        <v>6</v>
      </c>
      <c r="C728" s="633" t="s">
        <v>699</v>
      </c>
      <c r="D728" s="367">
        <v>20</v>
      </c>
      <c r="E728" s="367">
        <v>1994</v>
      </c>
      <c r="F728" s="677">
        <v>15.2</v>
      </c>
      <c r="G728" s="677">
        <v>1.644</v>
      </c>
      <c r="H728" s="677">
        <v>2.72</v>
      </c>
      <c r="I728" s="677">
        <f t="shared" si="97"/>
        <v>10.835999999999999</v>
      </c>
      <c r="J728" s="652">
        <v>1127.46</v>
      </c>
      <c r="K728" s="677">
        <v>10.836</v>
      </c>
      <c r="L728" s="652">
        <v>1127.46</v>
      </c>
      <c r="M728" s="679">
        <f t="shared" si="98"/>
        <v>0.009610983981693364</v>
      </c>
      <c r="N728" s="678">
        <v>243.179</v>
      </c>
      <c r="O728" s="678">
        <f t="shared" si="99"/>
        <v>2.3371894736842105</v>
      </c>
      <c r="P728" s="678">
        <f t="shared" si="100"/>
        <v>576.6590389016019</v>
      </c>
      <c r="Q728" s="680">
        <f t="shared" si="101"/>
        <v>140.23136842105262</v>
      </c>
      <c r="S728" s="97"/>
      <c r="T728" s="97"/>
    </row>
    <row r="729" spans="1:20" ht="12.75">
      <c r="A729" s="530"/>
      <c r="B729" s="664">
        <v>7</v>
      </c>
      <c r="C729" s="633" t="s">
        <v>700</v>
      </c>
      <c r="D729" s="367">
        <v>60</v>
      </c>
      <c r="E729" s="367">
        <v>1985</v>
      </c>
      <c r="F729" s="677">
        <v>55.7</v>
      </c>
      <c r="G729" s="677">
        <v>5.4422</v>
      </c>
      <c r="H729" s="677">
        <v>9.36</v>
      </c>
      <c r="I729" s="677">
        <f t="shared" si="97"/>
        <v>40.897800000000004</v>
      </c>
      <c r="J729" s="652">
        <v>3842.05</v>
      </c>
      <c r="K729" s="677">
        <v>40.8978</v>
      </c>
      <c r="L729" s="652">
        <v>3842.05</v>
      </c>
      <c r="M729" s="679">
        <f t="shared" si="98"/>
        <v>0.010644785986647752</v>
      </c>
      <c r="N729" s="678">
        <v>243.179</v>
      </c>
      <c r="O729" s="678">
        <f t="shared" si="99"/>
        <v>2.5885884114470135</v>
      </c>
      <c r="P729" s="678">
        <f t="shared" si="100"/>
        <v>638.6871591988652</v>
      </c>
      <c r="Q729" s="680">
        <f t="shared" si="101"/>
        <v>155.3153046868208</v>
      </c>
      <c r="S729" s="97"/>
      <c r="T729" s="97"/>
    </row>
    <row r="730" spans="1:20" ht="12.75">
      <c r="A730" s="530"/>
      <c r="B730" s="664">
        <v>8</v>
      </c>
      <c r="C730" s="633" t="s">
        <v>701</v>
      </c>
      <c r="D730" s="367">
        <v>15</v>
      </c>
      <c r="E730" s="367">
        <v>1992</v>
      </c>
      <c r="F730" s="677">
        <v>15.5</v>
      </c>
      <c r="G730" s="677">
        <v>2.3243</v>
      </c>
      <c r="H730" s="677">
        <v>2.32</v>
      </c>
      <c r="I730" s="677">
        <f t="shared" si="97"/>
        <v>10.855699999999999</v>
      </c>
      <c r="J730" s="652">
        <v>861.65</v>
      </c>
      <c r="K730" s="677">
        <v>10.8557</v>
      </c>
      <c r="L730" s="652">
        <v>861.65</v>
      </c>
      <c r="M730" s="679">
        <f t="shared" si="98"/>
        <v>0.01259873498520281</v>
      </c>
      <c r="N730" s="678">
        <v>243.179</v>
      </c>
      <c r="O730" s="678">
        <f t="shared" si="99"/>
        <v>3.063747774966634</v>
      </c>
      <c r="P730" s="678">
        <f t="shared" si="100"/>
        <v>755.9240991121686</v>
      </c>
      <c r="Q730" s="680">
        <f t="shared" si="101"/>
        <v>183.82486649799804</v>
      </c>
      <c r="S730" s="97"/>
      <c r="T730" s="97"/>
    </row>
    <row r="731" spans="1:20" ht="13.5" thickBot="1">
      <c r="A731" s="534"/>
      <c r="B731" s="667">
        <v>9</v>
      </c>
      <c r="C731" s="708"/>
      <c r="D731" s="535"/>
      <c r="E731" s="535"/>
      <c r="F731" s="1225"/>
      <c r="G731" s="1225"/>
      <c r="H731" s="1225"/>
      <c r="I731" s="1225"/>
      <c r="J731" s="657"/>
      <c r="K731" s="1225"/>
      <c r="L731" s="657"/>
      <c r="M731" s="537"/>
      <c r="N731" s="538"/>
      <c r="O731" s="640"/>
      <c r="P731" s="640"/>
      <c r="Q731" s="709"/>
      <c r="S731" s="97"/>
      <c r="T731" s="97"/>
    </row>
    <row r="732" spans="1:20" ht="12.75">
      <c r="A732" s="816" t="s">
        <v>34</v>
      </c>
      <c r="B732" s="760">
        <v>1</v>
      </c>
      <c r="C732" s="725" t="s">
        <v>702</v>
      </c>
      <c r="D732" s="88">
        <v>7</v>
      </c>
      <c r="E732" s="88">
        <v>1955</v>
      </c>
      <c r="F732" s="726">
        <v>4.29</v>
      </c>
      <c r="G732" s="726"/>
      <c r="H732" s="726"/>
      <c r="I732" s="726">
        <f aca="true" t="shared" si="102" ref="I732:I738">F732-G732-H732</f>
        <v>4.29</v>
      </c>
      <c r="J732" s="922">
        <v>326.22</v>
      </c>
      <c r="K732" s="726">
        <v>4.29</v>
      </c>
      <c r="L732" s="922">
        <v>326.22</v>
      </c>
      <c r="M732" s="714">
        <f aca="true" t="shared" si="103" ref="M732:M738">K732/L732</f>
        <v>0.013150634541107228</v>
      </c>
      <c r="N732" s="715">
        <v>243.179</v>
      </c>
      <c r="O732" s="715">
        <f aca="true" t="shared" si="104" ref="O732:O738">M732*N732</f>
        <v>3.1979581570719144</v>
      </c>
      <c r="P732" s="715">
        <f aca="true" t="shared" si="105" ref="P732:P738">M732*1000*60</f>
        <v>789.0380724664337</v>
      </c>
      <c r="Q732" s="716">
        <f aca="true" t="shared" si="106" ref="Q732:Q738">O732*60</f>
        <v>191.87748942431486</v>
      </c>
      <c r="S732" s="97"/>
      <c r="T732" s="97"/>
    </row>
    <row r="733" spans="1:20" ht="12.75">
      <c r="A733" s="407"/>
      <c r="B733" s="41">
        <v>2</v>
      </c>
      <c r="C733" s="52" t="s">
        <v>703</v>
      </c>
      <c r="D733" s="42">
        <v>24</v>
      </c>
      <c r="E733" s="42">
        <v>1961</v>
      </c>
      <c r="F733" s="727">
        <v>13.43</v>
      </c>
      <c r="G733" s="727"/>
      <c r="H733" s="727"/>
      <c r="I733" s="727">
        <f t="shared" si="102"/>
        <v>13.43</v>
      </c>
      <c r="J733" s="751">
        <v>909.58</v>
      </c>
      <c r="K733" s="727">
        <v>13.43</v>
      </c>
      <c r="L733" s="751">
        <v>909.58</v>
      </c>
      <c r="M733" s="721">
        <f t="shared" si="103"/>
        <v>0.014765056399656983</v>
      </c>
      <c r="N733" s="722">
        <v>243.179</v>
      </c>
      <c r="O733" s="722">
        <f t="shared" si="104"/>
        <v>3.5905516502121855</v>
      </c>
      <c r="P733" s="722">
        <f t="shared" si="105"/>
        <v>885.903383979419</v>
      </c>
      <c r="Q733" s="723">
        <f t="shared" si="106"/>
        <v>215.43309901273113</v>
      </c>
      <c r="S733" s="97"/>
      <c r="T733" s="97"/>
    </row>
    <row r="734" spans="1:20" ht="12.75">
      <c r="A734" s="407"/>
      <c r="B734" s="41">
        <v>3</v>
      </c>
      <c r="C734" s="52" t="s">
        <v>302</v>
      </c>
      <c r="D734" s="42">
        <v>9</v>
      </c>
      <c r="E734" s="42">
        <v>1961</v>
      </c>
      <c r="F734" s="727">
        <v>5.85</v>
      </c>
      <c r="G734" s="727"/>
      <c r="H734" s="727"/>
      <c r="I734" s="727">
        <f t="shared" si="102"/>
        <v>5.85</v>
      </c>
      <c r="J734" s="751">
        <v>391.38</v>
      </c>
      <c r="K734" s="727">
        <v>5.85</v>
      </c>
      <c r="L734" s="751">
        <v>391.38</v>
      </c>
      <c r="M734" s="721">
        <f t="shared" si="103"/>
        <v>0.014947110225356431</v>
      </c>
      <c r="N734" s="722">
        <v>243.179</v>
      </c>
      <c r="O734" s="722">
        <f t="shared" si="104"/>
        <v>3.6348233174919518</v>
      </c>
      <c r="P734" s="722">
        <f t="shared" si="105"/>
        <v>896.8266135213859</v>
      </c>
      <c r="Q734" s="723">
        <f t="shared" si="106"/>
        <v>218.0893990495171</v>
      </c>
      <c r="S734" s="97"/>
      <c r="T734" s="97"/>
    </row>
    <row r="735" spans="1:20" ht="12.75">
      <c r="A735" s="407"/>
      <c r="B735" s="41">
        <v>4</v>
      </c>
      <c r="C735" s="52" t="s">
        <v>304</v>
      </c>
      <c r="D735" s="42">
        <v>24</v>
      </c>
      <c r="E735" s="42">
        <v>1960</v>
      </c>
      <c r="F735" s="727">
        <v>15.28</v>
      </c>
      <c r="G735" s="727"/>
      <c r="H735" s="727"/>
      <c r="I735" s="727">
        <f t="shared" si="102"/>
        <v>15.28</v>
      </c>
      <c r="J735" s="751">
        <v>914.41</v>
      </c>
      <c r="K735" s="727">
        <v>15.28</v>
      </c>
      <c r="L735" s="751">
        <v>914.41</v>
      </c>
      <c r="M735" s="721">
        <f t="shared" si="103"/>
        <v>0.016710228453319625</v>
      </c>
      <c r="N735" s="722">
        <v>243.179</v>
      </c>
      <c r="O735" s="722">
        <f t="shared" si="104"/>
        <v>4.063576645049813</v>
      </c>
      <c r="P735" s="722">
        <f t="shared" si="105"/>
        <v>1002.6137071991776</v>
      </c>
      <c r="Q735" s="723">
        <f t="shared" si="106"/>
        <v>243.81459870298877</v>
      </c>
      <c r="S735" s="97"/>
      <c r="T735" s="97"/>
    </row>
    <row r="736" spans="1:20" ht="12.75">
      <c r="A736" s="407"/>
      <c r="B736" s="41">
        <v>5</v>
      </c>
      <c r="C736" s="52" t="s">
        <v>301</v>
      </c>
      <c r="D736" s="42">
        <v>8</v>
      </c>
      <c r="E736" s="42">
        <v>1976</v>
      </c>
      <c r="F736" s="727">
        <v>6.94</v>
      </c>
      <c r="G736" s="727"/>
      <c r="H736" s="727"/>
      <c r="I736" s="727">
        <f t="shared" si="102"/>
        <v>6.94</v>
      </c>
      <c r="J736" s="751">
        <v>404.24</v>
      </c>
      <c r="K736" s="727">
        <v>6.94</v>
      </c>
      <c r="L736" s="751">
        <v>404.24</v>
      </c>
      <c r="M736" s="721">
        <f t="shared" si="103"/>
        <v>0.017168018998614684</v>
      </c>
      <c r="N736" s="722">
        <v>243.179</v>
      </c>
      <c r="O736" s="722">
        <f t="shared" si="104"/>
        <v>4.17490169206412</v>
      </c>
      <c r="P736" s="722">
        <f t="shared" si="105"/>
        <v>1030.081139916881</v>
      </c>
      <c r="Q736" s="723">
        <f t="shared" si="106"/>
        <v>250.4941015238472</v>
      </c>
      <c r="S736" s="97"/>
      <c r="T736" s="97"/>
    </row>
    <row r="737" spans="1:20" ht="12" customHeight="1">
      <c r="A737" s="407"/>
      <c r="B737" s="41">
        <v>6</v>
      </c>
      <c r="C737" s="52" t="s">
        <v>305</v>
      </c>
      <c r="D737" s="42">
        <v>16</v>
      </c>
      <c r="E737" s="42">
        <v>1964</v>
      </c>
      <c r="F737" s="727">
        <v>11.5</v>
      </c>
      <c r="G737" s="727"/>
      <c r="H737" s="727"/>
      <c r="I737" s="727">
        <f t="shared" si="102"/>
        <v>11.5</v>
      </c>
      <c r="J737" s="751">
        <v>606.77</v>
      </c>
      <c r="K737" s="727">
        <v>10.6495</v>
      </c>
      <c r="L737" s="751">
        <v>606.77</v>
      </c>
      <c r="M737" s="721">
        <f t="shared" si="103"/>
        <v>0.017551131400695485</v>
      </c>
      <c r="N737" s="722">
        <v>243.179</v>
      </c>
      <c r="O737" s="722">
        <f t="shared" si="104"/>
        <v>4.268066582889728</v>
      </c>
      <c r="P737" s="722">
        <f t="shared" si="105"/>
        <v>1053.067884041729</v>
      </c>
      <c r="Q737" s="723">
        <f t="shared" si="106"/>
        <v>256.08399497338365</v>
      </c>
      <c r="S737" s="97"/>
      <c r="T737" s="97"/>
    </row>
    <row r="738" spans="1:20" ht="12.75">
      <c r="A738" s="407"/>
      <c r="B738" s="41">
        <v>7</v>
      </c>
      <c r="C738" s="52" t="s">
        <v>303</v>
      </c>
      <c r="D738" s="42">
        <v>10</v>
      </c>
      <c r="E738" s="42">
        <v>1938</v>
      </c>
      <c r="F738" s="727">
        <v>5.75</v>
      </c>
      <c r="G738" s="727"/>
      <c r="H738" s="727"/>
      <c r="I738" s="727">
        <f t="shared" si="102"/>
        <v>5.75</v>
      </c>
      <c r="J738" s="751">
        <v>304.82</v>
      </c>
      <c r="K738" s="727">
        <v>5.35</v>
      </c>
      <c r="L738" s="751">
        <v>304.82</v>
      </c>
      <c r="M738" s="721">
        <f t="shared" si="103"/>
        <v>0.01755134177547405</v>
      </c>
      <c r="N738" s="722">
        <v>243.179</v>
      </c>
      <c r="O738" s="722">
        <f t="shared" si="104"/>
        <v>4.2681177416180045</v>
      </c>
      <c r="P738" s="722">
        <f t="shared" si="105"/>
        <v>1053.080506528443</v>
      </c>
      <c r="Q738" s="723">
        <f t="shared" si="106"/>
        <v>256.0870644970803</v>
      </c>
      <c r="S738" s="97"/>
      <c r="T738" s="97"/>
    </row>
    <row r="739" spans="1:20" ht="12.75">
      <c r="A739" s="407"/>
      <c r="B739" s="42">
        <v>8</v>
      </c>
      <c r="C739" s="90"/>
      <c r="D739" s="42"/>
      <c r="E739" s="42"/>
      <c r="F739" s="1226"/>
      <c r="G739" s="1226"/>
      <c r="H739" s="1226"/>
      <c r="I739" s="1226"/>
      <c r="J739" s="93"/>
      <c r="K739" s="53"/>
      <c r="L739" s="93"/>
      <c r="M739" s="54"/>
      <c r="N739" s="53"/>
      <c r="O739" s="53"/>
      <c r="P739" s="53"/>
      <c r="Q739" s="94"/>
      <c r="S739" s="97"/>
      <c r="T739" s="97"/>
    </row>
    <row r="740" spans="1:20" ht="13.5" thickBot="1">
      <c r="A740" s="408"/>
      <c r="B740" s="47">
        <v>9</v>
      </c>
      <c r="C740" s="136"/>
      <c r="D740" s="47"/>
      <c r="E740" s="47"/>
      <c r="F740" s="57"/>
      <c r="G740" s="57"/>
      <c r="H740" s="57"/>
      <c r="I740" s="57"/>
      <c r="J740" s="96"/>
      <c r="K740" s="57"/>
      <c r="L740" s="134"/>
      <c r="M740" s="58"/>
      <c r="N740" s="57"/>
      <c r="O740" s="57"/>
      <c r="P740" s="57"/>
      <c r="Q740" s="95"/>
      <c r="S740" s="97"/>
      <c r="T740" s="97"/>
    </row>
    <row r="741" spans="19:20" ht="12.75">
      <c r="S741" s="97"/>
      <c r="T741" s="97"/>
    </row>
    <row r="742" spans="19:20" ht="12.75">
      <c r="S742" s="97"/>
      <c r="T742" s="97"/>
    </row>
    <row r="743" spans="19:20" ht="12.75">
      <c r="S743" s="97"/>
      <c r="T743" s="97"/>
    </row>
    <row r="744" spans="19:20" ht="12.75">
      <c r="S744" s="97"/>
      <c r="T744" s="97"/>
    </row>
    <row r="745" spans="19:20" ht="12.75">
      <c r="S745" s="97"/>
      <c r="T745" s="97"/>
    </row>
    <row r="746" spans="19:20" ht="12.75">
      <c r="S746" s="97"/>
      <c r="T746" s="97"/>
    </row>
    <row r="747" spans="19:20" ht="12.75">
      <c r="S747" s="97"/>
      <c r="T747" s="97"/>
    </row>
    <row r="748" spans="1:20" ht="15">
      <c r="A748" s="419" t="s">
        <v>43</v>
      </c>
      <c r="B748" s="419"/>
      <c r="C748" s="419"/>
      <c r="D748" s="419"/>
      <c r="E748" s="419"/>
      <c r="F748" s="419"/>
      <c r="G748" s="419"/>
      <c r="H748" s="419"/>
      <c r="I748" s="419"/>
      <c r="J748" s="419"/>
      <c r="K748" s="419"/>
      <c r="L748" s="419"/>
      <c r="M748" s="419"/>
      <c r="N748" s="419"/>
      <c r="O748" s="419"/>
      <c r="P748" s="419"/>
      <c r="Q748" s="419"/>
      <c r="S748" s="97"/>
      <c r="T748" s="97"/>
    </row>
    <row r="749" spans="1:20" ht="13.5" thickBot="1">
      <c r="A749" s="503" t="s">
        <v>705</v>
      </c>
      <c r="B749" s="503"/>
      <c r="C749" s="503"/>
      <c r="D749" s="503"/>
      <c r="E749" s="503"/>
      <c r="F749" s="503"/>
      <c r="G749" s="503"/>
      <c r="H749" s="503"/>
      <c r="I749" s="503"/>
      <c r="J749" s="503"/>
      <c r="K749" s="503"/>
      <c r="L749" s="503"/>
      <c r="M749" s="503"/>
      <c r="N749" s="503"/>
      <c r="O749" s="503"/>
      <c r="P749" s="503"/>
      <c r="Q749" s="503"/>
      <c r="S749" s="97"/>
      <c r="T749" s="97"/>
    </row>
    <row r="750" spans="1:20" ht="12.75" customHeight="1">
      <c r="A750" s="395" t="s">
        <v>1</v>
      </c>
      <c r="B750" s="397" t="s">
        <v>0</v>
      </c>
      <c r="C750" s="384" t="s">
        <v>2</v>
      </c>
      <c r="D750" s="384" t="s">
        <v>3</v>
      </c>
      <c r="E750" s="384" t="s">
        <v>13</v>
      </c>
      <c r="F750" s="386" t="s">
        <v>14</v>
      </c>
      <c r="G750" s="387"/>
      <c r="H750" s="387"/>
      <c r="I750" s="388"/>
      <c r="J750" s="384" t="s">
        <v>4</v>
      </c>
      <c r="K750" s="384" t="s">
        <v>15</v>
      </c>
      <c r="L750" s="384" t="s">
        <v>5</v>
      </c>
      <c r="M750" s="384" t="s">
        <v>6</v>
      </c>
      <c r="N750" s="384" t="s">
        <v>16</v>
      </c>
      <c r="O750" s="384" t="s">
        <v>17</v>
      </c>
      <c r="P750" s="468" t="s">
        <v>25</v>
      </c>
      <c r="Q750" s="391" t="s">
        <v>26</v>
      </c>
      <c r="S750" s="97"/>
      <c r="T750" s="97"/>
    </row>
    <row r="751" spans="1:20" s="2" customFormat="1" ht="33.75">
      <c r="A751" s="396"/>
      <c r="B751" s="398"/>
      <c r="C751" s="399"/>
      <c r="D751" s="385"/>
      <c r="E751" s="385"/>
      <c r="F751" s="37" t="s">
        <v>18</v>
      </c>
      <c r="G751" s="37" t="s">
        <v>19</v>
      </c>
      <c r="H751" s="37" t="s">
        <v>20</v>
      </c>
      <c r="I751" s="37" t="s">
        <v>21</v>
      </c>
      <c r="J751" s="385"/>
      <c r="K751" s="385"/>
      <c r="L751" s="385"/>
      <c r="M751" s="385"/>
      <c r="N751" s="385"/>
      <c r="O751" s="385"/>
      <c r="P751" s="469"/>
      <c r="Q751" s="392"/>
      <c r="S751" s="97"/>
      <c r="T751" s="97"/>
    </row>
    <row r="752" spans="1:20" s="3" customFormat="1" ht="13.5" customHeight="1" thickBot="1">
      <c r="A752" s="414"/>
      <c r="B752" s="415"/>
      <c r="C752" s="416"/>
      <c r="D752" s="65" t="s">
        <v>7</v>
      </c>
      <c r="E752" s="65" t="s">
        <v>8</v>
      </c>
      <c r="F752" s="65" t="s">
        <v>9</v>
      </c>
      <c r="G752" s="65" t="s">
        <v>9</v>
      </c>
      <c r="H752" s="65" t="s">
        <v>9</v>
      </c>
      <c r="I752" s="65" t="s">
        <v>9</v>
      </c>
      <c r="J752" s="65" t="s">
        <v>22</v>
      </c>
      <c r="K752" s="65" t="s">
        <v>9</v>
      </c>
      <c r="L752" s="65" t="s">
        <v>22</v>
      </c>
      <c r="M752" s="65" t="s">
        <v>136</v>
      </c>
      <c r="N752" s="65" t="s">
        <v>10</v>
      </c>
      <c r="O752" s="65" t="s">
        <v>137</v>
      </c>
      <c r="P752" s="65" t="s">
        <v>27</v>
      </c>
      <c r="Q752" s="67" t="s">
        <v>28</v>
      </c>
      <c r="S752" s="97"/>
      <c r="T752" s="97"/>
    </row>
    <row r="753" spans="1:20" ht="11.25" customHeight="1">
      <c r="A753" s="460" t="s">
        <v>11</v>
      </c>
      <c r="B753" s="31">
        <v>1</v>
      </c>
      <c r="C753" s="69" t="s">
        <v>706</v>
      </c>
      <c r="D753" s="68">
        <v>45</v>
      </c>
      <c r="E753" s="68">
        <v>1990</v>
      </c>
      <c r="F753" s="277">
        <v>12.457</v>
      </c>
      <c r="G753" s="277">
        <v>4.705</v>
      </c>
      <c r="H753" s="277">
        <v>7.2</v>
      </c>
      <c r="I753" s="277">
        <v>0.55</v>
      </c>
      <c r="J753" s="1183">
        <v>2333.65</v>
      </c>
      <c r="K753" s="277">
        <v>0.55</v>
      </c>
      <c r="L753" s="1183">
        <v>2333.65</v>
      </c>
      <c r="M753" s="356">
        <f>K753/L753</f>
        <v>0.00023568230025925054</v>
      </c>
      <c r="N753" s="573">
        <v>210.7</v>
      </c>
      <c r="O753" s="575">
        <f>M753*N753</f>
        <v>0.04965826066462409</v>
      </c>
      <c r="P753" s="575">
        <f>M753*60*1000</f>
        <v>14.140938015555031</v>
      </c>
      <c r="Q753" s="576">
        <f>P753*N753/1000</f>
        <v>2.979495639877445</v>
      </c>
      <c r="S753" s="97"/>
      <c r="T753" s="97"/>
    </row>
    <row r="754" spans="1:20" ht="12.75">
      <c r="A754" s="461"/>
      <c r="B754" s="32">
        <v>2</v>
      </c>
      <c r="C754" s="16" t="s">
        <v>707</v>
      </c>
      <c r="D754" s="32">
        <v>39</v>
      </c>
      <c r="E754" s="32">
        <v>1992</v>
      </c>
      <c r="F754" s="578">
        <v>16.671</v>
      </c>
      <c r="G754" s="578">
        <v>4.78</v>
      </c>
      <c r="H754" s="578">
        <v>6.4</v>
      </c>
      <c r="I754" s="578">
        <v>5.489</v>
      </c>
      <c r="J754" s="265">
        <v>2286.95</v>
      </c>
      <c r="K754" s="578">
        <v>5.489</v>
      </c>
      <c r="L754" s="265">
        <v>2286.95</v>
      </c>
      <c r="M754" s="156">
        <f>K754/L754</f>
        <v>0.0024001399243533967</v>
      </c>
      <c r="N754" s="157">
        <v>210.7</v>
      </c>
      <c r="O754" s="157">
        <f>M754*N754</f>
        <v>0.5057094820612607</v>
      </c>
      <c r="P754" s="157">
        <f>M754*60*1000</f>
        <v>144.0083954612038</v>
      </c>
      <c r="Q754" s="159">
        <f>P754*N754/1000</f>
        <v>30.34256892367564</v>
      </c>
      <c r="S754" s="97"/>
      <c r="T754" s="97"/>
    </row>
    <row r="755" spans="1:20" ht="12.75">
      <c r="A755" s="461"/>
      <c r="B755" s="32">
        <v>3</v>
      </c>
      <c r="C755" s="16" t="s">
        <v>708</v>
      </c>
      <c r="D755" s="32">
        <v>45</v>
      </c>
      <c r="E755" s="32">
        <v>1991</v>
      </c>
      <c r="F755" s="578">
        <v>17.957</v>
      </c>
      <c r="G755" s="578">
        <v>4.59</v>
      </c>
      <c r="H755" s="578">
        <v>7.2</v>
      </c>
      <c r="I755" s="578">
        <v>6.165</v>
      </c>
      <c r="J755" s="265">
        <v>2327.88</v>
      </c>
      <c r="K755" s="578">
        <v>6.165</v>
      </c>
      <c r="L755" s="265">
        <v>2327.88</v>
      </c>
      <c r="M755" s="156">
        <f>K755/L755</f>
        <v>0.002648332388267436</v>
      </c>
      <c r="N755" s="157">
        <v>210.7</v>
      </c>
      <c r="O755" s="157">
        <f>M755*N755</f>
        <v>0.5580036342079487</v>
      </c>
      <c r="P755" s="157">
        <f>M755*60*1000</f>
        <v>158.8999432960462</v>
      </c>
      <c r="Q755" s="159">
        <f>P755*N755/1000</f>
        <v>33.48021805247693</v>
      </c>
      <c r="S755" s="97"/>
      <c r="T755" s="97"/>
    </row>
    <row r="756" spans="1:20" ht="12.75">
      <c r="A756" s="461"/>
      <c r="B756" s="32">
        <v>4</v>
      </c>
      <c r="C756" s="16" t="s">
        <v>709</v>
      </c>
      <c r="D756" s="32">
        <v>55</v>
      </c>
      <c r="E756" s="32">
        <v>1989</v>
      </c>
      <c r="F756" s="578">
        <v>20.374</v>
      </c>
      <c r="G756" s="578">
        <v>5.24</v>
      </c>
      <c r="H756" s="578">
        <v>8.8</v>
      </c>
      <c r="I756" s="578">
        <v>6.33</v>
      </c>
      <c r="J756" s="265">
        <v>2337.38</v>
      </c>
      <c r="K756" s="578">
        <v>6.33</v>
      </c>
      <c r="L756" s="265">
        <v>2337.38</v>
      </c>
      <c r="M756" s="156">
        <f>K756/L756</f>
        <v>0.0027081604189305975</v>
      </c>
      <c r="N756" s="157">
        <v>210.7</v>
      </c>
      <c r="O756" s="157">
        <f>M756*N756</f>
        <v>0.5706094002686769</v>
      </c>
      <c r="P756" s="157">
        <f>M756*60*1000</f>
        <v>162.48962513583584</v>
      </c>
      <c r="Q756" s="159">
        <f>P756*N756/1000</f>
        <v>34.23656401612061</v>
      </c>
      <c r="S756" s="97"/>
      <c r="T756" s="97"/>
    </row>
    <row r="757" spans="1:20" ht="12.75">
      <c r="A757" s="461"/>
      <c r="B757" s="32">
        <v>5</v>
      </c>
      <c r="C757" s="16"/>
      <c r="D757" s="32"/>
      <c r="E757" s="32"/>
      <c r="F757" s="578"/>
      <c r="G757" s="578"/>
      <c r="H757" s="578"/>
      <c r="I757" s="578"/>
      <c r="J757" s="265"/>
      <c r="K757" s="578"/>
      <c r="L757" s="265"/>
      <c r="M757" s="158"/>
      <c r="N757" s="157"/>
      <c r="O757" s="157"/>
      <c r="P757" s="157"/>
      <c r="Q757" s="159"/>
      <c r="S757" s="97"/>
      <c r="T757" s="97"/>
    </row>
    <row r="758" spans="1:20" ht="12.75">
      <c r="A758" s="461"/>
      <c r="B758" s="32">
        <v>6</v>
      </c>
      <c r="C758" s="16"/>
      <c r="D758" s="32"/>
      <c r="E758" s="32"/>
      <c r="F758" s="578"/>
      <c r="G758" s="578"/>
      <c r="H758" s="578"/>
      <c r="I758" s="578"/>
      <c r="J758" s="265"/>
      <c r="K758" s="578"/>
      <c r="L758" s="265"/>
      <c r="M758" s="158"/>
      <c r="N758" s="32"/>
      <c r="O758" s="32"/>
      <c r="P758" s="157"/>
      <c r="Q758" s="159"/>
      <c r="S758" s="97"/>
      <c r="T758" s="97"/>
    </row>
    <row r="759" spans="1:20" ht="12.75">
      <c r="A759" s="461"/>
      <c r="B759" s="32">
        <v>7</v>
      </c>
      <c r="C759" s="16"/>
      <c r="D759" s="32"/>
      <c r="E759" s="32"/>
      <c r="F759" s="578"/>
      <c r="G759" s="578"/>
      <c r="H759" s="578"/>
      <c r="I759" s="578"/>
      <c r="J759" s="265"/>
      <c r="K759" s="578"/>
      <c r="L759" s="265"/>
      <c r="M759" s="158"/>
      <c r="N759" s="157"/>
      <c r="O759" s="157"/>
      <c r="P759" s="157"/>
      <c r="Q759" s="159"/>
      <c r="S759" s="97"/>
      <c r="T759" s="97"/>
    </row>
    <row r="760" spans="1:20" ht="12.75">
      <c r="A760" s="461"/>
      <c r="B760" s="32">
        <v>8</v>
      </c>
      <c r="C760" s="16"/>
      <c r="D760" s="32"/>
      <c r="E760" s="32"/>
      <c r="F760" s="578"/>
      <c r="G760" s="578"/>
      <c r="H760" s="578"/>
      <c r="I760" s="578"/>
      <c r="J760" s="265"/>
      <c r="K760" s="578"/>
      <c r="L760" s="265"/>
      <c r="M760" s="158"/>
      <c r="N760" s="157"/>
      <c r="O760" s="157"/>
      <c r="P760" s="157"/>
      <c r="Q760" s="159"/>
      <c r="S760" s="97"/>
      <c r="T760" s="97"/>
    </row>
    <row r="761" spans="1:20" ht="12.75">
      <c r="A761" s="461"/>
      <c r="B761" s="32">
        <v>9</v>
      </c>
      <c r="C761" s="16"/>
      <c r="D761" s="32"/>
      <c r="E761" s="32"/>
      <c r="F761" s="578"/>
      <c r="G761" s="578"/>
      <c r="H761" s="578"/>
      <c r="I761" s="578"/>
      <c r="J761" s="265"/>
      <c r="K761" s="578"/>
      <c r="L761" s="265"/>
      <c r="M761" s="158"/>
      <c r="N761" s="157"/>
      <c r="O761" s="157"/>
      <c r="P761" s="157"/>
      <c r="Q761" s="159"/>
      <c r="S761" s="97"/>
      <c r="T761" s="97"/>
    </row>
    <row r="762" spans="1:20" ht="13.5" thickBot="1">
      <c r="A762" s="461"/>
      <c r="B762" s="104" t="s">
        <v>44</v>
      </c>
      <c r="C762" s="71"/>
      <c r="D762" s="70"/>
      <c r="E762" s="70"/>
      <c r="F762" s="328"/>
      <c r="G762" s="328"/>
      <c r="H762" s="328"/>
      <c r="I762" s="328"/>
      <c r="J762" s="817"/>
      <c r="K762" s="328"/>
      <c r="L762" s="817"/>
      <c r="M762" s="161"/>
      <c r="N762" s="160"/>
      <c r="O762" s="160"/>
      <c r="P762" s="160"/>
      <c r="Q762" s="162"/>
      <c r="S762" s="97"/>
      <c r="T762" s="97"/>
    </row>
    <row r="763" spans="1:20" ht="12.75">
      <c r="A763" s="462" t="s">
        <v>29</v>
      </c>
      <c r="B763" s="34">
        <v>1</v>
      </c>
      <c r="C763" s="99" t="s">
        <v>710</v>
      </c>
      <c r="D763" s="73">
        <v>75</v>
      </c>
      <c r="E763" s="73">
        <v>1973</v>
      </c>
      <c r="F763" s="622">
        <v>37.308</v>
      </c>
      <c r="G763" s="622">
        <v>6.743</v>
      </c>
      <c r="H763" s="622">
        <v>12</v>
      </c>
      <c r="I763" s="622">
        <v>18.56</v>
      </c>
      <c r="J763" s="138">
        <v>4007.78</v>
      </c>
      <c r="K763" s="622">
        <v>18.56</v>
      </c>
      <c r="L763" s="138">
        <v>4007.78</v>
      </c>
      <c r="M763" s="184">
        <f>K763/L763</f>
        <v>0.004630992719161231</v>
      </c>
      <c r="N763" s="185">
        <v>210.7</v>
      </c>
      <c r="O763" s="185">
        <f>M763*N763</f>
        <v>0.9757501659272714</v>
      </c>
      <c r="P763" s="185">
        <f>M763*60*1000</f>
        <v>277.8595631496739</v>
      </c>
      <c r="Q763" s="259">
        <f>P763*N763/1000</f>
        <v>58.54500995563628</v>
      </c>
      <c r="S763" s="97"/>
      <c r="T763" s="97"/>
    </row>
    <row r="764" spans="1:20" ht="12.75">
      <c r="A764" s="463"/>
      <c r="B764" s="36">
        <v>2</v>
      </c>
      <c r="C764" s="35" t="s">
        <v>711</v>
      </c>
      <c r="D764" s="36">
        <v>45</v>
      </c>
      <c r="E764" s="36">
        <v>1990</v>
      </c>
      <c r="F764" s="609">
        <v>22.379</v>
      </c>
      <c r="G764" s="609">
        <v>4.238</v>
      </c>
      <c r="H764" s="609">
        <v>7.2</v>
      </c>
      <c r="I764" s="609">
        <v>10.94</v>
      </c>
      <c r="J764" s="135">
        <v>2316.6</v>
      </c>
      <c r="K764" s="609">
        <v>10.94</v>
      </c>
      <c r="L764" s="135">
        <v>2316.6</v>
      </c>
      <c r="M764" s="164">
        <f>K764/L764</f>
        <v>0.004722438055771389</v>
      </c>
      <c r="N764" s="163">
        <v>210.7</v>
      </c>
      <c r="O764" s="163">
        <f>M764*N764</f>
        <v>0.9950176983510316</v>
      </c>
      <c r="P764" s="163">
        <f>M764*60*1000</f>
        <v>283.34628334628337</v>
      </c>
      <c r="Q764" s="251">
        <f>P764*N764/1000</f>
        <v>59.701061901061905</v>
      </c>
      <c r="S764" s="97"/>
      <c r="T764" s="97"/>
    </row>
    <row r="765" spans="1:20" ht="12.75">
      <c r="A765" s="463"/>
      <c r="B765" s="36">
        <v>3</v>
      </c>
      <c r="C765" s="35" t="s">
        <v>712</v>
      </c>
      <c r="D765" s="36">
        <v>40</v>
      </c>
      <c r="E765" s="36">
        <v>1989</v>
      </c>
      <c r="F765" s="609">
        <v>20.92</v>
      </c>
      <c r="G765" s="609">
        <v>4.048</v>
      </c>
      <c r="H765" s="609">
        <v>6.4</v>
      </c>
      <c r="I765" s="609">
        <v>10.47</v>
      </c>
      <c r="J765" s="135">
        <v>2207.95</v>
      </c>
      <c r="K765" s="609">
        <v>10.47</v>
      </c>
      <c r="L765" s="135">
        <v>2207.95</v>
      </c>
      <c r="M765" s="164">
        <f>K765/L765</f>
        <v>0.004741955207319007</v>
      </c>
      <c r="N765" s="163">
        <v>210.7</v>
      </c>
      <c r="O765" s="163">
        <f>M765*N765</f>
        <v>0.9991299621821148</v>
      </c>
      <c r="P765" s="163">
        <f>M765*60*1000</f>
        <v>284.5173124391405</v>
      </c>
      <c r="Q765" s="251">
        <f>P765*N765/1000</f>
        <v>59.947797730926894</v>
      </c>
      <c r="S765" s="97"/>
      <c r="T765" s="97"/>
    </row>
    <row r="766" spans="1:20" ht="12.75">
      <c r="A766" s="463"/>
      <c r="B766" s="36">
        <v>4</v>
      </c>
      <c r="C766" s="35" t="s">
        <v>713</v>
      </c>
      <c r="D766" s="36">
        <v>40</v>
      </c>
      <c r="E766" s="36">
        <v>1986</v>
      </c>
      <c r="F766" s="609">
        <v>20.849</v>
      </c>
      <c r="G766" s="609">
        <v>3.964</v>
      </c>
      <c r="H766" s="609">
        <v>5.82</v>
      </c>
      <c r="I766" s="609">
        <v>10.964</v>
      </c>
      <c r="J766" s="135">
        <v>2297.1</v>
      </c>
      <c r="K766" s="609">
        <v>10.964</v>
      </c>
      <c r="L766" s="135">
        <v>2297.1</v>
      </c>
      <c r="M766" s="164">
        <f>K766/L766</f>
        <v>0.004772974620173263</v>
      </c>
      <c r="N766" s="163">
        <v>210.7</v>
      </c>
      <c r="O766" s="163">
        <f>M766*N766</f>
        <v>1.0056657524705064</v>
      </c>
      <c r="P766" s="163">
        <f>M766*60*1000</f>
        <v>286.3784772103958</v>
      </c>
      <c r="Q766" s="251">
        <f>P766*N766/1000</f>
        <v>60.339945148230385</v>
      </c>
      <c r="S766" s="97"/>
      <c r="T766" s="97"/>
    </row>
    <row r="767" spans="1:20" ht="12.75">
      <c r="A767" s="463"/>
      <c r="B767" s="36">
        <v>5</v>
      </c>
      <c r="C767" s="35"/>
      <c r="D767" s="168"/>
      <c r="E767" s="168"/>
      <c r="F767" s="876"/>
      <c r="G767" s="876"/>
      <c r="H767" s="609"/>
      <c r="I767" s="609"/>
      <c r="J767" s="135"/>
      <c r="K767" s="609"/>
      <c r="L767" s="135"/>
      <c r="M767" s="164"/>
      <c r="N767" s="163"/>
      <c r="O767" s="163"/>
      <c r="P767" s="163"/>
      <c r="Q767" s="251"/>
      <c r="S767" s="97"/>
      <c r="T767" s="97"/>
    </row>
    <row r="768" spans="1:20" ht="12.75">
      <c r="A768" s="463"/>
      <c r="B768" s="36">
        <v>6</v>
      </c>
      <c r="C768" s="35"/>
      <c r="D768" s="36"/>
      <c r="E768" s="36"/>
      <c r="F768" s="609"/>
      <c r="G768" s="609"/>
      <c r="H768" s="609"/>
      <c r="I768" s="609"/>
      <c r="J768" s="135"/>
      <c r="K768" s="609"/>
      <c r="L768" s="135"/>
      <c r="M768" s="164"/>
      <c r="N768" s="164"/>
      <c r="O768" s="163"/>
      <c r="P768" s="163"/>
      <c r="Q768" s="251"/>
      <c r="S768" s="97"/>
      <c r="T768" s="97"/>
    </row>
    <row r="769" spans="1:20" ht="12.75">
      <c r="A769" s="463"/>
      <c r="B769" s="36">
        <v>7</v>
      </c>
      <c r="C769" s="35"/>
      <c r="D769" s="36"/>
      <c r="E769" s="36"/>
      <c r="F769" s="609"/>
      <c r="G769" s="609"/>
      <c r="H769" s="609"/>
      <c r="I769" s="609"/>
      <c r="J769" s="135"/>
      <c r="K769" s="609"/>
      <c r="L769" s="135"/>
      <c r="M769" s="164"/>
      <c r="N769" s="163"/>
      <c r="O769" s="163"/>
      <c r="P769" s="163"/>
      <c r="Q769" s="251"/>
      <c r="S769" s="97"/>
      <c r="T769" s="97"/>
    </row>
    <row r="770" spans="1:20" ht="12.75">
      <c r="A770" s="463"/>
      <c r="B770" s="36">
        <v>8</v>
      </c>
      <c r="C770" s="35"/>
      <c r="D770" s="36"/>
      <c r="E770" s="36"/>
      <c r="F770" s="609"/>
      <c r="G770" s="609"/>
      <c r="H770" s="609"/>
      <c r="I770" s="609"/>
      <c r="J770" s="135"/>
      <c r="K770" s="609"/>
      <c r="L770" s="135"/>
      <c r="M770" s="164"/>
      <c r="N770" s="163"/>
      <c r="O770" s="163"/>
      <c r="P770" s="163"/>
      <c r="Q770" s="251"/>
      <c r="S770" s="97"/>
      <c r="T770" s="97"/>
    </row>
    <row r="771" spans="1:20" ht="12.75">
      <c r="A771" s="463"/>
      <c r="B771" s="36">
        <v>9</v>
      </c>
      <c r="C771" s="35"/>
      <c r="D771" s="36"/>
      <c r="E771" s="36"/>
      <c r="F771" s="609"/>
      <c r="G771" s="609"/>
      <c r="H771" s="609"/>
      <c r="I771" s="609"/>
      <c r="J771" s="135"/>
      <c r="K771" s="609"/>
      <c r="L771" s="135"/>
      <c r="M771" s="164"/>
      <c r="N771" s="163"/>
      <c r="O771" s="163"/>
      <c r="P771" s="163"/>
      <c r="Q771" s="251"/>
      <c r="S771" s="97"/>
      <c r="T771" s="97"/>
    </row>
    <row r="772" spans="1:20" ht="13.5" customHeight="1" thickBot="1">
      <c r="A772" s="464"/>
      <c r="B772" s="39" t="s">
        <v>40</v>
      </c>
      <c r="C772" s="91"/>
      <c r="D772" s="39"/>
      <c r="E772" s="39"/>
      <c r="F772" s="613"/>
      <c r="G772" s="613"/>
      <c r="H772" s="613"/>
      <c r="I772" s="613"/>
      <c r="J772" s="276"/>
      <c r="K772" s="613"/>
      <c r="L772" s="276"/>
      <c r="M772" s="332"/>
      <c r="N772" s="260"/>
      <c r="O772" s="260"/>
      <c r="P772" s="260"/>
      <c r="Q772" s="261"/>
      <c r="S772" s="97"/>
      <c r="T772" s="97"/>
    </row>
    <row r="773" spans="1:20" ht="12.75">
      <c r="A773" s="701" t="s">
        <v>30</v>
      </c>
      <c r="B773" s="366">
        <v>1</v>
      </c>
      <c r="C773" s="698" t="s">
        <v>714</v>
      </c>
      <c r="D773" s="653">
        <v>45</v>
      </c>
      <c r="E773" s="653">
        <v>1970</v>
      </c>
      <c r="F773" s="850">
        <v>20.741</v>
      </c>
      <c r="G773" s="850">
        <v>2.663</v>
      </c>
      <c r="H773" s="850">
        <v>7.2</v>
      </c>
      <c r="I773" s="850">
        <v>10.878</v>
      </c>
      <c r="J773" s="918">
        <v>1913.38</v>
      </c>
      <c r="K773" s="850">
        <v>10.878</v>
      </c>
      <c r="L773" s="918">
        <v>1913.38</v>
      </c>
      <c r="M773" s="675">
        <f>K773/L773</f>
        <v>0.005685227189580742</v>
      </c>
      <c r="N773" s="674">
        <v>210.7</v>
      </c>
      <c r="O773" s="674">
        <f>M773*N773</f>
        <v>1.1978773688446622</v>
      </c>
      <c r="P773" s="674">
        <f>M773*60*1000</f>
        <v>341.11363137484454</v>
      </c>
      <c r="Q773" s="676">
        <f>P773*N773/1000</f>
        <v>71.87264213067974</v>
      </c>
      <c r="S773" s="97"/>
      <c r="T773" s="97"/>
    </row>
    <row r="774" spans="1:20" ht="12.75">
      <c r="A774" s="631"/>
      <c r="B774" s="367">
        <v>2</v>
      </c>
      <c r="C774" s="633" t="s">
        <v>715</v>
      </c>
      <c r="D774" s="367">
        <v>32</v>
      </c>
      <c r="E774" s="367">
        <v>1961</v>
      </c>
      <c r="F774" s="677">
        <v>13.695</v>
      </c>
      <c r="G774" s="677">
        <v>1.848</v>
      </c>
      <c r="H774" s="677">
        <v>4.986</v>
      </c>
      <c r="I774" s="677">
        <v>6.86</v>
      </c>
      <c r="J774" s="652">
        <v>1204.31</v>
      </c>
      <c r="K774" s="677">
        <v>6.86</v>
      </c>
      <c r="L774" s="652">
        <v>1204.31</v>
      </c>
      <c r="M774" s="679">
        <f>K774/L774</f>
        <v>0.005696207787031579</v>
      </c>
      <c r="N774" s="678">
        <v>210.7</v>
      </c>
      <c r="O774" s="678">
        <f>M774*N774</f>
        <v>1.2001909807275535</v>
      </c>
      <c r="P774" s="678">
        <f>M774*60*1000</f>
        <v>341.7724672218948</v>
      </c>
      <c r="Q774" s="680">
        <f>P774*N774/1000</f>
        <v>72.01145884365322</v>
      </c>
      <c r="S774" s="97"/>
      <c r="T774" s="97"/>
    </row>
    <row r="775" spans="1:20" ht="12.75">
      <c r="A775" s="631"/>
      <c r="B775" s="367">
        <v>3</v>
      </c>
      <c r="C775" s="633" t="s">
        <v>716</v>
      </c>
      <c r="D775" s="367">
        <v>40</v>
      </c>
      <c r="E775" s="367">
        <v>1994</v>
      </c>
      <c r="F775" s="677">
        <v>24.179</v>
      </c>
      <c r="G775" s="677">
        <v>5.092</v>
      </c>
      <c r="H775" s="677">
        <v>6.4</v>
      </c>
      <c r="I775" s="677">
        <v>12.687</v>
      </c>
      <c r="J775" s="652">
        <v>2220.04</v>
      </c>
      <c r="K775" s="677">
        <v>12.687</v>
      </c>
      <c r="L775" s="652">
        <v>2220.04</v>
      </c>
      <c r="M775" s="679">
        <f>K775/L775</f>
        <v>0.005714761896182051</v>
      </c>
      <c r="N775" s="678">
        <v>210.7</v>
      </c>
      <c r="O775" s="678">
        <f>M775*N775</f>
        <v>1.204100331525558</v>
      </c>
      <c r="P775" s="678">
        <f>M775*60*1000</f>
        <v>342.885713770923</v>
      </c>
      <c r="Q775" s="680">
        <f>P775*N775/1000</f>
        <v>72.24601989153348</v>
      </c>
      <c r="S775" s="97"/>
      <c r="T775" s="97"/>
    </row>
    <row r="776" spans="1:20" ht="12.75">
      <c r="A776" s="631"/>
      <c r="B776" s="367">
        <v>4</v>
      </c>
      <c r="C776" s="633" t="s">
        <v>717</v>
      </c>
      <c r="D776" s="367">
        <v>32</v>
      </c>
      <c r="E776" s="367">
        <v>1962</v>
      </c>
      <c r="F776" s="677">
        <v>14.391</v>
      </c>
      <c r="G776" s="677">
        <v>2.364</v>
      </c>
      <c r="H776" s="677">
        <v>5.053</v>
      </c>
      <c r="I776" s="677">
        <v>6.974</v>
      </c>
      <c r="J776" s="652">
        <v>1208.71</v>
      </c>
      <c r="K776" s="677">
        <v>6.974</v>
      </c>
      <c r="L776" s="652">
        <v>1208.71</v>
      </c>
      <c r="M776" s="679">
        <f>K776/L776</f>
        <v>0.005769787624823159</v>
      </c>
      <c r="N776" s="678">
        <v>210.7</v>
      </c>
      <c r="O776" s="678">
        <f>M776*N776</f>
        <v>1.2156942525502394</v>
      </c>
      <c r="P776" s="678">
        <f>M776*60*1000</f>
        <v>346.1872574893895</v>
      </c>
      <c r="Q776" s="680">
        <f>P776*N776/1000</f>
        <v>72.94165515301437</v>
      </c>
      <c r="S776" s="97"/>
      <c r="T776" s="97"/>
    </row>
    <row r="777" spans="1:20" ht="12.75">
      <c r="A777" s="631"/>
      <c r="B777" s="367">
        <v>5</v>
      </c>
      <c r="C777" s="783"/>
      <c r="D777" s="367"/>
      <c r="E777" s="367"/>
      <c r="F777" s="677"/>
      <c r="G777" s="677"/>
      <c r="H777" s="677"/>
      <c r="I777" s="677"/>
      <c r="J777" s="652"/>
      <c r="K777" s="677"/>
      <c r="L777" s="652"/>
      <c r="M777" s="679"/>
      <c r="N777" s="678"/>
      <c r="O777" s="678"/>
      <c r="P777" s="678"/>
      <c r="Q777" s="680"/>
      <c r="S777" s="97"/>
      <c r="T777" s="97"/>
    </row>
    <row r="778" spans="1:20" ht="12.75">
      <c r="A778" s="631"/>
      <c r="B778" s="367">
        <v>6</v>
      </c>
      <c r="C778" s="633"/>
      <c r="D778" s="367"/>
      <c r="E778" s="367"/>
      <c r="F778" s="677"/>
      <c r="G778" s="677"/>
      <c r="H778" s="677"/>
      <c r="I778" s="677"/>
      <c r="J778" s="652"/>
      <c r="K778" s="677"/>
      <c r="L778" s="652"/>
      <c r="M778" s="679"/>
      <c r="N778" s="678"/>
      <c r="O778" s="678"/>
      <c r="P778" s="678"/>
      <c r="Q778" s="680"/>
      <c r="S778" s="97"/>
      <c r="T778" s="97"/>
    </row>
    <row r="779" spans="1:20" ht="12.75">
      <c r="A779" s="631"/>
      <c r="B779" s="367">
        <v>7</v>
      </c>
      <c r="C779" s="783"/>
      <c r="D779" s="367"/>
      <c r="E779" s="367"/>
      <c r="F779" s="677"/>
      <c r="G779" s="677"/>
      <c r="H779" s="677"/>
      <c r="I779" s="677"/>
      <c r="J779" s="652"/>
      <c r="K779" s="677"/>
      <c r="L779" s="652"/>
      <c r="M779" s="679"/>
      <c r="N779" s="678"/>
      <c r="O779" s="678"/>
      <c r="P779" s="678"/>
      <c r="Q779" s="680"/>
      <c r="S779" s="97"/>
      <c r="T779" s="97"/>
    </row>
    <row r="780" spans="1:20" ht="12.75">
      <c r="A780" s="631"/>
      <c r="B780" s="367">
        <v>8</v>
      </c>
      <c r="C780" s="783"/>
      <c r="D780" s="367"/>
      <c r="E780" s="367"/>
      <c r="F780" s="677"/>
      <c r="G780" s="677"/>
      <c r="H780" s="677"/>
      <c r="I780" s="677"/>
      <c r="J780" s="652"/>
      <c r="K780" s="677"/>
      <c r="L780" s="652"/>
      <c r="M780" s="679"/>
      <c r="N780" s="678"/>
      <c r="O780" s="678"/>
      <c r="P780" s="678"/>
      <c r="Q780" s="680"/>
      <c r="S780" s="97"/>
      <c r="T780" s="97"/>
    </row>
    <row r="781" spans="1:20" ht="12.75">
      <c r="A781" s="631"/>
      <c r="B781" s="367">
        <v>9</v>
      </c>
      <c r="C781" s="783"/>
      <c r="D781" s="367"/>
      <c r="E781" s="367"/>
      <c r="F781" s="677"/>
      <c r="G781" s="677"/>
      <c r="H781" s="677"/>
      <c r="I781" s="677"/>
      <c r="J781" s="652"/>
      <c r="K781" s="677"/>
      <c r="L781" s="652"/>
      <c r="M781" s="679"/>
      <c r="N781" s="678"/>
      <c r="O781" s="678"/>
      <c r="P781" s="678"/>
      <c r="Q781" s="680"/>
      <c r="S781" s="97"/>
      <c r="T781" s="97"/>
    </row>
    <row r="782" spans="1:20" ht="13.5" thickBot="1">
      <c r="A782" s="638"/>
      <c r="B782" s="535" t="s">
        <v>40</v>
      </c>
      <c r="C782" s="851"/>
      <c r="D782" s="535"/>
      <c r="E782" s="535"/>
      <c r="F782" s="681"/>
      <c r="G782" s="681"/>
      <c r="H782" s="681"/>
      <c r="I782" s="681"/>
      <c r="J782" s="658"/>
      <c r="K782" s="681"/>
      <c r="L782" s="658"/>
      <c r="M782" s="684"/>
      <c r="N782" s="683"/>
      <c r="O782" s="683"/>
      <c r="P782" s="683"/>
      <c r="Q782" s="685"/>
      <c r="S782" s="97"/>
      <c r="T782" s="97"/>
    </row>
    <row r="783" spans="1:20" ht="12.75">
      <c r="A783" s="465" t="s">
        <v>12</v>
      </c>
      <c r="B783" s="40">
        <v>1</v>
      </c>
      <c r="C783" s="725" t="s">
        <v>718</v>
      </c>
      <c r="D783" s="88">
        <v>20</v>
      </c>
      <c r="E783" s="88">
        <v>1970</v>
      </c>
      <c r="F783" s="726">
        <v>13.161</v>
      </c>
      <c r="G783" s="726">
        <v>1.304</v>
      </c>
      <c r="H783" s="726">
        <v>3.2</v>
      </c>
      <c r="I783" s="726">
        <v>8.656</v>
      </c>
      <c r="J783" s="922">
        <v>964.02</v>
      </c>
      <c r="K783" s="726">
        <v>8.656</v>
      </c>
      <c r="L783" s="922">
        <v>964.02</v>
      </c>
      <c r="M783" s="714">
        <f>K783/L783</f>
        <v>0.008979066824339745</v>
      </c>
      <c r="N783" s="715">
        <v>210.7</v>
      </c>
      <c r="O783" s="715">
        <f>M783*N783</f>
        <v>1.8918893798883842</v>
      </c>
      <c r="P783" s="715">
        <f>M783*60*1000</f>
        <v>538.7440094603847</v>
      </c>
      <c r="Q783" s="716">
        <f>P783*N783/1000</f>
        <v>113.51336279330306</v>
      </c>
      <c r="S783" s="97"/>
      <c r="T783" s="97"/>
    </row>
    <row r="784" spans="1:20" ht="12.75">
      <c r="A784" s="466"/>
      <c r="B784" s="42">
        <v>2</v>
      </c>
      <c r="C784" s="52" t="s">
        <v>719</v>
      </c>
      <c r="D784" s="42">
        <v>12</v>
      </c>
      <c r="E784" s="42">
        <v>1995</v>
      </c>
      <c r="F784" s="727">
        <v>12.572</v>
      </c>
      <c r="G784" s="727">
        <v>1.956</v>
      </c>
      <c r="H784" s="727">
        <v>1.853</v>
      </c>
      <c r="I784" s="727">
        <v>8.762</v>
      </c>
      <c r="J784" s="751">
        <v>972.66</v>
      </c>
      <c r="K784" s="727">
        <v>8.762</v>
      </c>
      <c r="L784" s="751">
        <v>972.66</v>
      </c>
      <c r="M784" s="721">
        <f>K784/L784</f>
        <v>0.009008286554397222</v>
      </c>
      <c r="N784" s="722">
        <v>210.7</v>
      </c>
      <c r="O784" s="722">
        <f>M784*N784</f>
        <v>1.8980459770114946</v>
      </c>
      <c r="P784" s="722">
        <f>M784*60*1000</f>
        <v>540.4971932638333</v>
      </c>
      <c r="Q784" s="723">
        <f>P784*N784/1000</f>
        <v>113.88275862068967</v>
      </c>
      <c r="S784" s="97"/>
      <c r="T784" s="97"/>
    </row>
    <row r="785" spans="1:20" ht="12.75">
      <c r="A785" s="466"/>
      <c r="B785" s="42">
        <v>3</v>
      </c>
      <c r="C785" s="52" t="s">
        <v>201</v>
      </c>
      <c r="D785" s="42">
        <v>14</v>
      </c>
      <c r="E785" s="42">
        <v>1969</v>
      </c>
      <c r="F785" s="727">
        <v>9.686</v>
      </c>
      <c r="G785" s="727">
        <v>0.988</v>
      </c>
      <c r="H785" s="727">
        <v>1.573</v>
      </c>
      <c r="I785" s="727">
        <v>7.12</v>
      </c>
      <c r="J785" s="751">
        <v>715.98</v>
      </c>
      <c r="K785" s="727">
        <v>7.12</v>
      </c>
      <c r="L785" s="751">
        <v>715.98</v>
      </c>
      <c r="M785" s="721">
        <f>K785/L785</f>
        <v>0.00994441185507975</v>
      </c>
      <c r="N785" s="722">
        <v>210.7</v>
      </c>
      <c r="O785" s="722">
        <f>M785*N785</f>
        <v>2.095287577865303</v>
      </c>
      <c r="P785" s="722">
        <f>M785*60*1000</f>
        <v>596.6647113047851</v>
      </c>
      <c r="Q785" s="723">
        <f>P785*N785/1000</f>
        <v>125.71725467191821</v>
      </c>
      <c r="S785" s="97"/>
      <c r="T785" s="97"/>
    </row>
    <row r="786" spans="1:20" ht="12.75">
      <c r="A786" s="466"/>
      <c r="B786" s="42">
        <v>4</v>
      </c>
      <c r="C786" s="52" t="s">
        <v>306</v>
      </c>
      <c r="D786" s="42">
        <v>8</v>
      </c>
      <c r="E786" s="42">
        <v>1960</v>
      </c>
      <c r="F786" s="727">
        <v>5.619</v>
      </c>
      <c r="G786" s="727">
        <v>0.934</v>
      </c>
      <c r="H786" s="727">
        <v>1.28</v>
      </c>
      <c r="I786" s="727">
        <v>3.9</v>
      </c>
      <c r="J786" s="751">
        <v>365.71</v>
      </c>
      <c r="K786" s="727">
        <v>3.9</v>
      </c>
      <c r="L786" s="751">
        <v>365.71</v>
      </c>
      <c r="M786" s="721">
        <f>K786/L786</f>
        <v>0.010664187470946926</v>
      </c>
      <c r="N786" s="722">
        <v>210.7</v>
      </c>
      <c r="O786" s="722">
        <f>M786*N786</f>
        <v>2.246944300128517</v>
      </c>
      <c r="P786" s="722">
        <f>M786*60*1000</f>
        <v>639.8512482568156</v>
      </c>
      <c r="Q786" s="723">
        <f>P786*N786/1000</f>
        <v>134.81665800771103</v>
      </c>
      <c r="S786" s="97"/>
      <c r="T786" s="97"/>
    </row>
    <row r="787" spans="1:20" ht="12.75">
      <c r="A787" s="466"/>
      <c r="B787" s="42">
        <v>5</v>
      </c>
      <c r="C787" s="124"/>
      <c r="D787" s="175"/>
      <c r="E787" s="175"/>
      <c r="F787" s="933"/>
      <c r="G787" s="934"/>
      <c r="H787" s="934"/>
      <c r="I787" s="934"/>
      <c r="J787" s="44"/>
      <c r="K787" s="934"/>
      <c r="L787" s="44"/>
      <c r="M787" s="75"/>
      <c r="N787" s="43"/>
      <c r="O787" s="43"/>
      <c r="P787" s="76"/>
      <c r="Q787" s="46"/>
      <c r="S787" s="97"/>
      <c r="T787" s="97"/>
    </row>
    <row r="788" spans="1:20" ht="12.75">
      <c r="A788" s="466"/>
      <c r="B788" s="42">
        <v>6</v>
      </c>
      <c r="C788" s="124"/>
      <c r="D788" s="42"/>
      <c r="E788" s="42"/>
      <c r="F788" s="60"/>
      <c r="G788" s="60"/>
      <c r="H788" s="60"/>
      <c r="I788" s="60"/>
      <c r="J788" s="60"/>
      <c r="K788" s="43"/>
      <c r="L788" s="60"/>
      <c r="M788" s="77"/>
      <c r="N788" s="60"/>
      <c r="O788" s="78"/>
      <c r="P788" s="79"/>
      <c r="Q788" s="80"/>
      <c r="S788" s="97"/>
      <c r="T788" s="97"/>
    </row>
    <row r="789" spans="1:20" ht="12.75">
      <c r="A789" s="466"/>
      <c r="B789" s="42">
        <v>7</v>
      </c>
      <c r="C789" s="124"/>
      <c r="D789" s="42"/>
      <c r="E789" s="42"/>
      <c r="F789" s="60"/>
      <c r="G789" s="60"/>
      <c r="H789" s="60"/>
      <c r="I789" s="60"/>
      <c r="J789" s="60"/>
      <c r="K789" s="43"/>
      <c r="L789" s="60"/>
      <c r="M789" s="77"/>
      <c r="N789" s="60"/>
      <c r="O789" s="78"/>
      <c r="P789" s="79"/>
      <c r="Q789" s="80"/>
      <c r="S789" s="97"/>
      <c r="T789" s="97"/>
    </row>
    <row r="790" spans="1:20" ht="12.75">
      <c r="A790" s="466"/>
      <c r="B790" s="42">
        <v>8</v>
      </c>
      <c r="C790" s="124"/>
      <c r="D790" s="42"/>
      <c r="E790" s="42"/>
      <c r="F790" s="60"/>
      <c r="G790" s="60"/>
      <c r="H790" s="60"/>
      <c r="I790" s="60"/>
      <c r="J790" s="60"/>
      <c r="K790" s="43"/>
      <c r="L790" s="60"/>
      <c r="M790" s="77"/>
      <c r="N790" s="60"/>
      <c r="O790" s="78"/>
      <c r="P790" s="79"/>
      <c r="Q790" s="80"/>
      <c r="S790" s="97"/>
      <c r="T790" s="97"/>
    </row>
    <row r="791" spans="1:20" ht="12.75">
      <c r="A791" s="466"/>
      <c r="B791" s="42">
        <v>9</v>
      </c>
      <c r="C791" s="124"/>
      <c r="D791" s="42"/>
      <c r="E791" s="42"/>
      <c r="F791" s="60"/>
      <c r="G791" s="60"/>
      <c r="H791" s="60"/>
      <c r="I791" s="60"/>
      <c r="J791" s="60"/>
      <c r="K791" s="43"/>
      <c r="L791" s="60"/>
      <c r="M791" s="77"/>
      <c r="N791" s="60"/>
      <c r="O791" s="78"/>
      <c r="P791" s="81"/>
      <c r="Q791" s="82"/>
      <c r="S791" s="97"/>
      <c r="T791" s="97"/>
    </row>
    <row r="792" spans="1:20" ht="13.5" thickBot="1">
      <c r="A792" s="467"/>
      <c r="B792" s="47" t="s">
        <v>40</v>
      </c>
      <c r="C792" s="125"/>
      <c r="D792" s="47"/>
      <c r="E792" s="47"/>
      <c r="F792" s="63"/>
      <c r="G792" s="63"/>
      <c r="H792" s="63"/>
      <c r="I792" s="63"/>
      <c r="J792" s="63"/>
      <c r="K792" s="48"/>
      <c r="L792" s="63"/>
      <c r="M792" s="83"/>
      <c r="N792" s="63"/>
      <c r="O792" s="84"/>
      <c r="P792" s="85"/>
      <c r="Q792" s="86"/>
      <c r="S792" s="97"/>
      <c r="T792" s="97"/>
    </row>
    <row r="793" spans="19:20" ht="12.75">
      <c r="S793" s="97"/>
      <c r="T793" s="97"/>
    </row>
    <row r="794" spans="19:20" ht="12.75">
      <c r="S794" s="97"/>
      <c r="T794" s="97"/>
    </row>
    <row r="795" spans="19:20" ht="12.75">
      <c r="S795" s="97"/>
      <c r="T795" s="97"/>
    </row>
    <row r="796" spans="19:20" ht="12.75">
      <c r="S796" s="97"/>
      <c r="T796" s="97"/>
    </row>
    <row r="797" spans="19:20" ht="12.75">
      <c r="S797" s="97"/>
      <c r="T797" s="97"/>
    </row>
    <row r="798" spans="19:20" ht="12.75">
      <c r="S798" s="97"/>
      <c r="T798" s="97"/>
    </row>
    <row r="799" spans="19:20" ht="12.75">
      <c r="S799" s="97"/>
      <c r="T799" s="97"/>
    </row>
    <row r="800" spans="19:20" ht="12.75">
      <c r="S800" s="97"/>
      <c r="T800" s="97"/>
    </row>
    <row r="801" spans="19:20" ht="12.75">
      <c r="S801" s="97"/>
      <c r="T801" s="97"/>
    </row>
    <row r="802" spans="1:20" ht="14.25" customHeight="1">
      <c r="A802" s="419" t="s">
        <v>57</v>
      </c>
      <c r="B802" s="419"/>
      <c r="C802" s="419"/>
      <c r="D802" s="419"/>
      <c r="E802" s="419"/>
      <c r="F802" s="419"/>
      <c r="G802" s="419"/>
      <c r="H802" s="419"/>
      <c r="I802" s="419"/>
      <c r="J802" s="419"/>
      <c r="K802" s="419"/>
      <c r="L802" s="419"/>
      <c r="M802" s="419"/>
      <c r="N802" s="419"/>
      <c r="O802" s="419"/>
      <c r="P802" s="419"/>
      <c r="Q802" s="419"/>
      <c r="S802" s="97"/>
      <c r="T802" s="97"/>
    </row>
    <row r="803" spans="1:20" ht="13.5" thickBot="1">
      <c r="A803" s="503" t="s">
        <v>720</v>
      </c>
      <c r="B803" s="503"/>
      <c r="C803" s="503"/>
      <c r="D803" s="503"/>
      <c r="E803" s="503"/>
      <c r="F803" s="503"/>
      <c r="G803" s="503"/>
      <c r="H803" s="503"/>
      <c r="I803" s="503"/>
      <c r="J803" s="503"/>
      <c r="K803" s="503"/>
      <c r="L803" s="503"/>
      <c r="M803" s="503"/>
      <c r="N803" s="503"/>
      <c r="O803" s="503"/>
      <c r="P803" s="503"/>
      <c r="Q803" s="503"/>
      <c r="S803" s="97"/>
      <c r="T803" s="97"/>
    </row>
    <row r="804" spans="1:20" ht="12.75" customHeight="1">
      <c r="A804" s="395" t="s">
        <v>1</v>
      </c>
      <c r="B804" s="397" t="s">
        <v>0</v>
      </c>
      <c r="C804" s="384" t="s">
        <v>2</v>
      </c>
      <c r="D804" s="384" t="s">
        <v>3</v>
      </c>
      <c r="E804" s="384" t="s">
        <v>13</v>
      </c>
      <c r="F804" s="386" t="s">
        <v>14</v>
      </c>
      <c r="G804" s="387"/>
      <c r="H804" s="387"/>
      <c r="I804" s="388"/>
      <c r="J804" s="384" t="s">
        <v>4</v>
      </c>
      <c r="K804" s="384" t="s">
        <v>15</v>
      </c>
      <c r="L804" s="384" t="s">
        <v>5</v>
      </c>
      <c r="M804" s="384" t="s">
        <v>6</v>
      </c>
      <c r="N804" s="384" t="s">
        <v>16</v>
      </c>
      <c r="O804" s="384" t="s">
        <v>17</v>
      </c>
      <c r="P804" s="468" t="s">
        <v>25</v>
      </c>
      <c r="Q804" s="391" t="s">
        <v>26</v>
      </c>
      <c r="S804" s="97"/>
      <c r="T804" s="97"/>
    </row>
    <row r="805" spans="1:20" s="2" customFormat="1" ht="33.75">
      <c r="A805" s="396"/>
      <c r="B805" s="398"/>
      <c r="C805" s="399"/>
      <c r="D805" s="385"/>
      <c r="E805" s="385"/>
      <c r="F805" s="37" t="s">
        <v>18</v>
      </c>
      <c r="G805" s="37" t="s">
        <v>19</v>
      </c>
      <c r="H805" s="37" t="s">
        <v>20</v>
      </c>
      <c r="I805" s="37" t="s">
        <v>21</v>
      </c>
      <c r="J805" s="385"/>
      <c r="K805" s="385"/>
      <c r="L805" s="385"/>
      <c r="M805" s="385"/>
      <c r="N805" s="385"/>
      <c r="O805" s="385"/>
      <c r="P805" s="469"/>
      <c r="Q805" s="392"/>
      <c r="S805" s="97"/>
      <c r="T805" s="97"/>
    </row>
    <row r="806" spans="1:20" s="3" customFormat="1" ht="13.5" customHeight="1" thickBot="1">
      <c r="A806" s="396"/>
      <c r="B806" s="398"/>
      <c r="C806" s="416"/>
      <c r="D806" s="65" t="s">
        <v>7</v>
      </c>
      <c r="E806" s="65" t="s">
        <v>8</v>
      </c>
      <c r="F806" s="65" t="s">
        <v>9</v>
      </c>
      <c r="G806" s="65" t="s">
        <v>9</v>
      </c>
      <c r="H806" s="65" t="s">
        <v>9</v>
      </c>
      <c r="I806" s="65" t="s">
        <v>9</v>
      </c>
      <c r="J806" s="65" t="s">
        <v>22</v>
      </c>
      <c r="K806" s="65" t="s">
        <v>9</v>
      </c>
      <c r="L806" s="65" t="s">
        <v>22</v>
      </c>
      <c r="M806" s="65" t="s">
        <v>23</v>
      </c>
      <c r="N806" s="65" t="s">
        <v>10</v>
      </c>
      <c r="O806" s="65" t="s">
        <v>24</v>
      </c>
      <c r="P806" s="66" t="s">
        <v>27</v>
      </c>
      <c r="Q806" s="67" t="s">
        <v>28</v>
      </c>
      <c r="S806" s="97"/>
      <c r="T806" s="97"/>
    </row>
    <row r="807" spans="1:20" s="110" customFormat="1" ht="12.75" customHeight="1">
      <c r="A807" s="460" t="s">
        <v>11</v>
      </c>
      <c r="B807" s="113">
        <v>1</v>
      </c>
      <c r="C807" s="30" t="s">
        <v>725</v>
      </c>
      <c r="D807" s="31">
        <v>36</v>
      </c>
      <c r="E807" s="31" t="s">
        <v>73</v>
      </c>
      <c r="F807" s="1076">
        <f aca="true" t="shared" si="107" ref="F807:F813">G807+H807+I807</f>
        <v>9.2</v>
      </c>
      <c r="G807" s="1076">
        <v>3.3</v>
      </c>
      <c r="H807" s="1076">
        <v>5.9</v>
      </c>
      <c r="I807" s="1076">
        <v>0</v>
      </c>
      <c r="J807" s="913">
        <v>2305.31</v>
      </c>
      <c r="K807" s="1237">
        <v>0</v>
      </c>
      <c r="L807" s="913">
        <v>2232.72</v>
      </c>
      <c r="M807" s="1065">
        <f aca="true" t="shared" si="108" ref="M807:M842">K807/L807</f>
        <v>0</v>
      </c>
      <c r="N807" s="1066">
        <v>209.8</v>
      </c>
      <c r="O807" s="1067">
        <f aca="true" t="shared" si="109" ref="O807:O842">M807*N807</f>
        <v>0</v>
      </c>
      <c r="P807" s="1227">
        <f aca="true" t="shared" si="110" ref="P807:P842">M807*60*1000</f>
        <v>0</v>
      </c>
      <c r="Q807" s="280">
        <f aca="true" t="shared" si="111" ref="Q807:Q842">P807*N807/1000</f>
        <v>0</v>
      </c>
      <c r="S807" s="97"/>
      <c r="T807" s="97"/>
    </row>
    <row r="808" spans="1:20" s="110" customFormat="1" ht="12.75" customHeight="1">
      <c r="A808" s="461"/>
      <c r="B808" s="109">
        <v>2</v>
      </c>
      <c r="C808" s="16" t="s">
        <v>726</v>
      </c>
      <c r="D808" s="32">
        <v>55</v>
      </c>
      <c r="E808" s="32" t="s">
        <v>73</v>
      </c>
      <c r="F808" s="1028">
        <f t="shared" si="107"/>
        <v>13.200000000000001</v>
      </c>
      <c r="G808" s="1028">
        <v>4.4</v>
      </c>
      <c r="H808" s="1028">
        <v>8.8</v>
      </c>
      <c r="I808" s="1028">
        <v>0</v>
      </c>
      <c r="J808" s="265">
        <v>2979.08</v>
      </c>
      <c r="K808" s="1234">
        <v>0</v>
      </c>
      <c r="L808" s="265">
        <v>2979.1</v>
      </c>
      <c r="M808" s="212">
        <f t="shared" si="108"/>
        <v>0</v>
      </c>
      <c r="N808" s="213">
        <v>209.8</v>
      </c>
      <c r="O808" s="214">
        <f t="shared" si="109"/>
        <v>0</v>
      </c>
      <c r="P808" s="214">
        <f t="shared" si="110"/>
        <v>0</v>
      </c>
      <c r="Q808" s="215">
        <f t="shared" si="111"/>
        <v>0</v>
      </c>
      <c r="S808" s="97"/>
      <c r="T808" s="97"/>
    </row>
    <row r="809" spans="1:20" s="110" customFormat="1" ht="12.75">
      <c r="A809" s="461"/>
      <c r="B809" s="109">
        <v>3</v>
      </c>
      <c r="C809" s="16" t="s">
        <v>727</v>
      </c>
      <c r="D809" s="32">
        <v>45</v>
      </c>
      <c r="E809" s="32" t="s">
        <v>73</v>
      </c>
      <c r="F809" s="1028">
        <f>G809+H809+I809</f>
        <v>10.9</v>
      </c>
      <c r="G809" s="1028">
        <v>3.1</v>
      </c>
      <c r="H809" s="1028">
        <v>7.3</v>
      </c>
      <c r="I809" s="1028">
        <v>0.5</v>
      </c>
      <c r="J809" s="265">
        <v>2345.22</v>
      </c>
      <c r="K809" s="1234">
        <v>0.5</v>
      </c>
      <c r="L809" s="265">
        <v>2345.2</v>
      </c>
      <c r="M809" s="212">
        <f t="shared" si="108"/>
        <v>0.00021320143271362786</v>
      </c>
      <c r="N809" s="213">
        <v>209.8</v>
      </c>
      <c r="O809" s="214">
        <f t="shared" si="109"/>
        <v>0.04472966058331913</v>
      </c>
      <c r="P809" s="214">
        <f t="shared" si="110"/>
        <v>12.792085962817671</v>
      </c>
      <c r="Q809" s="215">
        <f t="shared" si="111"/>
        <v>2.683779634999148</v>
      </c>
      <c r="S809" s="97"/>
      <c r="T809" s="97"/>
    </row>
    <row r="810" spans="1:20" s="110" customFormat="1" ht="12.75">
      <c r="A810" s="461"/>
      <c r="B810" s="109">
        <v>4</v>
      </c>
      <c r="C810" s="16" t="s">
        <v>728</v>
      </c>
      <c r="D810" s="520">
        <v>40</v>
      </c>
      <c r="E810" s="520" t="s">
        <v>73</v>
      </c>
      <c r="F810" s="1234">
        <f>G810+H810+I810</f>
        <v>15.000000000000002</v>
      </c>
      <c r="G810" s="1234">
        <v>5.2</v>
      </c>
      <c r="H810" s="1234">
        <v>6.4</v>
      </c>
      <c r="I810" s="1234">
        <v>3.4</v>
      </c>
      <c r="J810" s="1182">
        <v>2287.45</v>
      </c>
      <c r="K810" s="1234">
        <v>3.4</v>
      </c>
      <c r="L810" s="1182">
        <v>2287.45</v>
      </c>
      <c r="M810" s="211">
        <f t="shared" si="108"/>
        <v>0.0014863712868040833</v>
      </c>
      <c r="N810" s="784">
        <v>209.8</v>
      </c>
      <c r="O810" s="1228">
        <f t="shared" si="109"/>
        <v>0.3118406959714967</v>
      </c>
      <c r="P810" s="214">
        <f t="shared" si="110"/>
        <v>89.182277208245</v>
      </c>
      <c r="Q810" s="1229">
        <f t="shared" si="111"/>
        <v>18.710441758289804</v>
      </c>
      <c r="S810" s="97"/>
      <c r="T810" s="97"/>
    </row>
    <row r="811" spans="1:20" s="110" customFormat="1" ht="12.75">
      <c r="A811" s="461"/>
      <c r="B811" s="109">
        <v>5</v>
      </c>
      <c r="C811" s="16" t="s">
        <v>729</v>
      </c>
      <c r="D811" s="32">
        <v>20</v>
      </c>
      <c r="E811" s="32" t="s">
        <v>73</v>
      </c>
      <c r="F811" s="1028">
        <f t="shared" si="107"/>
        <v>7.5</v>
      </c>
      <c r="G811" s="1028">
        <v>2.1</v>
      </c>
      <c r="H811" s="1028">
        <v>3.3</v>
      </c>
      <c r="I811" s="1028">
        <v>2.1</v>
      </c>
      <c r="J811" s="265">
        <v>1055.4</v>
      </c>
      <c r="K811" s="1234">
        <v>2.1</v>
      </c>
      <c r="L811" s="265">
        <v>1055.4</v>
      </c>
      <c r="M811" s="212">
        <f t="shared" si="108"/>
        <v>0.0019897669130187604</v>
      </c>
      <c r="N811" s="213">
        <v>209.8</v>
      </c>
      <c r="O811" s="214">
        <f t="shared" si="109"/>
        <v>0.417453098351336</v>
      </c>
      <c r="P811" s="214">
        <f t="shared" si="110"/>
        <v>119.38601478112562</v>
      </c>
      <c r="Q811" s="215">
        <f t="shared" si="111"/>
        <v>25.047185901080155</v>
      </c>
      <c r="S811" s="97"/>
      <c r="T811" s="97"/>
    </row>
    <row r="812" spans="1:20" s="110" customFormat="1" ht="12.75">
      <c r="A812" s="461"/>
      <c r="B812" s="109">
        <v>6</v>
      </c>
      <c r="C812" s="16" t="s">
        <v>730</v>
      </c>
      <c r="D812" s="32">
        <v>45</v>
      </c>
      <c r="E812" s="32" t="s">
        <v>73</v>
      </c>
      <c r="F812" s="1028">
        <f>SUM(G812:I812)</f>
        <v>16.2</v>
      </c>
      <c r="G812" s="1028">
        <v>4.1</v>
      </c>
      <c r="H812" s="1028">
        <v>7.3</v>
      </c>
      <c r="I812" s="1028">
        <v>4.8</v>
      </c>
      <c r="J812" s="265">
        <v>2285.72</v>
      </c>
      <c r="K812" s="1234">
        <v>4.8</v>
      </c>
      <c r="L812" s="265">
        <v>2285.7</v>
      </c>
      <c r="M812" s="212">
        <f t="shared" si="108"/>
        <v>0.002100013125082032</v>
      </c>
      <c r="N812" s="213">
        <v>209.8</v>
      </c>
      <c r="O812" s="214">
        <f t="shared" si="109"/>
        <v>0.44058275364221033</v>
      </c>
      <c r="P812" s="214">
        <f t="shared" si="110"/>
        <v>126.00078750492192</v>
      </c>
      <c r="Q812" s="215">
        <f t="shared" si="111"/>
        <v>26.434965218532618</v>
      </c>
      <c r="S812" s="97"/>
      <c r="T812" s="97"/>
    </row>
    <row r="813" spans="1:20" s="110" customFormat="1" ht="12.75">
      <c r="A813" s="461"/>
      <c r="B813" s="109">
        <v>7</v>
      </c>
      <c r="C813" s="16" t="s">
        <v>731</v>
      </c>
      <c r="D813" s="32">
        <v>60</v>
      </c>
      <c r="E813" s="32" t="s">
        <v>73</v>
      </c>
      <c r="F813" s="1234">
        <f t="shared" si="107"/>
        <v>16.6</v>
      </c>
      <c r="G813" s="1234">
        <v>6.4</v>
      </c>
      <c r="H813" s="1234">
        <v>0.6</v>
      </c>
      <c r="I813" s="1234">
        <v>9.6</v>
      </c>
      <c r="J813" s="1182">
        <v>3373.53</v>
      </c>
      <c r="K813" s="1234">
        <v>9.6</v>
      </c>
      <c r="L813" s="1182">
        <v>3373.5</v>
      </c>
      <c r="M813" s="211">
        <f t="shared" si="108"/>
        <v>0.0028457092040907067</v>
      </c>
      <c r="N813" s="213">
        <v>209.8</v>
      </c>
      <c r="O813" s="214">
        <f t="shared" si="109"/>
        <v>0.5970297910182303</v>
      </c>
      <c r="P813" s="214">
        <f t="shared" si="110"/>
        <v>170.7425522454424</v>
      </c>
      <c r="Q813" s="215">
        <f t="shared" si="111"/>
        <v>35.82178746109382</v>
      </c>
      <c r="S813" s="97"/>
      <c r="T813" s="97"/>
    </row>
    <row r="814" spans="1:20" s="110" customFormat="1" ht="12.75">
      <c r="A814" s="461"/>
      <c r="B814" s="109">
        <v>8</v>
      </c>
      <c r="C814" s="16" t="s">
        <v>732</v>
      </c>
      <c r="D814" s="32">
        <v>80</v>
      </c>
      <c r="E814" s="32" t="s">
        <v>73</v>
      </c>
      <c r="F814" s="1028">
        <f>G814+H814+I814</f>
        <v>29.7</v>
      </c>
      <c r="G814" s="1028">
        <v>5.6</v>
      </c>
      <c r="H814" s="1028">
        <v>12.1</v>
      </c>
      <c r="I814" s="1028">
        <v>12</v>
      </c>
      <c r="J814" s="1182">
        <v>3919.9</v>
      </c>
      <c r="K814" s="1234">
        <v>11</v>
      </c>
      <c r="L814" s="1182">
        <v>3686.36</v>
      </c>
      <c r="M814" s="212">
        <f t="shared" si="108"/>
        <v>0.0029839733504052777</v>
      </c>
      <c r="N814" s="213">
        <v>209.8</v>
      </c>
      <c r="O814" s="214">
        <f t="shared" si="109"/>
        <v>0.6260376089150272</v>
      </c>
      <c r="P814" s="214">
        <f t="shared" si="110"/>
        <v>179.03840102431667</v>
      </c>
      <c r="Q814" s="215">
        <f t="shared" si="111"/>
        <v>37.562256534901636</v>
      </c>
      <c r="S814" s="97"/>
      <c r="T814" s="97"/>
    </row>
    <row r="815" spans="1:20" s="110" customFormat="1" ht="12.75" customHeight="1">
      <c r="A815" s="461"/>
      <c r="B815" s="109">
        <v>9</v>
      </c>
      <c r="C815" s="16" t="s">
        <v>733</v>
      </c>
      <c r="D815" s="32">
        <v>22</v>
      </c>
      <c r="E815" s="32" t="s">
        <v>73</v>
      </c>
      <c r="F815" s="1028">
        <f>SUM(G815:I815)</f>
        <v>5.9</v>
      </c>
      <c r="G815" s="1028">
        <v>0.4</v>
      </c>
      <c r="H815" s="1028">
        <v>2.4</v>
      </c>
      <c r="I815" s="1028">
        <v>3.1</v>
      </c>
      <c r="J815" s="265">
        <v>892</v>
      </c>
      <c r="K815" s="1234">
        <v>2.6</v>
      </c>
      <c r="L815" s="265">
        <v>626.12</v>
      </c>
      <c r="M815" s="212">
        <f t="shared" si="108"/>
        <v>0.004152558614961988</v>
      </c>
      <c r="N815" s="213">
        <v>209.8</v>
      </c>
      <c r="O815" s="214">
        <f t="shared" si="109"/>
        <v>0.8712067974190252</v>
      </c>
      <c r="P815" s="214">
        <f t="shared" si="110"/>
        <v>249.1535168977193</v>
      </c>
      <c r="Q815" s="215">
        <f t="shared" si="111"/>
        <v>52.27240784514151</v>
      </c>
      <c r="S815" s="97"/>
      <c r="T815" s="97"/>
    </row>
    <row r="816" spans="1:20" s="110" customFormat="1" ht="13.5" thickBot="1">
      <c r="A816" s="508"/>
      <c r="B816" s="115">
        <v>10</v>
      </c>
      <c r="C816" s="852" t="s">
        <v>734</v>
      </c>
      <c r="D816" s="853">
        <v>18</v>
      </c>
      <c r="E816" s="853" t="s">
        <v>73</v>
      </c>
      <c r="F816" s="1235">
        <f>G816+H816+I816</f>
        <v>4.5</v>
      </c>
      <c r="G816" s="1235">
        <v>0</v>
      </c>
      <c r="H816" s="1235">
        <v>0</v>
      </c>
      <c r="I816" s="1235">
        <v>4.5</v>
      </c>
      <c r="J816" s="1236">
        <v>651.37</v>
      </c>
      <c r="K816" s="1235">
        <v>2.9</v>
      </c>
      <c r="L816" s="1236">
        <v>651.37</v>
      </c>
      <c r="M816" s="1230">
        <f t="shared" si="108"/>
        <v>0.004452154689347068</v>
      </c>
      <c r="N816" s="1233">
        <v>209.8</v>
      </c>
      <c r="O816" s="1231">
        <f t="shared" si="109"/>
        <v>0.934062053825015</v>
      </c>
      <c r="P816" s="1231">
        <f t="shared" si="110"/>
        <v>267.1292813608241</v>
      </c>
      <c r="Q816" s="1232">
        <f t="shared" si="111"/>
        <v>56.0437232295009</v>
      </c>
      <c r="S816" s="97"/>
      <c r="T816" s="97"/>
    </row>
    <row r="817" spans="1:20" ht="12.75">
      <c r="A817" s="462" t="s">
        <v>29</v>
      </c>
      <c r="B817" s="73">
        <v>1</v>
      </c>
      <c r="C817" s="99" t="s">
        <v>314</v>
      </c>
      <c r="D817" s="73">
        <v>80</v>
      </c>
      <c r="E817" s="73" t="s">
        <v>73</v>
      </c>
      <c r="F817" s="622">
        <f aca="true" t="shared" si="112" ref="F817:F842">SUM(G817:I817)</f>
        <v>29.2</v>
      </c>
      <c r="G817" s="622">
        <v>5.2</v>
      </c>
      <c r="H817" s="622">
        <v>11.7</v>
      </c>
      <c r="I817" s="622">
        <v>12.3</v>
      </c>
      <c r="J817" s="138">
        <v>3898.3</v>
      </c>
      <c r="K817" s="622">
        <v>12.3</v>
      </c>
      <c r="L817" s="138">
        <v>3435.94</v>
      </c>
      <c r="M817" s="287">
        <f t="shared" si="108"/>
        <v>0.003579806399413261</v>
      </c>
      <c r="N817" s="302">
        <v>209.8</v>
      </c>
      <c r="O817" s="286">
        <f t="shared" si="109"/>
        <v>0.7510433825969023</v>
      </c>
      <c r="P817" s="286">
        <f t="shared" si="110"/>
        <v>214.78838396479566</v>
      </c>
      <c r="Q817" s="288">
        <f t="shared" si="111"/>
        <v>45.06260295581413</v>
      </c>
      <c r="S817" s="97"/>
      <c r="T817" s="97"/>
    </row>
    <row r="818" spans="1:20" ht="12.75">
      <c r="A818" s="463"/>
      <c r="B818" s="36">
        <v>2</v>
      </c>
      <c r="C818" s="35" t="s">
        <v>322</v>
      </c>
      <c r="D818" s="36">
        <v>22</v>
      </c>
      <c r="E818" s="36" t="s">
        <v>73</v>
      </c>
      <c r="F818" s="609">
        <f t="shared" si="112"/>
        <v>5.199999999999999</v>
      </c>
      <c r="G818" s="609">
        <v>0.9</v>
      </c>
      <c r="H818" s="609">
        <v>0.2</v>
      </c>
      <c r="I818" s="609">
        <v>4.1</v>
      </c>
      <c r="J818" s="135">
        <v>896.35</v>
      </c>
      <c r="K818" s="609">
        <v>2.9</v>
      </c>
      <c r="L818" s="135">
        <v>669.04</v>
      </c>
      <c r="M818" s="220">
        <f t="shared" si="108"/>
        <v>0.00433456893459285</v>
      </c>
      <c r="N818" s="221">
        <v>209.8</v>
      </c>
      <c r="O818" s="222">
        <f t="shared" si="109"/>
        <v>0.9093925624775799</v>
      </c>
      <c r="P818" s="222">
        <f t="shared" si="110"/>
        <v>260.074136075571</v>
      </c>
      <c r="Q818" s="223">
        <f t="shared" si="111"/>
        <v>54.5635537486548</v>
      </c>
      <c r="S818" s="97"/>
      <c r="T818" s="97"/>
    </row>
    <row r="819" spans="1:20" ht="12.75">
      <c r="A819" s="463"/>
      <c r="B819" s="36">
        <v>3</v>
      </c>
      <c r="C819" s="35" t="s">
        <v>721</v>
      </c>
      <c r="D819" s="36">
        <v>36</v>
      </c>
      <c r="E819" s="36" t="s">
        <v>73</v>
      </c>
      <c r="F819" s="609">
        <f t="shared" si="112"/>
        <v>19.9</v>
      </c>
      <c r="G819" s="609">
        <v>3.2</v>
      </c>
      <c r="H819" s="609">
        <v>6</v>
      </c>
      <c r="I819" s="609">
        <v>10.7</v>
      </c>
      <c r="J819" s="135">
        <v>2354.69</v>
      </c>
      <c r="K819" s="609">
        <v>9.8</v>
      </c>
      <c r="L819" s="135">
        <v>2153.42</v>
      </c>
      <c r="M819" s="220">
        <f t="shared" si="108"/>
        <v>0.004550900428156143</v>
      </c>
      <c r="N819" s="221">
        <v>209.8</v>
      </c>
      <c r="O819" s="222">
        <f t="shared" si="109"/>
        <v>0.9547789098271587</v>
      </c>
      <c r="P819" s="222">
        <f t="shared" si="110"/>
        <v>273.05402568936853</v>
      </c>
      <c r="Q819" s="223">
        <f t="shared" si="111"/>
        <v>57.286734589629525</v>
      </c>
      <c r="S819" s="97"/>
      <c r="T819" s="97"/>
    </row>
    <row r="820" spans="1:20" ht="12.75">
      <c r="A820" s="463"/>
      <c r="B820" s="36">
        <v>4</v>
      </c>
      <c r="C820" s="35" t="s">
        <v>315</v>
      </c>
      <c r="D820" s="36">
        <v>40</v>
      </c>
      <c r="E820" s="36" t="s">
        <v>73</v>
      </c>
      <c r="F820" s="609">
        <f t="shared" si="112"/>
        <v>23.2</v>
      </c>
      <c r="G820" s="609">
        <v>4</v>
      </c>
      <c r="H820" s="609">
        <v>6.5</v>
      </c>
      <c r="I820" s="609">
        <v>12.7</v>
      </c>
      <c r="J820" s="135">
        <v>2512.91</v>
      </c>
      <c r="K820" s="609">
        <v>12.7</v>
      </c>
      <c r="L820" s="135">
        <v>2512.91</v>
      </c>
      <c r="M820" s="220">
        <f t="shared" si="108"/>
        <v>0.005053901651869744</v>
      </c>
      <c r="N820" s="221">
        <v>209.8</v>
      </c>
      <c r="O820" s="222">
        <f t="shared" si="109"/>
        <v>1.0603085665622725</v>
      </c>
      <c r="P820" s="222">
        <f t="shared" si="110"/>
        <v>303.2340991121847</v>
      </c>
      <c r="Q820" s="223">
        <f t="shared" si="111"/>
        <v>63.61851399373636</v>
      </c>
      <c r="S820" s="97"/>
      <c r="T820" s="97"/>
    </row>
    <row r="821" spans="1:20" ht="12.75">
      <c r="A821" s="463"/>
      <c r="B821" s="36">
        <v>5</v>
      </c>
      <c r="C821" s="35" t="s">
        <v>308</v>
      </c>
      <c r="D821" s="36">
        <v>80</v>
      </c>
      <c r="E821" s="36" t="s">
        <v>73</v>
      </c>
      <c r="F821" s="609">
        <f t="shared" si="112"/>
        <v>39.2</v>
      </c>
      <c r="G821" s="609">
        <v>5.9</v>
      </c>
      <c r="H821" s="609">
        <v>13</v>
      </c>
      <c r="I821" s="609">
        <v>20.3</v>
      </c>
      <c r="J821" s="135">
        <v>3925.41</v>
      </c>
      <c r="K821" s="609">
        <v>18.9</v>
      </c>
      <c r="L821" s="135">
        <v>3670.74</v>
      </c>
      <c r="M821" s="220">
        <f t="shared" si="108"/>
        <v>0.005148825577404011</v>
      </c>
      <c r="N821" s="221">
        <v>209.8</v>
      </c>
      <c r="O821" s="222">
        <f t="shared" si="109"/>
        <v>1.0802236061393615</v>
      </c>
      <c r="P821" s="222">
        <f t="shared" si="110"/>
        <v>308.9295346442407</v>
      </c>
      <c r="Q821" s="223">
        <f t="shared" si="111"/>
        <v>64.8134163683617</v>
      </c>
      <c r="S821" s="97"/>
      <c r="T821" s="97"/>
    </row>
    <row r="822" spans="1:20" ht="12.75">
      <c r="A822" s="463"/>
      <c r="B822" s="36">
        <v>6</v>
      </c>
      <c r="C822" s="35" t="s">
        <v>312</v>
      </c>
      <c r="D822" s="36">
        <v>45</v>
      </c>
      <c r="E822" s="36" t="s">
        <v>73</v>
      </c>
      <c r="F822" s="609">
        <f t="shared" si="112"/>
        <v>25.1</v>
      </c>
      <c r="G822" s="609">
        <v>5</v>
      </c>
      <c r="H822" s="609">
        <v>7.3</v>
      </c>
      <c r="I822" s="609">
        <v>12.8</v>
      </c>
      <c r="J822" s="135">
        <v>2356.23</v>
      </c>
      <c r="K822" s="609">
        <v>12.8</v>
      </c>
      <c r="L822" s="135">
        <v>2356.23</v>
      </c>
      <c r="M822" s="220">
        <f t="shared" si="108"/>
        <v>0.0054324068533207715</v>
      </c>
      <c r="N822" s="221">
        <v>209.8</v>
      </c>
      <c r="O822" s="222">
        <f t="shared" si="109"/>
        <v>1.139718957826698</v>
      </c>
      <c r="P822" s="222">
        <f t="shared" si="110"/>
        <v>325.9444111992463</v>
      </c>
      <c r="Q822" s="223">
        <f t="shared" si="111"/>
        <v>68.38313746960188</v>
      </c>
      <c r="S822" s="97"/>
      <c r="T822" s="97"/>
    </row>
    <row r="823" spans="1:20" ht="12.75">
      <c r="A823" s="463"/>
      <c r="B823" s="36">
        <v>7</v>
      </c>
      <c r="C823" s="35" t="s">
        <v>309</v>
      </c>
      <c r="D823" s="36">
        <v>85</v>
      </c>
      <c r="E823" s="36" t="s">
        <v>73</v>
      </c>
      <c r="F823" s="609">
        <f t="shared" si="112"/>
        <v>43.3</v>
      </c>
      <c r="G823" s="609">
        <v>5.6</v>
      </c>
      <c r="H823" s="609">
        <v>13.9</v>
      </c>
      <c r="I823" s="609">
        <v>23.8</v>
      </c>
      <c r="J823" s="135">
        <v>3854.08</v>
      </c>
      <c r="K823" s="609">
        <v>23.6</v>
      </c>
      <c r="L823" s="135">
        <v>3854.08</v>
      </c>
      <c r="M823" s="220">
        <f t="shared" si="108"/>
        <v>0.006123380936565926</v>
      </c>
      <c r="N823" s="221">
        <v>209.8</v>
      </c>
      <c r="O823" s="222">
        <f t="shared" si="109"/>
        <v>1.2846853204915314</v>
      </c>
      <c r="P823" s="222">
        <f t="shared" si="110"/>
        <v>367.4028561939556</v>
      </c>
      <c r="Q823" s="223">
        <f t="shared" si="111"/>
        <v>77.08111922949189</v>
      </c>
      <c r="S823" s="97"/>
      <c r="T823" s="97"/>
    </row>
    <row r="824" spans="1:20" ht="12.75">
      <c r="A824" s="463"/>
      <c r="B824" s="36">
        <v>8</v>
      </c>
      <c r="C824" s="35" t="s">
        <v>310</v>
      </c>
      <c r="D824" s="36">
        <v>45</v>
      </c>
      <c r="E824" s="36" t="s">
        <v>73</v>
      </c>
      <c r="F824" s="609">
        <f t="shared" si="112"/>
        <v>25.3</v>
      </c>
      <c r="G824" s="609">
        <v>4.2</v>
      </c>
      <c r="H824" s="609">
        <v>7.3</v>
      </c>
      <c r="I824" s="609">
        <v>13.8</v>
      </c>
      <c r="J824" s="135">
        <v>2363.02</v>
      </c>
      <c r="K824" s="609">
        <v>13.8</v>
      </c>
      <c r="L824" s="135">
        <v>2363.02</v>
      </c>
      <c r="M824" s="220">
        <f t="shared" si="108"/>
        <v>0.005839984426708196</v>
      </c>
      <c r="N824" s="221">
        <v>209.8</v>
      </c>
      <c r="O824" s="222">
        <f t="shared" si="109"/>
        <v>1.2252287327233795</v>
      </c>
      <c r="P824" s="222">
        <f t="shared" si="110"/>
        <v>350.39906560249176</v>
      </c>
      <c r="Q824" s="223">
        <f t="shared" si="111"/>
        <v>73.51372396340278</v>
      </c>
      <c r="S824" s="97"/>
      <c r="T824" s="97"/>
    </row>
    <row r="825" spans="1:20" ht="12.75">
      <c r="A825" s="463"/>
      <c r="B825" s="36">
        <v>9</v>
      </c>
      <c r="C825" s="35" t="s">
        <v>324</v>
      </c>
      <c r="D825" s="36">
        <v>20</v>
      </c>
      <c r="E825" s="36" t="s">
        <v>73</v>
      </c>
      <c r="F825" s="609">
        <f t="shared" si="112"/>
        <v>11.399999999999999</v>
      </c>
      <c r="G825" s="609">
        <v>1.9</v>
      </c>
      <c r="H825" s="609">
        <v>3.3</v>
      </c>
      <c r="I825" s="609">
        <v>6.2</v>
      </c>
      <c r="J825" s="135">
        <v>957.78</v>
      </c>
      <c r="K825" s="609">
        <v>5.8</v>
      </c>
      <c r="L825" s="135">
        <v>957.78</v>
      </c>
      <c r="M825" s="220">
        <f t="shared" si="108"/>
        <v>0.0060556704044770196</v>
      </c>
      <c r="N825" s="221">
        <v>209.8</v>
      </c>
      <c r="O825" s="222">
        <f t="shared" si="109"/>
        <v>1.2704796508592788</v>
      </c>
      <c r="P825" s="222">
        <f t="shared" si="110"/>
        <v>363.34022426862117</v>
      </c>
      <c r="Q825" s="223">
        <f t="shared" si="111"/>
        <v>76.22877905155673</v>
      </c>
      <c r="S825" s="97"/>
      <c r="T825" s="97"/>
    </row>
    <row r="826" spans="1:20" ht="13.5" customHeight="1" thickBot="1">
      <c r="A826" s="464"/>
      <c r="B826" s="39">
        <v>10</v>
      </c>
      <c r="C826" s="91" t="s">
        <v>311</v>
      </c>
      <c r="D826" s="39">
        <v>20</v>
      </c>
      <c r="E826" s="39" t="s">
        <v>73</v>
      </c>
      <c r="F826" s="613">
        <f t="shared" si="112"/>
        <v>11.3</v>
      </c>
      <c r="G826" s="613">
        <v>1.5</v>
      </c>
      <c r="H826" s="613">
        <v>3.3</v>
      </c>
      <c r="I826" s="613">
        <v>6.5</v>
      </c>
      <c r="J826" s="276">
        <v>1055.4</v>
      </c>
      <c r="K826" s="613">
        <v>6.5</v>
      </c>
      <c r="L826" s="276">
        <v>1055.4</v>
      </c>
      <c r="M826" s="289">
        <f t="shared" si="108"/>
        <v>0.006158802349819973</v>
      </c>
      <c r="N826" s="304">
        <v>209.8</v>
      </c>
      <c r="O826" s="291">
        <f t="shared" si="109"/>
        <v>1.2921167329922305</v>
      </c>
      <c r="P826" s="291">
        <f t="shared" si="110"/>
        <v>369.5281409891984</v>
      </c>
      <c r="Q826" s="292">
        <f t="shared" si="111"/>
        <v>77.52700397953382</v>
      </c>
      <c r="S826" s="97"/>
      <c r="T826" s="97"/>
    </row>
    <row r="827" spans="1:20" ht="12.75">
      <c r="A827" s="701" t="s">
        <v>30</v>
      </c>
      <c r="B827" s="653">
        <v>1</v>
      </c>
      <c r="C827" s="698" t="s">
        <v>323</v>
      </c>
      <c r="D827" s="653">
        <v>40</v>
      </c>
      <c r="E827" s="653" t="s">
        <v>73</v>
      </c>
      <c r="F827" s="850">
        <f t="shared" si="112"/>
        <v>13.200000000000001</v>
      </c>
      <c r="G827" s="850">
        <v>0.1</v>
      </c>
      <c r="H827" s="850">
        <v>0.2</v>
      </c>
      <c r="I827" s="850">
        <v>12.9</v>
      </c>
      <c r="J827" s="918">
        <v>2016.05</v>
      </c>
      <c r="K827" s="850">
        <v>12.9</v>
      </c>
      <c r="L827" s="918">
        <v>1972.36</v>
      </c>
      <c r="M827" s="1171">
        <f t="shared" si="108"/>
        <v>0.006540388164432457</v>
      </c>
      <c r="N827" s="1015">
        <v>209.8</v>
      </c>
      <c r="O827" s="1016">
        <f t="shared" si="109"/>
        <v>1.3721734368979295</v>
      </c>
      <c r="P827" s="1016">
        <f t="shared" si="110"/>
        <v>392.42328986594737</v>
      </c>
      <c r="Q827" s="1017">
        <f t="shared" si="111"/>
        <v>82.33040621387576</v>
      </c>
      <c r="S827" s="97"/>
      <c r="T827" s="97"/>
    </row>
    <row r="828" spans="1:20" ht="12.75">
      <c r="A828" s="631"/>
      <c r="B828" s="367">
        <v>2</v>
      </c>
      <c r="C828" s="633" t="s">
        <v>722</v>
      </c>
      <c r="D828" s="367">
        <v>40</v>
      </c>
      <c r="E828" s="367" t="s">
        <v>73</v>
      </c>
      <c r="F828" s="677">
        <f t="shared" si="112"/>
        <v>26</v>
      </c>
      <c r="G828" s="677">
        <v>4.5</v>
      </c>
      <c r="H828" s="677">
        <v>6.4</v>
      </c>
      <c r="I828" s="677">
        <v>15.1</v>
      </c>
      <c r="J828" s="652">
        <v>2278.59</v>
      </c>
      <c r="K828" s="677">
        <v>15.1</v>
      </c>
      <c r="L828" s="652">
        <v>2278.59</v>
      </c>
      <c r="M828" s="1073">
        <f t="shared" si="108"/>
        <v>0.0066269052352551355</v>
      </c>
      <c r="N828" s="1018">
        <v>209.8</v>
      </c>
      <c r="O828" s="1019">
        <f t="shared" si="109"/>
        <v>1.3903247183565275</v>
      </c>
      <c r="P828" s="1019">
        <f t="shared" si="110"/>
        <v>397.6143141153081</v>
      </c>
      <c r="Q828" s="1020">
        <f t="shared" si="111"/>
        <v>83.41948310139163</v>
      </c>
      <c r="S828" s="97"/>
      <c r="T828" s="97"/>
    </row>
    <row r="829" spans="1:20" ht="12.75">
      <c r="A829" s="631"/>
      <c r="B829" s="367">
        <v>3</v>
      </c>
      <c r="C829" s="633" t="s">
        <v>316</v>
      </c>
      <c r="D829" s="367">
        <v>45</v>
      </c>
      <c r="E829" s="367" t="s">
        <v>73</v>
      </c>
      <c r="F829" s="677">
        <f t="shared" si="112"/>
        <v>27</v>
      </c>
      <c r="G829" s="677">
        <v>3.7</v>
      </c>
      <c r="H829" s="677">
        <v>7.3</v>
      </c>
      <c r="I829" s="677">
        <v>16</v>
      </c>
      <c r="J829" s="652">
        <v>2336.24</v>
      </c>
      <c r="K829" s="677">
        <v>16</v>
      </c>
      <c r="L829" s="652">
        <v>2336.24</v>
      </c>
      <c r="M829" s="1073">
        <f t="shared" si="108"/>
        <v>0.006848611444029724</v>
      </c>
      <c r="N829" s="1018">
        <v>209.8</v>
      </c>
      <c r="O829" s="1019">
        <f t="shared" si="109"/>
        <v>1.436838680957436</v>
      </c>
      <c r="P829" s="1019">
        <f t="shared" si="110"/>
        <v>410.91668664178343</v>
      </c>
      <c r="Q829" s="1020">
        <f t="shared" si="111"/>
        <v>86.21032085744618</v>
      </c>
      <c r="S829" s="97"/>
      <c r="T829" s="97"/>
    </row>
    <row r="830" spans="1:20" ht="12.75">
      <c r="A830" s="631"/>
      <c r="B830" s="367">
        <v>4</v>
      </c>
      <c r="C830" s="633" t="s">
        <v>307</v>
      </c>
      <c r="D830" s="367">
        <v>60</v>
      </c>
      <c r="E830" s="367" t="s">
        <v>73</v>
      </c>
      <c r="F830" s="1031">
        <f t="shared" si="112"/>
        <v>30.3</v>
      </c>
      <c r="G830" s="1031">
        <v>3.3</v>
      </c>
      <c r="H830" s="1031">
        <v>9.8</v>
      </c>
      <c r="I830" s="1031">
        <v>17.2</v>
      </c>
      <c r="J830" s="652">
        <v>2404.54</v>
      </c>
      <c r="K830" s="1031">
        <v>17.2</v>
      </c>
      <c r="L830" s="652">
        <v>2404.54</v>
      </c>
      <c r="M830" s="1073">
        <f t="shared" si="108"/>
        <v>0.007153135319021517</v>
      </c>
      <c r="N830" s="1018">
        <v>209.8</v>
      </c>
      <c r="O830" s="1019">
        <f t="shared" si="109"/>
        <v>1.5007277899307143</v>
      </c>
      <c r="P830" s="1019">
        <f t="shared" si="110"/>
        <v>429.188119141291</v>
      </c>
      <c r="Q830" s="1020">
        <f t="shared" si="111"/>
        <v>90.04366739584286</v>
      </c>
      <c r="S830" s="97"/>
      <c r="T830" s="97"/>
    </row>
    <row r="831" spans="1:20" ht="12.75">
      <c r="A831" s="631"/>
      <c r="B831" s="367">
        <v>5</v>
      </c>
      <c r="C831" s="633" t="s">
        <v>317</v>
      </c>
      <c r="D831" s="367">
        <v>41</v>
      </c>
      <c r="E831" s="367" t="s">
        <v>73</v>
      </c>
      <c r="F831" s="677">
        <f t="shared" si="112"/>
        <v>17.4</v>
      </c>
      <c r="G831" s="677">
        <v>3.3</v>
      </c>
      <c r="H831" s="677">
        <v>0.4</v>
      </c>
      <c r="I831" s="677">
        <v>13.7</v>
      </c>
      <c r="J831" s="652">
        <v>1881.35</v>
      </c>
      <c r="K831" s="677">
        <v>12.7</v>
      </c>
      <c r="L831" s="652">
        <v>1747.62</v>
      </c>
      <c r="M831" s="1073">
        <f t="shared" si="108"/>
        <v>0.007267026012519885</v>
      </c>
      <c r="N831" s="1018">
        <v>209.8</v>
      </c>
      <c r="O831" s="1019">
        <f t="shared" si="109"/>
        <v>1.5246220574266718</v>
      </c>
      <c r="P831" s="1019">
        <f t="shared" si="110"/>
        <v>436.0215607511931</v>
      </c>
      <c r="Q831" s="1020">
        <f t="shared" si="111"/>
        <v>91.4773234456003</v>
      </c>
      <c r="S831" s="97"/>
      <c r="T831" s="97"/>
    </row>
    <row r="832" spans="1:20" ht="12.75">
      <c r="A832" s="631"/>
      <c r="B832" s="367">
        <v>6</v>
      </c>
      <c r="C832" s="633" t="s">
        <v>271</v>
      </c>
      <c r="D832" s="367">
        <v>42</v>
      </c>
      <c r="E832" s="367" t="s">
        <v>73</v>
      </c>
      <c r="F832" s="677">
        <f t="shared" si="112"/>
        <v>17.4</v>
      </c>
      <c r="G832" s="677">
        <v>3.1</v>
      </c>
      <c r="H832" s="677">
        <v>0.4</v>
      </c>
      <c r="I832" s="677">
        <v>13.9</v>
      </c>
      <c r="J832" s="652">
        <v>1954.43</v>
      </c>
      <c r="K832" s="677">
        <v>13.5</v>
      </c>
      <c r="L832" s="652">
        <v>1864.61</v>
      </c>
      <c r="M832" s="1073">
        <f t="shared" si="108"/>
        <v>0.007240119917838047</v>
      </c>
      <c r="N832" s="1018">
        <v>209.8</v>
      </c>
      <c r="O832" s="1019">
        <f t="shared" si="109"/>
        <v>1.5189771587624223</v>
      </c>
      <c r="P832" s="1019">
        <f t="shared" si="110"/>
        <v>434.4071950702828</v>
      </c>
      <c r="Q832" s="1020">
        <f t="shared" si="111"/>
        <v>91.13862952574533</v>
      </c>
      <c r="S832" s="97"/>
      <c r="T832" s="97"/>
    </row>
    <row r="833" spans="1:20" ht="12.75">
      <c r="A833" s="631"/>
      <c r="B833" s="367">
        <v>7</v>
      </c>
      <c r="C833" s="633" t="s">
        <v>313</v>
      </c>
      <c r="D833" s="367">
        <v>20</v>
      </c>
      <c r="E833" s="367" t="s">
        <v>73</v>
      </c>
      <c r="F833" s="677">
        <f t="shared" si="112"/>
        <v>12.8</v>
      </c>
      <c r="G833" s="677">
        <v>1.8</v>
      </c>
      <c r="H833" s="677">
        <v>3.3</v>
      </c>
      <c r="I833" s="677">
        <v>7.7</v>
      </c>
      <c r="J833" s="652">
        <v>1042.41</v>
      </c>
      <c r="K833" s="677">
        <v>7.7</v>
      </c>
      <c r="L833" s="652">
        <v>1042.41</v>
      </c>
      <c r="M833" s="1073">
        <f t="shared" si="108"/>
        <v>0.007386728830306693</v>
      </c>
      <c r="N833" s="1018">
        <v>209.8</v>
      </c>
      <c r="O833" s="1019">
        <f t="shared" si="109"/>
        <v>1.5497357085983443</v>
      </c>
      <c r="P833" s="1019">
        <f t="shared" si="110"/>
        <v>443.20372981840154</v>
      </c>
      <c r="Q833" s="1020">
        <f t="shared" si="111"/>
        <v>92.98414251590064</v>
      </c>
      <c r="S833" s="97"/>
      <c r="T833" s="97"/>
    </row>
    <row r="834" spans="1:20" ht="12.75">
      <c r="A834" s="631"/>
      <c r="B834" s="367">
        <v>8</v>
      </c>
      <c r="C834" s="633" t="s">
        <v>319</v>
      </c>
      <c r="D834" s="367">
        <v>41</v>
      </c>
      <c r="E834" s="367" t="s">
        <v>73</v>
      </c>
      <c r="F834" s="677">
        <f t="shared" si="112"/>
        <v>9.5</v>
      </c>
      <c r="G834" s="677">
        <v>2.2</v>
      </c>
      <c r="H834" s="677">
        <v>0.2</v>
      </c>
      <c r="I834" s="677">
        <v>7.1</v>
      </c>
      <c r="J834" s="652">
        <v>910.85</v>
      </c>
      <c r="K834" s="677">
        <v>6.8</v>
      </c>
      <c r="L834" s="652">
        <v>867.57</v>
      </c>
      <c r="M834" s="1073">
        <f t="shared" si="108"/>
        <v>0.007837984254872804</v>
      </c>
      <c r="N834" s="1018">
        <v>209.8</v>
      </c>
      <c r="O834" s="1019">
        <f t="shared" si="109"/>
        <v>1.6444090966723144</v>
      </c>
      <c r="P834" s="1019">
        <f t="shared" si="110"/>
        <v>470.27905529236824</v>
      </c>
      <c r="Q834" s="1020">
        <f t="shared" si="111"/>
        <v>98.66454580033886</v>
      </c>
      <c r="S834" s="97"/>
      <c r="T834" s="97"/>
    </row>
    <row r="835" spans="1:20" ht="12.75">
      <c r="A835" s="631"/>
      <c r="B835" s="367">
        <v>9</v>
      </c>
      <c r="C835" s="633" t="s">
        <v>321</v>
      </c>
      <c r="D835" s="367">
        <v>24</v>
      </c>
      <c r="E835" s="367" t="s">
        <v>73</v>
      </c>
      <c r="F835" s="677">
        <f t="shared" si="112"/>
        <v>10.6</v>
      </c>
      <c r="G835" s="677">
        <v>1.4</v>
      </c>
      <c r="H835" s="677">
        <v>0.2</v>
      </c>
      <c r="I835" s="677">
        <v>9</v>
      </c>
      <c r="J835" s="652">
        <v>1111.86</v>
      </c>
      <c r="K835" s="677">
        <v>7.8</v>
      </c>
      <c r="L835" s="652">
        <v>980.15</v>
      </c>
      <c r="M835" s="1073">
        <f t="shared" si="108"/>
        <v>0.007957965617507525</v>
      </c>
      <c r="N835" s="1018">
        <v>209.8</v>
      </c>
      <c r="O835" s="1019">
        <f t="shared" si="109"/>
        <v>1.669581186553079</v>
      </c>
      <c r="P835" s="1019">
        <f t="shared" si="110"/>
        <v>477.4779370504515</v>
      </c>
      <c r="Q835" s="1020">
        <f t="shared" si="111"/>
        <v>100.17487119318471</v>
      </c>
      <c r="S835" s="97"/>
      <c r="T835" s="97"/>
    </row>
    <row r="836" spans="1:20" ht="13.5" thickBot="1">
      <c r="A836" s="638"/>
      <c r="B836" s="535">
        <v>10</v>
      </c>
      <c r="C836" s="640" t="s">
        <v>326</v>
      </c>
      <c r="D836" s="535">
        <v>31</v>
      </c>
      <c r="E836" s="535" t="s">
        <v>73</v>
      </c>
      <c r="F836" s="681">
        <f t="shared" si="112"/>
        <v>16.6</v>
      </c>
      <c r="G836" s="681">
        <v>2.3</v>
      </c>
      <c r="H836" s="681">
        <v>2.5</v>
      </c>
      <c r="I836" s="681">
        <v>11.8</v>
      </c>
      <c r="J836" s="658">
        <v>1226.64</v>
      </c>
      <c r="K836" s="681">
        <v>9.8</v>
      </c>
      <c r="L836" s="658">
        <v>1202.59</v>
      </c>
      <c r="M836" s="1074">
        <f t="shared" si="108"/>
        <v>0.008149078239466485</v>
      </c>
      <c r="N836" s="1021">
        <v>209.8</v>
      </c>
      <c r="O836" s="1022">
        <f t="shared" si="109"/>
        <v>1.7096766146400688</v>
      </c>
      <c r="P836" s="1022">
        <f t="shared" si="110"/>
        <v>488.94469436798914</v>
      </c>
      <c r="Q836" s="1023">
        <f t="shared" si="111"/>
        <v>102.58059687840414</v>
      </c>
      <c r="S836" s="97"/>
      <c r="T836" s="97"/>
    </row>
    <row r="837" spans="1:20" ht="12.75">
      <c r="A837" s="465" t="s">
        <v>12</v>
      </c>
      <c r="B837" s="88">
        <v>1</v>
      </c>
      <c r="C837" s="725" t="s">
        <v>318</v>
      </c>
      <c r="D837" s="88">
        <v>44</v>
      </c>
      <c r="E837" s="88" t="s">
        <v>73</v>
      </c>
      <c r="F837" s="726">
        <f t="shared" si="112"/>
        <v>19.2</v>
      </c>
      <c r="G837" s="726">
        <v>2.3</v>
      </c>
      <c r="H837" s="726">
        <v>0.4</v>
      </c>
      <c r="I837" s="726">
        <v>16.5</v>
      </c>
      <c r="J837" s="922">
        <v>1849.35</v>
      </c>
      <c r="K837" s="726">
        <v>14.6</v>
      </c>
      <c r="L837" s="922">
        <v>1758.48</v>
      </c>
      <c r="M837" s="347">
        <f t="shared" si="108"/>
        <v>0.00830262499431327</v>
      </c>
      <c r="N837" s="348">
        <v>209.8</v>
      </c>
      <c r="O837" s="317">
        <f t="shared" si="109"/>
        <v>1.7418907238069241</v>
      </c>
      <c r="P837" s="317">
        <f t="shared" si="110"/>
        <v>498.15749965879627</v>
      </c>
      <c r="Q837" s="345">
        <f t="shared" si="111"/>
        <v>104.51344342841546</v>
      </c>
      <c r="S837" s="97"/>
      <c r="T837" s="97"/>
    </row>
    <row r="838" spans="1:20" ht="12.75">
      <c r="A838" s="466"/>
      <c r="B838" s="42">
        <v>2</v>
      </c>
      <c r="C838" s="52" t="s">
        <v>723</v>
      </c>
      <c r="D838" s="42">
        <v>107</v>
      </c>
      <c r="E838" s="42" t="s">
        <v>73</v>
      </c>
      <c r="F838" s="727">
        <f t="shared" si="112"/>
        <v>43.4</v>
      </c>
      <c r="G838" s="727">
        <v>3.3</v>
      </c>
      <c r="H838" s="727">
        <v>17.4</v>
      </c>
      <c r="I838" s="727">
        <v>22.7</v>
      </c>
      <c r="J838" s="751">
        <v>2639.07</v>
      </c>
      <c r="K838" s="727">
        <v>20.9</v>
      </c>
      <c r="L838" s="751">
        <v>2507.08</v>
      </c>
      <c r="M838" s="308">
        <f t="shared" si="108"/>
        <v>0.008336391339725895</v>
      </c>
      <c r="N838" s="309">
        <v>209.8</v>
      </c>
      <c r="O838" s="319">
        <f t="shared" si="109"/>
        <v>1.748974903074493</v>
      </c>
      <c r="P838" s="319">
        <f t="shared" si="110"/>
        <v>500.1834803835538</v>
      </c>
      <c r="Q838" s="318">
        <f t="shared" si="111"/>
        <v>104.93849418446959</v>
      </c>
      <c r="S838" s="97"/>
      <c r="T838" s="97"/>
    </row>
    <row r="839" spans="1:20" ht="12.75">
      <c r="A839" s="466"/>
      <c r="B839" s="42">
        <v>3</v>
      </c>
      <c r="C839" s="52" t="s">
        <v>320</v>
      </c>
      <c r="D839" s="42">
        <v>24</v>
      </c>
      <c r="E839" s="42" t="s">
        <v>73</v>
      </c>
      <c r="F839" s="727">
        <f t="shared" si="112"/>
        <v>9.9</v>
      </c>
      <c r="G839" s="727">
        <v>0.9</v>
      </c>
      <c r="H839" s="727">
        <v>0.2</v>
      </c>
      <c r="I839" s="727">
        <v>8.8</v>
      </c>
      <c r="J839" s="751">
        <v>924.4</v>
      </c>
      <c r="K839" s="727">
        <v>8.8</v>
      </c>
      <c r="L839" s="751">
        <v>924.4</v>
      </c>
      <c r="M839" s="308">
        <f t="shared" si="108"/>
        <v>0.009519688446559932</v>
      </c>
      <c r="N839" s="309">
        <v>209.8</v>
      </c>
      <c r="O839" s="319">
        <f t="shared" si="109"/>
        <v>1.9972306360882737</v>
      </c>
      <c r="P839" s="319">
        <f t="shared" si="110"/>
        <v>571.1813067935959</v>
      </c>
      <c r="Q839" s="318">
        <f t="shared" si="111"/>
        <v>119.83383816529643</v>
      </c>
      <c r="S839" s="97"/>
      <c r="T839" s="97"/>
    </row>
    <row r="840" spans="1:20" ht="12.75">
      <c r="A840" s="466"/>
      <c r="B840" s="42">
        <v>4</v>
      </c>
      <c r="C840" s="52" t="s">
        <v>724</v>
      </c>
      <c r="D840" s="42">
        <v>14</v>
      </c>
      <c r="E840" s="42" t="s">
        <v>73</v>
      </c>
      <c r="F840" s="727">
        <f t="shared" si="112"/>
        <v>8.9</v>
      </c>
      <c r="G840" s="727">
        <v>1.3</v>
      </c>
      <c r="H840" s="727">
        <v>0.1</v>
      </c>
      <c r="I840" s="727">
        <v>7.5</v>
      </c>
      <c r="J840" s="751">
        <v>624.59</v>
      </c>
      <c r="K840" s="727">
        <v>7.5</v>
      </c>
      <c r="L840" s="751">
        <v>624.59</v>
      </c>
      <c r="M840" s="308">
        <f t="shared" si="108"/>
        <v>0.012007877167421828</v>
      </c>
      <c r="N840" s="309">
        <v>209.8</v>
      </c>
      <c r="O840" s="319">
        <f t="shared" si="109"/>
        <v>2.5192526297251</v>
      </c>
      <c r="P840" s="319">
        <f t="shared" si="110"/>
        <v>720.4726300453098</v>
      </c>
      <c r="Q840" s="318">
        <f t="shared" si="111"/>
        <v>151.155157783506</v>
      </c>
      <c r="S840" s="97"/>
      <c r="T840" s="97"/>
    </row>
    <row r="841" spans="1:20" ht="12.75">
      <c r="A841" s="466"/>
      <c r="B841" s="42">
        <v>5</v>
      </c>
      <c r="C841" s="52" t="s">
        <v>325</v>
      </c>
      <c r="D841" s="42">
        <v>42</v>
      </c>
      <c r="E841" s="42" t="s">
        <v>73</v>
      </c>
      <c r="F841" s="727">
        <f t="shared" si="112"/>
        <v>18.2</v>
      </c>
      <c r="G841" s="727">
        <v>1.9</v>
      </c>
      <c r="H841" s="727">
        <v>0.4</v>
      </c>
      <c r="I841" s="727">
        <v>15.9</v>
      </c>
      <c r="J841" s="751">
        <v>1469.95</v>
      </c>
      <c r="K841" s="727">
        <v>13.8</v>
      </c>
      <c r="L841" s="751">
        <v>1078.77</v>
      </c>
      <c r="M841" s="308">
        <f t="shared" si="108"/>
        <v>0.012792346839456048</v>
      </c>
      <c r="N841" s="309">
        <v>209.8</v>
      </c>
      <c r="O841" s="319">
        <f t="shared" si="109"/>
        <v>2.683834366917879</v>
      </c>
      <c r="P841" s="319">
        <f t="shared" si="110"/>
        <v>767.5408103673628</v>
      </c>
      <c r="Q841" s="318">
        <f t="shared" si="111"/>
        <v>161.03006201507273</v>
      </c>
      <c r="S841" s="97"/>
      <c r="T841" s="97"/>
    </row>
    <row r="842" spans="1:20" ht="12.75">
      <c r="A842" s="466"/>
      <c r="B842" s="42">
        <v>6</v>
      </c>
      <c r="C842" s="52" t="s">
        <v>327</v>
      </c>
      <c r="D842" s="42">
        <v>4</v>
      </c>
      <c r="E842" s="42" t="s">
        <v>73</v>
      </c>
      <c r="F842" s="727">
        <f t="shared" si="112"/>
        <v>4.93</v>
      </c>
      <c r="G842" s="727">
        <v>0.7</v>
      </c>
      <c r="H842" s="727">
        <v>0.7</v>
      </c>
      <c r="I842" s="727">
        <v>3.53</v>
      </c>
      <c r="J842" s="751">
        <v>258.86</v>
      </c>
      <c r="K842" s="727">
        <v>3.5</v>
      </c>
      <c r="L842" s="751">
        <v>258.86</v>
      </c>
      <c r="M842" s="308">
        <f t="shared" si="108"/>
        <v>0.01352082206598161</v>
      </c>
      <c r="N842" s="309">
        <v>209.8</v>
      </c>
      <c r="O842" s="319">
        <f t="shared" si="109"/>
        <v>2.8366684694429423</v>
      </c>
      <c r="P842" s="319">
        <f t="shared" si="110"/>
        <v>811.2493239588968</v>
      </c>
      <c r="Q842" s="318">
        <f t="shared" si="111"/>
        <v>170.20010816657654</v>
      </c>
      <c r="S842" s="97"/>
      <c r="T842" s="97"/>
    </row>
    <row r="843" spans="1:20" ht="12.75">
      <c r="A843" s="466"/>
      <c r="B843" s="42">
        <v>7</v>
      </c>
      <c r="C843" s="52"/>
      <c r="D843" s="42"/>
      <c r="E843" s="42"/>
      <c r="F843" s="720"/>
      <c r="G843" s="720"/>
      <c r="H843" s="720"/>
      <c r="I843" s="720"/>
      <c r="J843" s="722"/>
      <c r="K843" s="727"/>
      <c r="L843" s="751"/>
      <c r="M843" s="308"/>
      <c r="N843" s="307"/>
      <c r="O843" s="319"/>
      <c r="P843" s="319"/>
      <c r="Q843" s="318"/>
      <c r="S843" s="97"/>
      <c r="T843" s="97"/>
    </row>
    <row r="844" spans="1:20" ht="12.75">
      <c r="A844" s="466"/>
      <c r="B844" s="42">
        <v>8</v>
      </c>
      <c r="C844" s="52"/>
      <c r="D844" s="42"/>
      <c r="E844" s="42"/>
      <c r="F844" s="720"/>
      <c r="G844" s="720"/>
      <c r="H844" s="720"/>
      <c r="I844" s="720"/>
      <c r="J844" s="722"/>
      <c r="K844" s="720"/>
      <c r="L844" s="722"/>
      <c r="M844" s="308"/>
      <c r="N844" s="307"/>
      <c r="O844" s="319"/>
      <c r="P844" s="319"/>
      <c r="Q844" s="318"/>
      <c r="S844" s="97"/>
      <c r="T844" s="97"/>
    </row>
    <row r="845" spans="1:20" ht="12.75">
      <c r="A845" s="466"/>
      <c r="B845" s="42">
        <v>9</v>
      </c>
      <c r="C845" s="52"/>
      <c r="D845" s="42"/>
      <c r="E845" s="42"/>
      <c r="F845" s="60"/>
      <c r="G845" s="60"/>
      <c r="H845" s="60"/>
      <c r="I845" s="60"/>
      <c r="J845" s="61"/>
      <c r="K845" s="60"/>
      <c r="L845" s="61"/>
      <c r="M845" s="62"/>
      <c r="N845" s="60"/>
      <c r="O845" s="60"/>
      <c r="P845" s="60"/>
      <c r="Q845" s="55"/>
      <c r="S845" s="97"/>
      <c r="T845" s="97"/>
    </row>
    <row r="846" spans="1:20" ht="13.5" thickBot="1">
      <c r="A846" s="467"/>
      <c r="B846" s="47">
        <v>10</v>
      </c>
      <c r="C846" s="56"/>
      <c r="D846" s="47"/>
      <c r="E846" s="47"/>
      <c r="F846" s="63"/>
      <c r="G846" s="63"/>
      <c r="H846" s="63"/>
      <c r="I846" s="63"/>
      <c r="J846" s="64"/>
      <c r="K846" s="63"/>
      <c r="L846" s="64"/>
      <c r="M846" s="89"/>
      <c r="N846" s="63"/>
      <c r="O846" s="63"/>
      <c r="P846" s="63"/>
      <c r="Q846" s="59"/>
      <c r="S846" s="97"/>
      <c r="T846" s="97"/>
    </row>
    <row r="847" spans="19:20" ht="12.75">
      <c r="S847" s="97"/>
      <c r="T847" s="97"/>
    </row>
    <row r="848" spans="19:20" ht="12.75">
      <c r="S848" s="97"/>
      <c r="T848" s="97"/>
    </row>
    <row r="849" spans="1:20" ht="15">
      <c r="A849" s="419" t="s">
        <v>58</v>
      </c>
      <c r="B849" s="419"/>
      <c r="C849" s="419"/>
      <c r="D849" s="419"/>
      <c r="E849" s="419"/>
      <c r="F849" s="419"/>
      <c r="G849" s="419"/>
      <c r="H849" s="419"/>
      <c r="I849" s="419"/>
      <c r="J849" s="419"/>
      <c r="K849" s="419"/>
      <c r="L849" s="419"/>
      <c r="M849" s="419"/>
      <c r="N849" s="419"/>
      <c r="O849" s="419"/>
      <c r="P849" s="419"/>
      <c r="Q849" s="419"/>
      <c r="S849" s="97"/>
      <c r="T849" s="97"/>
    </row>
    <row r="850" spans="1:20" ht="13.5" thickBot="1">
      <c r="A850" s="503" t="s">
        <v>735</v>
      </c>
      <c r="B850" s="503"/>
      <c r="C850" s="503"/>
      <c r="D850" s="503"/>
      <c r="E850" s="503"/>
      <c r="F850" s="503"/>
      <c r="G850" s="503"/>
      <c r="H850" s="503"/>
      <c r="I850" s="503"/>
      <c r="J850" s="503"/>
      <c r="K850" s="503"/>
      <c r="L850" s="503"/>
      <c r="M850" s="503"/>
      <c r="N850" s="503"/>
      <c r="O850" s="503"/>
      <c r="P850" s="503"/>
      <c r="Q850" s="503"/>
      <c r="S850" s="97"/>
      <c r="T850" s="97"/>
    </row>
    <row r="851" spans="1:20" ht="12.75" customHeight="1">
      <c r="A851" s="395" t="s">
        <v>1</v>
      </c>
      <c r="B851" s="397" t="s">
        <v>0</v>
      </c>
      <c r="C851" s="384" t="s">
        <v>2</v>
      </c>
      <c r="D851" s="384" t="s">
        <v>3</v>
      </c>
      <c r="E851" s="384" t="s">
        <v>13</v>
      </c>
      <c r="F851" s="386" t="s">
        <v>14</v>
      </c>
      <c r="G851" s="387"/>
      <c r="H851" s="387"/>
      <c r="I851" s="388"/>
      <c r="J851" s="384" t="s">
        <v>4</v>
      </c>
      <c r="K851" s="384" t="s">
        <v>15</v>
      </c>
      <c r="L851" s="384" t="s">
        <v>5</v>
      </c>
      <c r="M851" s="384" t="s">
        <v>6</v>
      </c>
      <c r="N851" s="384" t="s">
        <v>16</v>
      </c>
      <c r="O851" s="384" t="s">
        <v>17</v>
      </c>
      <c r="P851" s="468" t="s">
        <v>25</v>
      </c>
      <c r="Q851" s="391" t="s">
        <v>26</v>
      </c>
      <c r="S851" s="97"/>
      <c r="T851" s="97"/>
    </row>
    <row r="852" spans="1:20" s="2" customFormat="1" ht="33.75">
      <c r="A852" s="396"/>
      <c r="B852" s="398"/>
      <c r="C852" s="399"/>
      <c r="D852" s="385"/>
      <c r="E852" s="385"/>
      <c r="F852" s="37" t="s">
        <v>18</v>
      </c>
      <c r="G852" s="37" t="s">
        <v>19</v>
      </c>
      <c r="H852" s="37" t="s">
        <v>20</v>
      </c>
      <c r="I852" s="37" t="s">
        <v>21</v>
      </c>
      <c r="J852" s="385"/>
      <c r="K852" s="385"/>
      <c r="L852" s="385"/>
      <c r="M852" s="385"/>
      <c r="N852" s="385"/>
      <c r="O852" s="385"/>
      <c r="P852" s="469"/>
      <c r="Q852" s="392"/>
      <c r="S852" s="97"/>
      <c r="T852" s="97"/>
    </row>
    <row r="853" spans="1:20" s="3" customFormat="1" ht="13.5" customHeight="1" thickBot="1">
      <c r="A853" s="396"/>
      <c r="B853" s="398"/>
      <c r="C853" s="416"/>
      <c r="D853" s="65" t="s">
        <v>7</v>
      </c>
      <c r="E853" s="65" t="s">
        <v>8</v>
      </c>
      <c r="F853" s="65" t="s">
        <v>9</v>
      </c>
      <c r="G853" s="65" t="s">
        <v>9</v>
      </c>
      <c r="H853" s="65" t="s">
        <v>9</v>
      </c>
      <c r="I853" s="65" t="s">
        <v>9</v>
      </c>
      <c r="J853" s="65" t="s">
        <v>22</v>
      </c>
      <c r="K853" s="65" t="s">
        <v>9</v>
      </c>
      <c r="L853" s="65" t="s">
        <v>22</v>
      </c>
      <c r="M853" s="65" t="s">
        <v>23</v>
      </c>
      <c r="N853" s="65" t="s">
        <v>10</v>
      </c>
      <c r="O853" s="65" t="s">
        <v>24</v>
      </c>
      <c r="P853" s="72" t="s">
        <v>27</v>
      </c>
      <c r="Q853" s="67" t="s">
        <v>28</v>
      </c>
      <c r="S853" s="97"/>
      <c r="T853" s="97"/>
    </row>
    <row r="854" spans="1:20" s="110" customFormat="1" ht="12.75" customHeight="1">
      <c r="A854" s="453" t="s">
        <v>11</v>
      </c>
      <c r="B854" s="113">
        <v>1</v>
      </c>
      <c r="C854" s="69" t="s">
        <v>736</v>
      </c>
      <c r="D854" s="68">
        <v>40</v>
      </c>
      <c r="E854" s="68"/>
      <c r="F854" s="277">
        <v>14.629</v>
      </c>
      <c r="G854" s="277">
        <v>4.325</v>
      </c>
      <c r="H854" s="277">
        <v>6.4</v>
      </c>
      <c r="I854" s="277">
        <v>3.904</v>
      </c>
      <c r="J854" s="1183">
        <v>2254.53</v>
      </c>
      <c r="K854" s="277">
        <v>14.6</v>
      </c>
      <c r="L854" s="1183">
        <v>2254.5</v>
      </c>
      <c r="M854" s="356">
        <f aca="true" t="shared" si="113" ref="M854:M859">K854/L854</f>
        <v>0.0064759370148591705</v>
      </c>
      <c r="N854" s="573">
        <v>225</v>
      </c>
      <c r="O854" s="357">
        <f aca="true" t="shared" si="114" ref="O854:O859">M854*N854</f>
        <v>1.4570858283433135</v>
      </c>
      <c r="P854" s="357">
        <f aca="true" t="shared" si="115" ref="P854:P859">M854*60*1000</f>
        <v>388.55622089155025</v>
      </c>
      <c r="Q854" s="358">
        <f aca="true" t="shared" si="116" ref="Q854:Q859">P854*N854/1000</f>
        <v>87.42514970059881</v>
      </c>
      <c r="S854" s="97"/>
      <c r="T854" s="97"/>
    </row>
    <row r="855" spans="1:20" s="110" customFormat="1" ht="13.5" customHeight="1">
      <c r="A855" s="501"/>
      <c r="B855" s="109">
        <v>2</v>
      </c>
      <c r="C855" s="16" t="s">
        <v>737</v>
      </c>
      <c r="D855" s="32">
        <v>51</v>
      </c>
      <c r="E855" s="32" t="s">
        <v>329</v>
      </c>
      <c r="F855" s="578">
        <v>17</v>
      </c>
      <c r="G855" s="578">
        <v>2.852</v>
      </c>
      <c r="H855" s="578">
        <v>7.84</v>
      </c>
      <c r="I855" s="578">
        <v>6.308</v>
      </c>
      <c r="J855" s="265">
        <v>2586.98</v>
      </c>
      <c r="K855" s="183">
        <v>17</v>
      </c>
      <c r="L855" s="265">
        <v>2587</v>
      </c>
      <c r="M855" s="156">
        <f t="shared" si="113"/>
        <v>0.006571318129107074</v>
      </c>
      <c r="N855" s="157">
        <v>225</v>
      </c>
      <c r="O855" s="155">
        <f t="shared" si="114"/>
        <v>1.4785465790490915</v>
      </c>
      <c r="P855" s="357">
        <f t="shared" si="115"/>
        <v>394.2790877464244</v>
      </c>
      <c r="Q855" s="1175">
        <f t="shared" si="116"/>
        <v>88.71279474294549</v>
      </c>
      <c r="S855" s="97"/>
      <c r="T855" s="97"/>
    </row>
    <row r="856" spans="1:20" s="110" customFormat="1" ht="12.75" customHeight="1">
      <c r="A856" s="501"/>
      <c r="B856" s="109">
        <v>3</v>
      </c>
      <c r="C856" s="16" t="s">
        <v>328</v>
      </c>
      <c r="D856" s="32">
        <v>48</v>
      </c>
      <c r="E856" s="32" t="s">
        <v>329</v>
      </c>
      <c r="F856" s="578">
        <v>19.8</v>
      </c>
      <c r="G856" s="578">
        <v>4.177</v>
      </c>
      <c r="H856" s="578">
        <v>7.36</v>
      </c>
      <c r="I856" s="578">
        <v>8.263</v>
      </c>
      <c r="J856" s="265">
        <v>2591.49</v>
      </c>
      <c r="K856" s="183">
        <v>19.8</v>
      </c>
      <c r="L856" s="265">
        <v>2591.5</v>
      </c>
      <c r="M856" s="156">
        <f t="shared" si="113"/>
        <v>0.007640362724290951</v>
      </c>
      <c r="N856" s="157">
        <v>225</v>
      </c>
      <c r="O856" s="155">
        <f t="shared" si="114"/>
        <v>1.719081612965464</v>
      </c>
      <c r="P856" s="357">
        <f t="shared" si="115"/>
        <v>458.42176345745713</v>
      </c>
      <c r="Q856" s="1175">
        <f t="shared" si="116"/>
        <v>103.14489677792785</v>
      </c>
      <c r="S856" s="97"/>
      <c r="T856" s="97"/>
    </row>
    <row r="857" spans="1:20" ht="12.75" customHeight="1">
      <c r="A857" s="501"/>
      <c r="B857" s="32">
        <v>4</v>
      </c>
      <c r="C857" s="16" t="s">
        <v>738</v>
      </c>
      <c r="D857" s="32">
        <v>40</v>
      </c>
      <c r="E857" s="32">
        <v>1977</v>
      </c>
      <c r="F857" s="578">
        <v>16.2</v>
      </c>
      <c r="G857" s="578">
        <v>2.631</v>
      </c>
      <c r="H857" s="578">
        <v>6.4</v>
      </c>
      <c r="I857" s="578">
        <v>7.169</v>
      </c>
      <c r="J857" s="265">
        <v>2091.27</v>
      </c>
      <c r="K857" s="183">
        <v>16.2</v>
      </c>
      <c r="L857" s="265">
        <v>2091.3</v>
      </c>
      <c r="M857" s="156">
        <f t="shared" si="113"/>
        <v>0.007746377851097402</v>
      </c>
      <c r="N857" s="157">
        <v>225</v>
      </c>
      <c r="O857" s="155">
        <f t="shared" si="114"/>
        <v>1.7429350164969155</v>
      </c>
      <c r="P857" s="357">
        <f t="shared" si="115"/>
        <v>464.78267106584417</v>
      </c>
      <c r="Q857" s="1175">
        <f t="shared" si="116"/>
        <v>104.57610098981493</v>
      </c>
      <c r="S857" s="97"/>
      <c r="T857" s="97"/>
    </row>
    <row r="858" spans="1:20" ht="12.75" customHeight="1">
      <c r="A858" s="501"/>
      <c r="B858" s="32">
        <v>5</v>
      </c>
      <c r="C858" s="16" t="s">
        <v>739</v>
      </c>
      <c r="D858" s="32">
        <v>50</v>
      </c>
      <c r="E858" s="32">
        <v>1969</v>
      </c>
      <c r="F858" s="578">
        <v>21.2</v>
      </c>
      <c r="G858" s="578">
        <v>6.281</v>
      </c>
      <c r="H858" s="578">
        <v>6.85</v>
      </c>
      <c r="I858" s="578">
        <v>8.069</v>
      </c>
      <c r="J858" s="265">
        <v>2594.32</v>
      </c>
      <c r="K858" s="183">
        <v>21.2</v>
      </c>
      <c r="L858" s="265">
        <v>2594.3</v>
      </c>
      <c r="M858" s="156">
        <f t="shared" si="113"/>
        <v>0.00817176116871603</v>
      </c>
      <c r="N858" s="157">
        <v>225</v>
      </c>
      <c r="O858" s="155">
        <f t="shared" si="114"/>
        <v>1.838646262961107</v>
      </c>
      <c r="P858" s="357">
        <f t="shared" si="115"/>
        <v>490.3056701229618</v>
      </c>
      <c r="Q858" s="1175">
        <f t="shared" si="116"/>
        <v>110.3187757776664</v>
      </c>
      <c r="S858" s="97"/>
      <c r="T858" s="97"/>
    </row>
    <row r="859" spans="1:20" ht="12.75" customHeight="1">
      <c r="A859" s="501"/>
      <c r="B859" s="32">
        <v>6</v>
      </c>
      <c r="C859" s="16" t="s">
        <v>740</v>
      </c>
      <c r="D859" s="32">
        <v>10</v>
      </c>
      <c r="E859" s="32">
        <v>1974</v>
      </c>
      <c r="F859" s="578">
        <v>5.771</v>
      </c>
      <c r="G859" s="578">
        <v>1.63</v>
      </c>
      <c r="H859" s="578">
        <v>1.6</v>
      </c>
      <c r="I859" s="578">
        <v>2.541</v>
      </c>
      <c r="J859" s="265">
        <v>684.27</v>
      </c>
      <c r="K859" s="183">
        <v>5.8</v>
      </c>
      <c r="L859" s="265">
        <v>684.3</v>
      </c>
      <c r="M859" s="156">
        <f t="shared" si="113"/>
        <v>0.008475814701154464</v>
      </c>
      <c r="N859" s="157">
        <v>225</v>
      </c>
      <c r="O859" s="155">
        <f t="shared" si="114"/>
        <v>1.9070583077597545</v>
      </c>
      <c r="P859" s="357">
        <f t="shared" si="115"/>
        <v>508.54888206926785</v>
      </c>
      <c r="Q859" s="1175">
        <f t="shared" si="116"/>
        <v>114.42349846558525</v>
      </c>
      <c r="S859" s="97"/>
      <c r="T859" s="97"/>
    </row>
    <row r="860" spans="1:20" ht="12.75" customHeight="1">
      <c r="A860" s="501"/>
      <c r="B860" s="32">
        <v>7</v>
      </c>
      <c r="C860" s="242"/>
      <c r="D860" s="294"/>
      <c r="E860" s="294"/>
      <c r="F860" s="1238"/>
      <c r="G860" s="1238"/>
      <c r="H860" s="1238"/>
      <c r="I860" s="1238"/>
      <c r="J860" s="1240"/>
      <c r="K860" s="1238"/>
      <c r="L860" s="1240"/>
      <c r="M860" s="189"/>
      <c r="N860" s="188"/>
      <c r="O860" s="190"/>
      <c r="P860" s="249"/>
      <c r="Q860" s="191"/>
      <c r="S860" s="97"/>
      <c r="T860" s="97"/>
    </row>
    <row r="861" spans="1:20" ht="13.5" customHeight="1">
      <c r="A861" s="501"/>
      <c r="B861" s="32">
        <v>8</v>
      </c>
      <c r="C861" s="242"/>
      <c r="D861" s="294"/>
      <c r="E861" s="294"/>
      <c r="F861" s="1238"/>
      <c r="G861" s="1238"/>
      <c r="H861" s="1238"/>
      <c r="I861" s="1238"/>
      <c r="J861" s="1240"/>
      <c r="K861" s="1238"/>
      <c r="L861" s="1240"/>
      <c r="M861" s="189"/>
      <c r="N861" s="188"/>
      <c r="O861" s="190"/>
      <c r="P861" s="249"/>
      <c r="Q861" s="191"/>
      <c r="S861" s="97"/>
      <c r="T861" s="97"/>
    </row>
    <row r="862" spans="1:20" ht="12.75" customHeight="1">
      <c r="A862" s="501"/>
      <c r="B862" s="32">
        <v>9</v>
      </c>
      <c r="C862" s="242"/>
      <c r="D862" s="294"/>
      <c r="E862" s="294"/>
      <c r="F862" s="1238"/>
      <c r="G862" s="1238"/>
      <c r="H862" s="1238"/>
      <c r="I862" s="1238"/>
      <c r="J862" s="1240"/>
      <c r="K862" s="1238"/>
      <c r="L862" s="1240"/>
      <c r="M862" s="189"/>
      <c r="N862" s="188"/>
      <c r="O862" s="190"/>
      <c r="P862" s="249"/>
      <c r="Q862" s="191"/>
      <c r="S862" s="97"/>
      <c r="T862" s="97"/>
    </row>
    <row r="863" spans="1:20" ht="13.5" customHeight="1" thickBot="1">
      <c r="A863" s="502"/>
      <c r="B863" s="70">
        <v>10</v>
      </c>
      <c r="C863" s="243"/>
      <c r="D863" s="295"/>
      <c r="E863" s="295"/>
      <c r="F863" s="1239"/>
      <c r="G863" s="1239"/>
      <c r="H863" s="1239"/>
      <c r="I863" s="1239"/>
      <c r="J863" s="1241"/>
      <c r="K863" s="1239"/>
      <c r="L863" s="1241"/>
      <c r="M863" s="193"/>
      <c r="N863" s="192"/>
      <c r="O863" s="250"/>
      <c r="P863" s="194"/>
      <c r="Q863" s="195"/>
      <c r="S863" s="97"/>
      <c r="T863" s="97"/>
    </row>
    <row r="864" spans="1:20" ht="12.75">
      <c r="A864" s="504" t="s">
        <v>29</v>
      </c>
      <c r="B864" s="73">
        <v>1</v>
      </c>
      <c r="C864" s="35" t="s">
        <v>332</v>
      </c>
      <c r="D864" s="36">
        <v>10</v>
      </c>
      <c r="E864" s="36">
        <v>1945</v>
      </c>
      <c r="F864" s="608">
        <v>2.294</v>
      </c>
      <c r="G864" s="608">
        <v>0.842</v>
      </c>
      <c r="H864" s="608">
        <v>0</v>
      </c>
      <c r="I864" s="609">
        <v>1.452</v>
      </c>
      <c r="J864" s="951">
        <v>256.65</v>
      </c>
      <c r="K864" s="608">
        <v>2.3</v>
      </c>
      <c r="L864" s="951">
        <v>256.7</v>
      </c>
      <c r="M864" s="184">
        <f aca="true" t="shared" si="117" ref="M864:M893">K864/L864</f>
        <v>0.008959875340864823</v>
      </c>
      <c r="N864" s="185">
        <v>225</v>
      </c>
      <c r="O864" s="185">
        <f aca="true" t="shared" si="118" ref="O864:O893">M864*N864</f>
        <v>2.0159719516945853</v>
      </c>
      <c r="P864" s="185">
        <f aca="true" t="shared" si="119" ref="P864:P893">M864*60*1000</f>
        <v>537.5925204518894</v>
      </c>
      <c r="Q864" s="259">
        <f aca="true" t="shared" si="120" ref="Q864:Q893">P864*N864/1000</f>
        <v>120.95831710167512</v>
      </c>
      <c r="S864" s="97"/>
      <c r="T864" s="97"/>
    </row>
    <row r="865" spans="1:20" s="110" customFormat="1" ht="12.75">
      <c r="A865" s="463"/>
      <c r="B865" s="120">
        <v>2</v>
      </c>
      <c r="C865" s="35" t="s">
        <v>741</v>
      </c>
      <c r="D865" s="36">
        <v>51</v>
      </c>
      <c r="E865" s="36">
        <v>1973</v>
      </c>
      <c r="F865" s="609">
        <v>25.9</v>
      </c>
      <c r="G865" s="609">
        <v>3.966</v>
      </c>
      <c r="H865" s="609">
        <v>8</v>
      </c>
      <c r="I865" s="609">
        <v>13.934</v>
      </c>
      <c r="J865" s="135">
        <v>2555.25</v>
      </c>
      <c r="K865" s="609">
        <v>25.9</v>
      </c>
      <c r="L865" s="135">
        <v>2555.3</v>
      </c>
      <c r="M865" s="184">
        <f t="shared" si="117"/>
        <v>0.010135796188314483</v>
      </c>
      <c r="N865" s="163">
        <v>225</v>
      </c>
      <c r="O865" s="185">
        <f t="shared" si="118"/>
        <v>2.2805541423707587</v>
      </c>
      <c r="P865" s="185">
        <f t="shared" si="119"/>
        <v>608.147771298869</v>
      </c>
      <c r="Q865" s="259">
        <f t="shared" si="120"/>
        <v>136.8332485422455</v>
      </c>
      <c r="S865" s="111"/>
      <c r="T865" s="111"/>
    </row>
    <row r="866" spans="1:20" ht="12.75">
      <c r="A866" s="463"/>
      <c r="B866" s="36">
        <v>3</v>
      </c>
      <c r="C866" s="35" t="s">
        <v>742</v>
      </c>
      <c r="D866" s="36">
        <v>40</v>
      </c>
      <c r="E866" s="36">
        <v>1979</v>
      </c>
      <c r="F866" s="609">
        <v>22.158</v>
      </c>
      <c r="G866" s="609">
        <v>3.609</v>
      </c>
      <c r="H866" s="609">
        <v>6.4</v>
      </c>
      <c r="I866" s="609">
        <v>12.149</v>
      </c>
      <c r="J866" s="135">
        <v>2184.18</v>
      </c>
      <c r="K866" s="609">
        <v>22.2</v>
      </c>
      <c r="L866" s="135">
        <v>2184.2</v>
      </c>
      <c r="M866" s="164">
        <f t="shared" si="117"/>
        <v>0.010163904404358576</v>
      </c>
      <c r="N866" s="163">
        <v>225</v>
      </c>
      <c r="O866" s="185">
        <f t="shared" si="118"/>
        <v>2.2868784909806794</v>
      </c>
      <c r="P866" s="185">
        <f t="shared" si="119"/>
        <v>609.8342642615146</v>
      </c>
      <c r="Q866" s="251">
        <f t="shared" si="120"/>
        <v>137.21270945884078</v>
      </c>
      <c r="S866" s="97"/>
      <c r="T866" s="97"/>
    </row>
    <row r="867" spans="1:20" ht="12.75">
      <c r="A867" s="463"/>
      <c r="B867" s="36">
        <v>4</v>
      </c>
      <c r="C867" s="35" t="s">
        <v>743</v>
      </c>
      <c r="D867" s="36">
        <v>40</v>
      </c>
      <c r="E867" s="36">
        <v>1976</v>
      </c>
      <c r="F867" s="609">
        <v>19.9</v>
      </c>
      <c r="G867" s="609">
        <v>2.659</v>
      </c>
      <c r="H867" s="609">
        <v>6.4</v>
      </c>
      <c r="I867" s="609">
        <v>10.841</v>
      </c>
      <c r="J867" s="135">
        <v>1914.5</v>
      </c>
      <c r="K867" s="609">
        <v>19.9</v>
      </c>
      <c r="L867" s="135">
        <v>1914.5</v>
      </c>
      <c r="M867" s="164">
        <f t="shared" si="117"/>
        <v>0.01039435884042831</v>
      </c>
      <c r="N867" s="163">
        <v>225</v>
      </c>
      <c r="O867" s="163">
        <f t="shared" si="118"/>
        <v>2.33873073909637</v>
      </c>
      <c r="P867" s="185">
        <f t="shared" si="119"/>
        <v>623.6615304256986</v>
      </c>
      <c r="Q867" s="251">
        <f t="shared" si="120"/>
        <v>140.3238443457822</v>
      </c>
      <c r="S867" s="97"/>
      <c r="T867" s="97"/>
    </row>
    <row r="868" spans="1:20" ht="12.75">
      <c r="A868" s="463"/>
      <c r="B868" s="36">
        <v>5</v>
      </c>
      <c r="C868" s="35" t="s">
        <v>744</v>
      </c>
      <c r="D868" s="36">
        <v>41</v>
      </c>
      <c r="E868" s="36">
        <v>1983</v>
      </c>
      <c r="F868" s="609">
        <v>23.1</v>
      </c>
      <c r="G868" s="609">
        <v>4.169</v>
      </c>
      <c r="H868" s="609">
        <v>6.4</v>
      </c>
      <c r="I868" s="609">
        <v>12.531</v>
      </c>
      <c r="J868" s="135">
        <v>2218.33</v>
      </c>
      <c r="K868" s="609">
        <v>23.1</v>
      </c>
      <c r="L868" s="135">
        <v>2218.3</v>
      </c>
      <c r="M868" s="164">
        <f t="shared" si="117"/>
        <v>0.01041337961502051</v>
      </c>
      <c r="N868" s="163">
        <v>225</v>
      </c>
      <c r="O868" s="163">
        <f t="shared" si="118"/>
        <v>2.343010413379615</v>
      </c>
      <c r="P868" s="185">
        <f t="shared" si="119"/>
        <v>624.8027769012307</v>
      </c>
      <c r="Q868" s="251">
        <f t="shared" si="120"/>
        <v>140.5806248027769</v>
      </c>
      <c r="S868" s="97"/>
      <c r="T868" s="97"/>
    </row>
    <row r="869" spans="1:20" ht="12.75">
      <c r="A869" s="463"/>
      <c r="B869" s="36">
        <v>6</v>
      </c>
      <c r="C869" s="35" t="s">
        <v>745</v>
      </c>
      <c r="D869" s="36">
        <v>40</v>
      </c>
      <c r="E869" s="36">
        <v>1980</v>
      </c>
      <c r="F869" s="609">
        <v>20.6</v>
      </c>
      <c r="G869" s="609">
        <v>3.033</v>
      </c>
      <c r="H869" s="609">
        <v>6.4</v>
      </c>
      <c r="I869" s="609">
        <v>11.167</v>
      </c>
      <c r="J869" s="135">
        <v>1961.63</v>
      </c>
      <c r="K869" s="609">
        <v>20.6</v>
      </c>
      <c r="L869" s="135">
        <v>1961.6</v>
      </c>
      <c r="M869" s="164">
        <f t="shared" si="117"/>
        <v>0.010501631321370311</v>
      </c>
      <c r="N869" s="163">
        <v>225</v>
      </c>
      <c r="O869" s="163">
        <f t="shared" si="118"/>
        <v>2.36286704730832</v>
      </c>
      <c r="P869" s="185">
        <f t="shared" si="119"/>
        <v>630.0978792822187</v>
      </c>
      <c r="Q869" s="251">
        <f t="shared" si="120"/>
        <v>141.77202283849923</v>
      </c>
      <c r="S869" s="97"/>
      <c r="T869" s="97"/>
    </row>
    <row r="870" spans="1:20" ht="12.75">
      <c r="A870" s="463"/>
      <c r="B870" s="36">
        <v>7</v>
      </c>
      <c r="C870" s="35" t="s">
        <v>746</v>
      </c>
      <c r="D870" s="36">
        <v>40</v>
      </c>
      <c r="E870" s="36"/>
      <c r="F870" s="609">
        <v>20.465</v>
      </c>
      <c r="G870" s="609">
        <v>3.252</v>
      </c>
      <c r="H870" s="609">
        <v>6.4</v>
      </c>
      <c r="I870" s="609">
        <v>10.813</v>
      </c>
      <c r="J870" s="135">
        <v>1916.2</v>
      </c>
      <c r="K870" s="609">
        <v>20.5</v>
      </c>
      <c r="L870" s="135">
        <v>1916.2</v>
      </c>
      <c r="M870" s="164">
        <f t="shared" si="117"/>
        <v>0.010698256966913683</v>
      </c>
      <c r="N870" s="163">
        <v>225</v>
      </c>
      <c r="O870" s="163">
        <f t="shared" si="118"/>
        <v>2.4071078175555787</v>
      </c>
      <c r="P870" s="185">
        <f t="shared" si="119"/>
        <v>641.895418014821</v>
      </c>
      <c r="Q870" s="251">
        <f t="shared" si="120"/>
        <v>144.4264690533347</v>
      </c>
      <c r="S870" s="97"/>
      <c r="T870" s="97"/>
    </row>
    <row r="871" spans="1:20" ht="12.75">
      <c r="A871" s="463"/>
      <c r="B871" s="36">
        <v>8</v>
      </c>
      <c r="C871" s="35" t="s">
        <v>747</v>
      </c>
      <c r="D871" s="36">
        <v>40</v>
      </c>
      <c r="E871" s="36">
        <v>1975</v>
      </c>
      <c r="F871" s="609">
        <v>20.223</v>
      </c>
      <c r="G871" s="609">
        <v>3.652</v>
      </c>
      <c r="H871" s="609">
        <v>6.25</v>
      </c>
      <c r="I871" s="609">
        <v>10.321</v>
      </c>
      <c r="J871" s="135">
        <v>1883.15</v>
      </c>
      <c r="K871" s="609">
        <v>20.2</v>
      </c>
      <c r="L871" s="135">
        <v>1883.2</v>
      </c>
      <c r="M871" s="164">
        <f t="shared" si="117"/>
        <v>0.01072642310960068</v>
      </c>
      <c r="N871" s="163">
        <v>225</v>
      </c>
      <c r="O871" s="163">
        <f t="shared" si="118"/>
        <v>2.413445199660153</v>
      </c>
      <c r="P871" s="185">
        <f t="shared" si="119"/>
        <v>643.5853865760408</v>
      </c>
      <c r="Q871" s="251">
        <f t="shared" si="120"/>
        <v>144.8067119796092</v>
      </c>
      <c r="S871" s="97"/>
      <c r="T871" s="97"/>
    </row>
    <row r="872" spans="1:20" ht="12.75">
      <c r="A872" s="505"/>
      <c r="B872" s="74">
        <v>9</v>
      </c>
      <c r="C872" s="35" t="s">
        <v>748</v>
      </c>
      <c r="D872" s="36">
        <v>41</v>
      </c>
      <c r="E872" s="36">
        <v>1980</v>
      </c>
      <c r="F872" s="609">
        <v>24</v>
      </c>
      <c r="G872" s="609">
        <v>4.9</v>
      </c>
      <c r="H872" s="609">
        <v>6.4</v>
      </c>
      <c r="I872" s="609">
        <v>12.7</v>
      </c>
      <c r="J872" s="135">
        <v>2183.94</v>
      </c>
      <c r="K872" s="609">
        <v>24</v>
      </c>
      <c r="L872" s="135">
        <v>2183.9</v>
      </c>
      <c r="M872" s="164">
        <f t="shared" si="117"/>
        <v>0.010989514171894317</v>
      </c>
      <c r="N872" s="163">
        <v>225</v>
      </c>
      <c r="O872" s="163">
        <f t="shared" si="118"/>
        <v>2.4726406886762216</v>
      </c>
      <c r="P872" s="185">
        <f t="shared" si="119"/>
        <v>659.370850313659</v>
      </c>
      <c r="Q872" s="251">
        <f t="shared" si="120"/>
        <v>148.3584413205733</v>
      </c>
      <c r="S872" s="97"/>
      <c r="T872" s="97"/>
    </row>
    <row r="873" spans="1:20" ht="13.5" customHeight="1" thickBot="1">
      <c r="A873" s="464"/>
      <c r="B873" s="39">
        <v>10</v>
      </c>
      <c r="C873" s="91" t="s">
        <v>331</v>
      </c>
      <c r="D873" s="39">
        <v>30</v>
      </c>
      <c r="E873" s="39">
        <v>1988</v>
      </c>
      <c r="F873" s="613">
        <v>17.904</v>
      </c>
      <c r="G873" s="613">
        <v>3.718</v>
      </c>
      <c r="H873" s="613">
        <v>4.8</v>
      </c>
      <c r="I873" s="613">
        <v>9.386</v>
      </c>
      <c r="J873" s="276">
        <v>1594.58</v>
      </c>
      <c r="K873" s="613">
        <v>17.9</v>
      </c>
      <c r="L873" s="276">
        <v>1594.6</v>
      </c>
      <c r="M873" s="332">
        <f t="shared" si="117"/>
        <v>0.011225385676658723</v>
      </c>
      <c r="N873" s="260">
        <v>225</v>
      </c>
      <c r="O873" s="260">
        <f t="shared" si="118"/>
        <v>2.5257117772482127</v>
      </c>
      <c r="P873" s="260">
        <f t="shared" si="119"/>
        <v>673.5231405995233</v>
      </c>
      <c r="Q873" s="261">
        <f t="shared" si="120"/>
        <v>151.54270663489277</v>
      </c>
      <c r="S873" s="97"/>
      <c r="T873" s="97"/>
    </row>
    <row r="874" spans="1:20" ht="12.75">
      <c r="A874" s="701" t="s">
        <v>30</v>
      </c>
      <c r="B874" s="366">
        <v>1</v>
      </c>
      <c r="C874" s="627" t="s">
        <v>319</v>
      </c>
      <c r="D874" s="366">
        <v>8</v>
      </c>
      <c r="E874" s="366">
        <v>1959</v>
      </c>
      <c r="F874" s="671">
        <v>4.832</v>
      </c>
      <c r="G874" s="671">
        <v>0.255</v>
      </c>
      <c r="H874" s="671">
        <v>1.2</v>
      </c>
      <c r="I874" s="671">
        <v>3.377</v>
      </c>
      <c r="J874" s="952">
        <v>366.96</v>
      </c>
      <c r="K874" s="671">
        <v>4.8</v>
      </c>
      <c r="L874" s="918">
        <v>367</v>
      </c>
      <c r="M874" s="675">
        <f t="shared" si="117"/>
        <v>0.013079019073569481</v>
      </c>
      <c r="N874" s="674">
        <v>225</v>
      </c>
      <c r="O874" s="674">
        <f t="shared" si="118"/>
        <v>2.9427792915531334</v>
      </c>
      <c r="P874" s="674">
        <f t="shared" si="119"/>
        <v>784.7411444141688</v>
      </c>
      <c r="Q874" s="676">
        <f t="shared" si="120"/>
        <v>176.566757493188</v>
      </c>
      <c r="S874" s="97"/>
      <c r="T874" s="97"/>
    </row>
    <row r="875" spans="1:20" ht="12.75">
      <c r="A875" s="631"/>
      <c r="B875" s="367">
        <v>2</v>
      </c>
      <c r="C875" s="633" t="s">
        <v>337</v>
      </c>
      <c r="D875" s="367">
        <v>10</v>
      </c>
      <c r="E875" s="367"/>
      <c r="F875" s="677">
        <v>7.3</v>
      </c>
      <c r="G875" s="677">
        <v>0.611</v>
      </c>
      <c r="H875" s="677">
        <v>1.6</v>
      </c>
      <c r="I875" s="677">
        <v>5.089</v>
      </c>
      <c r="J875" s="652">
        <v>548.41</v>
      </c>
      <c r="K875" s="677">
        <v>7.3</v>
      </c>
      <c r="L875" s="652">
        <v>548.4</v>
      </c>
      <c r="M875" s="679">
        <f t="shared" si="117"/>
        <v>0.013311451495258935</v>
      </c>
      <c r="N875" s="678">
        <v>225</v>
      </c>
      <c r="O875" s="678">
        <f t="shared" si="118"/>
        <v>2.9950765864332602</v>
      </c>
      <c r="P875" s="674">
        <f t="shared" si="119"/>
        <v>798.687089715536</v>
      </c>
      <c r="Q875" s="680">
        <f t="shared" si="120"/>
        <v>179.7045951859956</v>
      </c>
      <c r="S875" s="97"/>
      <c r="T875" s="97"/>
    </row>
    <row r="876" spans="1:20" ht="12.75">
      <c r="A876" s="631"/>
      <c r="B876" s="367">
        <v>3</v>
      </c>
      <c r="C876" s="633" t="s">
        <v>336</v>
      </c>
      <c r="D876" s="367">
        <v>10</v>
      </c>
      <c r="E876" s="367">
        <v>1976</v>
      </c>
      <c r="F876" s="677">
        <v>5.5</v>
      </c>
      <c r="G876" s="677">
        <v>0.153</v>
      </c>
      <c r="H876" s="677">
        <v>0</v>
      </c>
      <c r="I876" s="677">
        <v>5.347</v>
      </c>
      <c r="J876" s="652">
        <v>411.49</v>
      </c>
      <c r="K876" s="677">
        <v>5.5</v>
      </c>
      <c r="L876" s="652">
        <v>411.5</v>
      </c>
      <c r="M876" s="679">
        <f t="shared" si="117"/>
        <v>0.013365735115431349</v>
      </c>
      <c r="N876" s="678">
        <v>225</v>
      </c>
      <c r="O876" s="678">
        <f t="shared" si="118"/>
        <v>3.0072904009720536</v>
      </c>
      <c r="P876" s="674">
        <f t="shared" si="119"/>
        <v>801.9441069258809</v>
      </c>
      <c r="Q876" s="680">
        <f t="shared" si="120"/>
        <v>180.4374240583232</v>
      </c>
      <c r="S876" s="97"/>
      <c r="T876" s="97"/>
    </row>
    <row r="877" spans="1:20" ht="12.75">
      <c r="A877" s="631"/>
      <c r="B877" s="367">
        <v>4</v>
      </c>
      <c r="C877" s="633" t="s">
        <v>749</v>
      </c>
      <c r="D877" s="367">
        <v>21</v>
      </c>
      <c r="E877" s="367">
        <v>1960</v>
      </c>
      <c r="F877" s="677">
        <v>15</v>
      </c>
      <c r="G877" s="677">
        <v>1.732</v>
      </c>
      <c r="H877" s="677">
        <v>3.002</v>
      </c>
      <c r="I877" s="677">
        <v>10.266</v>
      </c>
      <c r="J877" s="652">
        <v>1114.27</v>
      </c>
      <c r="K877" s="677">
        <v>15</v>
      </c>
      <c r="L877" s="652">
        <v>1114.3</v>
      </c>
      <c r="M877" s="679">
        <f t="shared" si="117"/>
        <v>0.013461365879924617</v>
      </c>
      <c r="N877" s="678">
        <v>225</v>
      </c>
      <c r="O877" s="678">
        <f t="shared" si="118"/>
        <v>3.028807322983039</v>
      </c>
      <c r="P877" s="674">
        <f t="shared" si="119"/>
        <v>807.6819527954771</v>
      </c>
      <c r="Q877" s="680">
        <f t="shared" si="120"/>
        <v>181.72843937898236</v>
      </c>
      <c r="S877" s="97"/>
      <c r="T877" s="97"/>
    </row>
    <row r="878" spans="1:20" ht="12.75">
      <c r="A878" s="631"/>
      <c r="B878" s="367">
        <v>5</v>
      </c>
      <c r="C878" s="633" t="s">
        <v>750</v>
      </c>
      <c r="D878" s="367">
        <v>25</v>
      </c>
      <c r="E878" s="367">
        <v>1986</v>
      </c>
      <c r="F878" s="677">
        <v>17</v>
      </c>
      <c r="G878" s="677">
        <v>2.03</v>
      </c>
      <c r="H878" s="677">
        <v>3.603</v>
      </c>
      <c r="I878" s="677">
        <v>11.367</v>
      </c>
      <c r="J878" s="652">
        <v>1235.86</v>
      </c>
      <c r="K878" s="677">
        <v>17</v>
      </c>
      <c r="L878" s="652">
        <v>1235.9</v>
      </c>
      <c r="M878" s="679">
        <f t="shared" si="117"/>
        <v>0.013755158184319119</v>
      </c>
      <c r="N878" s="678">
        <v>225</v>
      </c>
      <c r="O878" s="678">
        <f t="shared" si="118"/>
        <v>3.094910591471802</v>
      </c>
      <c r="P878" s="674">
        <f t="shared" si="119"/>
        <v>825.3094910591471</v>
      </c>
      <c r="Q878" s="680">
        <f t="shared" si="120"/>
        <v>185.6946354883081</v>
      </c>
      <c r="S878" s="97"/>
      <c r="T878" s="97"/>
    </row>
    <row r="879" spans="1:20" ht="12.75">
      <c r="A879" s="631"/>
      <c r="B879" s="367">
        <v>6</v>
      </c>
      <c r="C879" s="633" t="s">
        <v>751</v>
      </c>
      <c r="D879" s="367">
        <v>52</v>
      </c>
      <c r="E879" s="367">
        <v>1976</v>
      </c>
      <c r="F879" s="677">
        <v>21.55</v>
      </c>
      <c r="G879" s="677">
        <v>5.533</v>
      </c>
      <c r="H879" s="677">
        <v>0.49</v>
      </c>
      <c r="I879" s="677">
        <v>15.527</v>
      </c>
      <c r="J879" s="652">
        <v>1558.56</v>
      </c>
      <c r="K879" s="677">
        <v>21.6</v>
      </c>
      <c r="L879" s="652">
        <v>1558.6</v>
      </c>
      <c r="M879" s="679">
        <f t="shared" si="117"/>
        <v>0.013858591043243938</v>
      </c>
      <c r="N879" s="678">
        <v>225</v>
      </c>
      <c r="O879" s="678">
        <f t="shared" si="118"/>
        <v>3.118182984729886</v>
      </c>
      <c r="P879" s="674">
        <f t="shared" si="119"/>
        <v>831.5154625946362</v>
      </c>
      <c r="Q879" s="680">
        <f t="shared" si="120"/>
        <v>187.09097908379314</v>
      </c>
      <c r="S879" s="97"/>
      <c r="T879" s="97"/>
    </row>
    <row r="880" spans="1:20" ht="12.75">
      <c r="A880" s="631"/>
      <c r="B880" s="367">
        <v>7</v>
      </c>
      <c r="C880" s="633" t="s">
        <v>752</v>
      </c>
      <c r="D880" s="367">
        <v>13</v>
      </c>
      <c r="E880" s="367">
        <v>1950</v>
      </c>
      <c r="F880" s="677">
        <v>8.438</v>
      </c>
      <c r="G880" s="677">
        <v>1.019</v>
      </c>
      <c r="H880" s="677">
        <v>1.84</v>
      </c>
      <c r="I880" s="677">
        <v>5.579</v>
      </c>
      <c r="J880" s="652">
        <v>580.31</v>
      </c>
      <c r="K880" s="677">
        <v>8.4</v>
      </c>
      <c r="L880" s="652">
        <v>580.3</v>
      </c>
      <c r="M880" s="679">
        <f t="shared" si="117"/>
        <v>0.014475271411338964</v>
      </c>
      <c r="N880" s="678">
        <v>225</v>
      </c>
      <c r="O880" s="678">
        <f t="shared" si="118"/>
        <v>3.256936067551267</v>
      </c>
      <c r="P880" s="674">
        <f t="shared" si="119"/>
        <v>868.5162846803378</v>
      </c>
      <c r="Q880" s="680">
        <f t="shared" si="120"/>
        <v>195.41616405307602</v>
      </c>
      <c r="S880" s="97"/>
      <c r="T880" s="97"/>
    </row>
    <row r="881" spans="1:20" ht="12.75">
      <c r="A881" s="631"/>
      <c r="B881" s="367">
        <v>8</v>
      </c>
      <c r="C881" s="633" t="s">
        <v>753</v>
      </c>
      <c r="D881" s="367">
        <v>20</v>
      </c>
      <c r="E881" s="367">
        <v>1992</v>
      </c>
      <c r="F881" s="677">
        <v>15.999</v>
      </c>
      <c r="G881" s="677">
        <v>2.422</v>
      </c>
      <c r="H881" s="677">
        <v>3.002</v>
      </c>
      <c r="I881" s="677">
        <v>10.575</v>
      </c>
      <c r="J881" s="652">
        <v>1101.98</v>
      </c>
      <c r="K881" s="677">
        <v>16</v>
      </c>
      <c r="L881" s="652">
        <v>1102</v>
      </c>
      <c r="M881" s="679">
        <f t="shared" si="117"/>
        <v>0.014519056261343012</v>
      </c>
      <c r="N881" s="678">
        <v>225</v>
      </c>
      <c r="O881" s="678">
        <f t="shared" si="118"/>
        <v>3.2667876588021776</v>
      </c>
      <c r="P881" s="674">
        <f t="shared" si="119"/>
        <v>871.1433756805808</v>
      </c>
      <c r="Q881" s="680">
        <f t="shared" si="120"/>
        <v>196.00725952813067</v>
      </c>
      <c r="S881" s="97"/>
      <c r="T881" s="97"/>
    </row>
    <row r="882" spans="1:20" ht="12.75">
      <c r="A882" s="705"/>
      <c r="B882" s="533">
        <v>9</v>
      </c>
      <c r="C882" s="633" t="s">
        <v>754</v>
      </c>
      <c r="D882" s="367">
        <v>25</v>
      </c>
      <c r="E882" s="367">
        <v>1988</v>
      </c>
      <c r="F882" s="677">
        <v>18</v>
      </c>
      <c r="G882" s="677">
        <v>2.405</v>
      </c>
      <c r="H882" s="677">
        <v>3.603</v>
      </c>
      <c r="I882" s="677">
        <v>11.992</v>
      </c>
      <c r="J882" s="652">
        <v>1235.36</v>
      </c>
      <c r="K882" s="677">
        <v>18</v>
      </c>
      <c r="L882" s="652">
        <v>1235.4</v>
      </c>
      <c r="M882" s="679">
        <f t="shared" si="117"/>
        <v>0.014570179698882952</v>
      </c>
      <c r="N882" s="678">
        <v>225</v>
      </c>
      <c r="O882" s="678">
        <f t="shared" si="118"/>
        <v>3.278290432248664</v>
      </c>
      <c r="P882" s="674">
        <f t="shared" si="119"/>
        <v>874.2107819329772</v>
      </c>
      <c r="Q882" s="680">
        <f t="shared" si="120"/>
        <v>196.69742593491986</v>
      </c>
      <c r="S882" s="97"/>
      <c r="T882" s="97"/>
    </row>
    <row r="883" spans="1:20" ht="13.5" thickBot="1">
      <c r="A883" s="638"/>
      <c r="B883" s="535">
        <v>10</v>
      </c>
      <c r="C883" s="640" t="s">
        <v>333</v>
      </c>
      <c r="D883" s="535">
        <v>19</v>
      </c>
      <c r="E883" s="535"/>
      <c r="F883" s="681">
        <v>17.2</v>
      </c>
      <c r="G883" s="681">
        <v>1.528</v>
      </c>
      <c r="H883" s="681">
        <v>2.88</v>
      </c>
      <c r="I883" s="681">
        <v>12.792</v>
      </c>
      <c r="J883" s="658">
        <v>1161.96</v>
      </c>
      <c r="K883" s="681">
        <v>17.2</v>
      </c>
      <c r="L883" s="658">
        <v>1162</v>
      </c>
      <c r="M883" s="684">
        <f t="shared" si="117"/>
        <v>0.014802065404475042</v>
      </c>
      <c r="N883" s="683">
        <v>225</v>
      </c>
      <c r="O883" s="683">
        <f t="shared" si="118"/>
        <v>3.3304647160068845</v>
      </c>
      <c r="P883" s="683">
        <f t="shared" si="119"/>
        <v>888.1239242685025</v>
      </c>
      <c r="Q883" s="685">
        <f t="shared" si="120"/>
        <v>199.82788296041306</v>
      </c>
      <c r="S883" s="97"/>
      <c r="T883" s="97"/>
    </row>
    <row r="884" spans="1:20" ht="12.75">
      <c r="A884" s="465" t="s">
        <v>12</v>
      </c>
      <c r="B884" s="40">
        <v>1</v>
      </c>
      <c r="C884" s="645" t="s">
        <v>330</v>
      </c>
      <c r="D884" s="40">
        <v>14</v>
      </c>
      <c r="E884" s="40"/>
      <c r="F884" s="733">
        <v>8.181</v>
      </c>
      <c r="G884" s="733">
        <v>1.949</v>
      </c>
      <c r="H884" s="733">
        <v>0</v>
      </c>
      <c r="I884" s="733">
        <v>6.232</v>
      </c>
      <c r="J884" s="953">
        <v>551.79</v>
      </c>
      <c r="K884" s="733">
        <v>8.2</v>
      </c>
      <c r="L884" s="922">
        <v>551.8</v>
      </c>
      <c r="M884" s="714">
        <f t="shared" si="117"/>
        <v>0.014860456687205509</v>
      </c>
      <c r="N884" s="715">
        <v>225</v>
      </c>
      <c r="O884" s="715">
        <f t="shared" si="118"/>
        <v>3.3436027546212395</v>
      </c>
      <c r="P884" s="715">
        <f t="shared" si="119"/>
        <v>891.6274012323305</v>
      </c>
      <c r="Q884" s="716">
        <f t="shared" si="120"/>
        <v>200.61616527727435</v>
      </c>
      <c r="S884" s="97"/>
      <c r="T884" s="97"/>
    </row>
    <row r="885" spans="1:20" ht="12.75">
      <c r="A885" s="509"/>
      <c r="B885" s="88">
        <v>2</v>
      </c>
      <c r="C885" s="52" t="s">
        <v>755</v>
      </c>
      <c r="D885" s="42">
        <v>36</v>
      </c>
      <c r="E885" s="42"/>
      <c r="F885" s="727">
        <v>22</v>
      </c>
      <c r="G885" s="727">
        <v>2.139</v>
      </c>
      <c r="H885" s="727">
        <v>5.179</v>
      </c>
      <c r="I885" s="727">
        <v>14.682</v>
      </c>
      <c r="J885" s="751">
        <v>1476.38</v>
      </c>
      <c r="K885" s="727">
        <v>22</v>
      </c>
      <c r="L885" s="751">
        <v>1476.4</v>
      </c>
      <c r="M885" s="721">
        <f t="shared" si="117"/>
        <v>0.014901110810078569</v>
      </c>
      <c r="N885" s="722">
        <v>225</v>
      </c>
      <c r="O885" s="722">
        <f t="shared" si="118"/>
        <v>3.352749932267678</v>
      </c>
      <c r="P885" s="715">
        <f t="shared" si="119"/>
        <v>894.0666486047141</v>
      </c>
      <c r="Q885" s="723">
        <f t="shared" si="120"/>
        <v>201.16499593606068</v>
      </c>
      <c r="S885" s="97"/>
      <c r="T885" s="97"/>
    </row>
    <row r="886" spans="1:20" ht="12.75">
      <c r="A886" s="509"/>
      <c r="B886" s="88">
        <v>3</v>
      </c>
      <c r="C886" s="52" t="s">
        <v>756</v>
      </c>
      <c r="D886" s="42">
        <v>35</v>
      </c>
      <c r="E886" s="42"/>
      <c r="F886" s="727">
        <v>23.001</v>
      </c>
      <c r="G886" s="727">
        <v>3.515</v>
      </c>
      <c r="H886" s="727">
        <v>5.254</v>
      </c>
      <c r="I886" s="727">
        <v>14.232</v>
      </c>
      <c r="J886" s="751">
        <v>1510.12</v>
      </c>
      <c r="K886" s="727">
        <v>23</v>
      </c>
      <c r="L886" s="751">
        <v>1510.1</v>
      </c>
      <c r="M886" s="721">
        <f t="shared" si="117"/>
        <v>0.015230779418581551</v>
      </c>
      <c r="N886" s="722">
        <v>225</v>
      </c>
      <c r="O886" s="722">
        <f t="shared" si="118"/>
        <v>3.4269253691808492</v>
      </c>
      <c r="P886" s="715">
        <f t="shared" si="119"/>
        <v>913.8467651148931</v>
      </c>
      <c r="Q886" s="723">
        <f t="shared" si="120"/>
        <v>205.61552215085095</v>
      </c>
      <c r="S886" s="97"/>
      <c r="T886" s="97"/>
    </row>
    <row r="887" spans="1:20" ht="12.75">
      <c r="A887" s="466"/>
      <c r="B887" s="42">
        <v>4</v>
      </c>
      <c r="C887" s="52" t="s">
        <v>339</v>
      </c>
      <c r="D887" s="42">
        <v>8</v>
      </c>
      <c r="E887" s="42">
        <v>1958</v>
      </c>
      <c r="F887" s="727">
        <v>5.815</v>
      </c>
      <c r="G887" s="727">
        <v>0.662</v>
      </c>
      <c r="H887" s="727">
        <v>1.12</v>
      </c>
      <c r="I887" s="727">
        <v>4.033</v>
      </c>
      <c r="J887" s="751">
        <v>356.49</v>
      </c>
      <c r="K887" s="727">
        <v>5.8</v>
      </c>
      <c r="L887" s="751">
        <v>356.5</v>
      </c>
      <c r="M887" s="721">
        <f t="shared" si="117"/>
        <v>0.016269284712482467</v>
      </c>
      <c r="N887" s="722">
        <v>225</v>
      </c>
      <c r="O887" s="722">
        <f t="shared" si="118"/>
        <v>3.6605890603085554</v>
      </c>
      <c r="P887" s="715">
        <f t="shared" si="119"/>
        <v>976.157082748948</v>
      </c>
      <c r="Q887" s="723">
        <f t="shared" si="120"/>
        <v>219.63534361851333</v>
      </c>
      <c r="S887" s="97"/>
      <c r="T887" s="97"/>
    </row>
    <row r="888" spans="1:20" ht="12.75">
      <c r="A888" s="466"/>
      <c r="B888" s="42">
        <v>5</v>
      </c>
      <c r="C888" s="52" t="s">
        <v>757</v>
      </c>
      <c r="D888" s="42">
        <v>8</v>
      </c>
      <c r="E888" s="42">
        <v>1960</v>
      </c>
      <c r="F888" s="727">
        <v>6.068</v>
      </c>
      <c r="G888" s="727">
        <v>0.611</v>
      </c>
      <c r="H888" s="727">
        <v>1.12</v>
      </c>
      <c r="I888" s="727">
        <v>4.337</v>
      </c>
      <c r="J888" s="751">
        <v>371.41</v>
      </c>
      <c r="K888" s="727">
        <v>6.1</v>
      </c>
      <c r="L888" s="751">
        <v>371.4</v>
      </c>
      <c r="M888" s="721">
        <f t="shared" si="117"/>
        <v>0.016424340333871836</v>
      </c>
      <c r="N888" s="722">
        <v>225</v>
      </c>
      <c r="O888" s="722">
        <f t="shared" si="118"/>
        <v>3.695476575121163</v>
      </c>
      <c r="P888" s="715">
        <f t="shared" si="119"/>
        <v>985.4604200323101</v>
      </c>
      <c r="Q888" s="723">
        <f t="shared" si="120"/>
        <v>221.7285945072698</v>
      </c>
      <c r="S888" s="97"/>
      <c r="T888" s="97"/>
    </row>
    <row r="889" spans="1:20" ht="12.75">
      <c r="A889" s="466"/>
      <c r="B889" s="42">
        <v>6</v>
      </c>
      <c r="C889" s="90" t="s">
        <v>758</v>
      </c>
      <c r="D889" s="42">
        <v>2</v>
      </c>
      <c r="E889" s="42"/>
      <c r="F889" s="727">
        <v>1.335</v>
      </c>
      <c r="G889" s="727">
        <v>0</v>
      </c>
      <c r="H889" s="727">
        <v>0</v>
      </c>
      <c r="I889" s="727">
        <v>1.335</v>
      </c>
      <c r="J889" s="751">
        <v>80.95</v>
      </c>
      <c r="K889" s="727">
        <v>1.335</v>
      </c>
      <c r="L889" s="751">
        <v>80.95</v>
      </c>
      <c r="M889" s="721">
        <f t="shared" si="117"/>
        <v>0.016491661519456455</v>
      </c>
      <c r="N889" s="42">
        <v>225</v>
      </c>
      <c r="O889" s="722">
        <f t="shared" si="118"/>
        <v>3.7106238418777022</v>
      </c>
      <c r="P889" s="715">
        <f t="shared" si="119"/>
        <v>989.4996911673873</v>
      </c>
      <c r="Q889" s="723">
        <f t="shared" si="120"/>
        <v>222.63743051266212</v>
      </c>
      <c r="S889" s="97"/>
      <c r="T889" s="97"/>
    </row>
    <row r="890" spans="1:20" ht="12.75">
      <c r="A890" s="466"/>
      <c r="B890" s="42">
        <v>7</v>
      </c>
      <c r="C890" s="52" t="s">
        <v>759</v>
      </c>
      <c r="D890" s="42">
        <v>36</v>
      </c>
      <c r="E890" s="42">
        <v>1969</v>
      </c>
      <c r="F890" s="727">
        <v>25</v>
      </c>
      <c r="G890" s="727">
        <v>2.947</v>
      </c>
      <c r="H890" s="727">
        <v>5.254</v>
      </c>
      <c r="I890" s="727">
        <v>16.799</v>
      </c>
      <c r="J890" s="751">
        <v>1512.63</v>
      </c>
      <c r="K890" s="727">
        <v>25</v>
      </c>
      <c r="L890" s="751">
        <v>1512.6</v>
      </c>
      <c r="M890" s="721">
        <f t="shared" si="117"/>
        <v>0.016527832870554014</v>
      </c>
      <c r="N890" s="722">
        <v>225</v>
      </c>
      <c r="O890" s="722">
        <f t="shared" si="118"/>
        <v>3.718762395874653</v>
      </c>
      <c r="P890" s="715">
        <f t="shared" si="119"/>
        <v>991.6699722332409</v>
      </c>
      <c r="Q890" s="723">
        <f t="shared" si="120"/>
        <v>223.1257437524792</v>
      </c>
      <c r="S890" s="97"/>
      <c r="T890" s="97"/>
    </row>
    <row r="891" spans="1:20" ht="12.75">
      <c r="A891" s="466"/>
      <c r="B891" s="42">
        <v>8</v>
      </c>
      <c r="C891" s="90" t="s">
        <v>334</v>
      </c>
      <c r="D891" s="42">
        <v>3</v>
      </c>
      <c r="E891" s="42">
        <v>1940</v>
      </c>
      <c r="F891" s="727">
        <v>1.973</v>
      </c>
      <c r="G891" s="727">
        <v>0</v>
      </c>
      <c r="H891" s="727">
        <v>0</v>
      </c>
      <c r="I891" s="727">
        <v>1.973</v>
      </c>
      <c r="J891" s="751">
        <v>112.26</v>
      </c>
      <c r="K891" s="727">
        <v>1.973</v>
      </c>
      <c r="L891" s="751">
        <v>112.26</v>
      </c>
      <c r="M891" s="721">
        <f t="shared" si="117"/>
        <v>0.017575271690717976</v>
      </c>
      <c r="N891" s="42">
        <v>225</v>
      </c>
      <c r="O891" s="722">
        <f t="shared" si="118"/>
        <v>3.9544361304115445</v>
      </c>
      <c r="P891" s="715">
        <f t="shared" si="119"/>
        <v>1054.5163014430784</v>
      </c>
      <c r="Q891" s="723">
        <f t="shared" si="120"/>
        <v>237.26616782469264</v>
      </c>
      <c r="S891" s="97"/>
      <c r="T891" s="97"/>
    </row>
    <row r="892" spans="1:20" ht="12.75">
      <c r="A892" s="466"/>
      <c r="B892" s="42">
        <v>9</v>
      </c>
      <c r="C892" s="52" t="s">
        <v>338</v>
      </c>
      <c r="D892" s="42">
        <v>8</v>
      </c>
      <c r="E892" s="42">
        <v>1960</v>
      </c>
      <c r="F892" s="727">
        <v>6.444</v>
      </c>
      <c r="G892" s="727">
        <v>0.815</v>
      </c>
      <c r="H892" s="727">
        <v>1.28</v>
      </c>
      <c r="I892" s="727">
        <v>4.349</v>
      </c>
      <c r="J892" s="751">
        <v>358.27</v>
      </c>
      <c r="K892" s="727">
        <v>6.4</v>
      </c>
      <c r="L892" s="751">
        <v>358.3</v>
      </c>
      <c r="M892" s="721">
        <f t="shared" si="117"/>
        <v>0.017862126709461346</v>
      </c>
      <c r="N892" s="722">
        <v>225</v>
      </c>
      <c r="O892" s="722">
        <f t="shared" si="118"/>
        <v>4.018978509628803</v>
      </c>
      <c r="P892" s="715">
        <f t="shared" si="119"/>
        <v>1071.7276025676808</v>
      </c>
      <c r="Q892" s="723">
        <f t="shared" si="120"/>
        <v>241.1387105777282</v>
      </c>
      <c r="S892" s="97"/>
      <c r="T892" s="97"/>
    </row>
    <row r="893" spans="1:20" ht="13.5" thickBot="1">
      <c r="A893" s="467"/>
      <c r="B893" s="47">
        <v>10</v>
      </c>
      <c r="C893" s="56" t="s">
        <v>335</v>
      </c>
      <c r="D893" s="47">
        <v>8</v>
      </c>
      <c r="E893" s="47">
        <v>1951</v>
      </c>
      <c r="F893" s="728">
        <v>5.444</v>
      </c>
      <c r="G893" s="728">
        <v>0.853</v>
      </c>
      <c r="H893" s="728">
        <v>1.28</v>
      </c>
      <c r="I893" s="728">
        <v>3.311</v>
      </c>
      <c r="J893" s="926">
        <v>300.96</v>
      </c>
      <c r="K893" s="728">
        <v>5.4</v>
      </c>
      <c r="L893" s="926">
        <v>301</v>
      </c>
      <c r="M893" s="717">
        <f t="shared" si="117"/>
        <v>0.017940199335548173</v>
      </c>
      <c r="N893" s="718">
        <v>225</v>
      </c>
      <c r="O893" s="718">
        <f t="shared" si="118"/>
        <v>4.0365448504983386</v>
      </c>
      <c r="P893" s="718">
        <f t="shared" si="119"/>
        <v>1076.4119601328903</v>
      </c>
      <c r="Q893" s="719">
        <f t="shared" si="120"/>
        <v>242.19269102990032</v>
      </c>
      <c r="S893" s="97"/>
      <c r="T893" s="97"/>
    </row>
    <row r="894" spans="19:20" ht="12.75">
      <c r="S894" s="97"/>
      <c r="T894" s="97"/>
    </row>
    <row r="895" spans="19:20" ht="12.75">
      <c r="S895" s="97"/>
      <c r="T895" s="97"/>
    </row>
    <row r="896" spans="19:20" ht="12.75">
      <c r="S896" s="97"/>
      <c r="T896" s="97"/>
    </row>
    <row r="897" spans="1:20" ht="15">
      <c r="A897" s="419" t="s">
        <v>48</v>
      </c>
      <c r="B897" s="419"/>
      <c r="C897" s="419"/>
      <c r="D897" s="419"/>
      <c r="E897" s="419"/>
      <c r="F897" s="419"/>
      <c r="G897" s="419"/>
      <c r="H897" s="419"/>
      <c r="I897" s="419"/>
      <c r="J897" s="419"/>
      <c r="K897" s="419"/>
      <c r="L897" s="419"/>
      <c r="M897" s="419"/>
      <c r="N897" s="419"/>
      <c r="O897" s="419"/>
      <c r="P897" s="419"/>
      <c r="Q897" s="419"/>
      <c r="S897" s="97"/>
      <c r="T897" s="97"/>
    </row>
    <row r="898" spans="1:20" ht="13.5" thickBot="1">
      <c r="A898" s="420" t="s">
        <v>766</v>
      </c>
      <c r="B898" s="420"/>
      <c r="C898" s="420"/>
      <c r="D898" s="420"/>
      <c r="E898" s="420"/>
      <c r="F898" s="420"/>
      <c r="G898" s="420"/>
      <c r="H898" s="420"/>
      <c r="I898" s="420"/>
      <c r="J898" s="420"/>
      <c r="K898" s="420"/>
      <c r="L898" s="420"/>
      <c r="M898" s="420"/>
      <c r="N898" s="420"/>
      <c r="O898" s="420"/>
      <c r="P898" s="420"/>
      <c r="Q898" s="420"/>
      <c r="S898" s="97"/>
      <c r="T898" s="97"/>
    </row>
    <row r="899" spans="1:20" ht="12.75" customHeight="1">
      <c r="A899" s="395" t="s">
        <v>1</v>
      </c>
      <c r="B899" s="397" t="s">
        <v>0</v>
      </c>
      <c r="C899" s="384" t="s">
        <v>2</v>
      </c>
      <c r="D899" s="384" t="s">
        <v>3</v>
      </c>
      <c r="E899" s="384" t="s">
        <v>13</v>
      </c>
      <c r="F899" s="386" t="s">
        <v>14</v>
      </c>
      <c r="G899" s="387"/>
      <c r="H899" s="387"/>
      <c r="I899" s="388"/>
      <c r="J899" s="384" t="s">
        <v>4</v>
      </c>
      <c r="K899" s="384" t="s">
        <v>15</v>
      </c>
      <c r="L899" s="384" t="s">
        <v>5</v>
      </c>
      <c r="M899" s="384" t="s">
        <v>6</v>
      </c>
      <c r="N899" s="384" t="s">
        <v>16</v>
      </c>
      <c r="O899" s="389" t="s">
        <v>17</v>
      </c>
      <c r="P899" s="384" t="s">
        <v>25</v>
      </c>
      <c r="Q899" s="391" t="s">
        <v>26</v>
      </c>
      <c r="S899" s="97"/>
      <c r="T899" s="97"/>
    </row>
    <row r="900" spans="1:20" s="2" customFormat="1" ht="33.75">
      <c r="A900" s="396"/>
      <c r="B900" s="398"/>
      <c r="C900" s="399"/>
      <c r="D900" s="385"/>
      <c r="E900" s="385"/>
      <c r="F900" s="37" t="s">
        <v>18</v>
      </c>
      <c r="G900" s="37" t="s">
        <v>19</v>
      </c>
      <c r="H900" s="37" t="s">
        <v>20</v>
      </c>
      <c r="I900" s="37" t="s">
        <v>21</v>
      </c>
      <c r="J900" s="385"/>
      <c r="K900" s="385"/>
      <c r="L900" s="385"/>
      <c r="M900" s="385"/>
      <c r="N900" s="385"/>
      <c r="O900" s="390"/>
      <c r="P900" s="385"/>
      <c r="Q900" s="392"/>
      <c r="S900" s="97"/>
      <c r="T900" s="97"/>
    </row>
    <row r="901" spans="1:20" s="3" customFormat="1" ht="13.5" customHeight="1" thickBot="1">
      <c r="A901" s="414"/>
      <c r="B901" s="415"/>
      <c r="C901" s="416"/>
      <c r="D901" s="65" t="s">
        <v>7</v>
      </c>
      <c r="E901" s="65" t="s">
        <v>8</v>
      </c>
      <c r="F901" s="65" t="s">
        <v>9</v>
      </c>
      <c r="G901" s="65" t="s">
        <v>9</v>
      </c>
      <c r="H901" s="65" t="s">
        <v>9</v>
      </c>
      <c r="I901" s="65" t="s">
        <v>9</v>
      </c>
      <c r="J901" s="65" t="s">
        <v>22</v>
      </c>
      <c r="K901" s="65" t="s">
        <v>9</v>
      </c>
      <c r="L901" s="65" t="s">
        <v>22</v>
      </c>
      <c r="M901" s="65" t="s">
        <v>23</v>
      </c>
      <c r="N901" s="65" t="s">
        <v>10</v>
      </c>
      <c r="O901" s="65" t="s">
        <v>24</v>
      </c>
      <c r="P901" s="66" t="s">
        <v>27</v>
      </c>
      <c r="Q901" s="67" t="s">
        <v>28</v>
      </c>
      <c r="S901" s="97"/>
      <c r="T901" s="97"/>
    </row>
    <row r="902" spans="1:20" ht="12.75" customHeight="1">
      <c r="A902" s="411" t="s">
        <v>29</v>
      </c>
      <c r="B902" s="34">
        <v>1</v>
      </c>
      <c r="C902" s="35" t="s">
        <v>760</v>
      </c>
      <c r="D902" s="36">
        <v>10</v>
      </c>
      <c r="E902" s="36" t="s">
        <v>761</v>
      </c>
      <c r="F902" s="608">
        <v>5.151</v>
      </c>
      <c r="G902" s="608">
        <v>1.02</v>
      </c>
      <c r="H902" s="608">
        <v>0.08</v>
      </c>
      <c r="I902" s="609">
        <v>4.051</v>
      </c>
      <c r="J902" s="614"/>
      <c r="K902" s="622">
        <f>I902</f>
        <v>4.051</v>
      </c>
      <c r="L902" s="951">
        <v>400.21</v>
      </c>
      <c r="M902" s="184">
        <f>K902/L902</f>
        <v>0.010122185852427476</v>
      </c>
      <c r="N902" s="185">
        <v>245.36</v>
      </c>
      <c r="O902" s="185">
        <f>M902*N902</f>
        <v>2.4835795207516056</v>
      </c>
      <c r="P902" s="185">
        <f>M902*60*1000</f>
        <v>607.3311511456486</v>
      </c>
      <c r="Q902" s="259">
        <f>P902*N902/1000</f>
        <v>149.01477124509634</v>
      </c>
      <c r="R902" s="6"/>
      <c r="S902" s="97"/>
      <c r="T902" s="97"/>
    </row>
    <row r="903" spans="1:20" ht="12.75">
      <c r="A903" s="412"/>
      <c r="B903" s="36">
        <v>2</v>
      </c>
      <c r="C903" s="35" t="s">
        <v>762</v>
      </c>
      <c r="D903" s="36">
        <v>8</v>
      </c>
      <c r="E903" s="36" t="s">
        <v>761</v>
      </c>
      <c r="F903" s="609">
        <v>4.366</v>
      </c>
      <c r="G903" s="609">
        <v>0</v>
      </c>
      <c r="H903" s="617">
        <v>0.0198</v>
      </c>
      <c r="I903" s="609">
        <v>4.346</v>
      </c>
      <c r="J903" s="615"/>
      <c r="K903" s="622">
        <f>I903</f>
        <v>4.346</v>
      </c>
      <c r="L903" s="135">
        <v>389.52</v>
      </c>
      <c r="M903" s="184">
        <f>K903/L903</f>
        <v>0.011157321831998357</v>
      </c>
      <c r="N903" s="185">
        <v>245.36</v>
      </c>
      <c r="O903" s="185">
        <f>M903*N903</f>
        <v>2.737560484699117</v>
      </c>
      <c r="P903" s="185">
        <f>M903*60*1000</f>
        <v>669.4393099199015</v>
      </c>
      <c r="Q903" s="259">
        <f>P903*N903/1000</f>
        <v>164.25362908194703</v>
      </c>
      <c r="R903" s="6"/>
      <c r="S903" s="97"/>
      <c r="T903" s="97"/>
    </row>
    <row r="904" spans="1:20" ht="12.75">
      <c r="A904" s="412"/>
      <c r="B904" s="36">
        <v>3</v>
      </c>
      <c r="C904" s="35" t="s">
        <v>763</v>
      </c>
      <c r="D904" s="36">
        <v>35</v>
      </c>
      <c r="E904" s="36" t="s">
        <v>761</v>
      </c>
      <c r="F904" s="609">
        <v>13.8</v>
      </c>
      <c r="G904" s="609">
        <v>0</v>
      </c>
      <c r="H904" s="609">
        <v>0</v>
      </c>
      <c r="I904" s="609">
        <v>13.8</v>
      </c>
      <c r="J904" s="615"/>
      <c r="K904" s="622">
        <f>I904</f>
        <v>13.8</v>
      </c>
      <c r="L904" s="135">
        <v>1229.2</v>
      </c>
      <c r="M904" s="164">
        <f>K904/L904</f>
        <v>0.011226814188089814</v>
      </c>
      <c r="N904" s="185">
        <v>245.36</v>
      </c>
      <c r="O904" s="185">
        <f>M904*N904</f>
        <v>2.754611129189717</v>
      </c>
      <c r="P904" s="185">
        <f>M904*60*1000</f>
        <v>673.6088512853888</v>
      </c>
      <c r="Q904" s="251">
        <f>P904*N904/1000</f>
        <v>165.276667751383</v>
      </c>
      <c r="R904" s="6"/>
      <c r="S904" s="97"/>
      <c r="T904" s="97"/>
    </row>
    <row r="905" spans="1:20" ht="12.75">
      <c r="A905" s="412"/>
      <c r="B905" s="36">
        <v>4</v>
      </c>
      <c r="C905" s="35" t="s">
        <v>764</v>
      </c>
      <c r="D905" s="36">
        <v>43</v>
      </c>
      <c r="E905" s="36" t="s">
        <v>761</v>
      </c>
      <c r="F905" s="609">
        <v>12.35</v>
      </c>
      <c r="G905" s="609">
        <v>0</v>
      </c>
      <c r="H905" s="609">
        <v>0</v>
      </c>
      <c r="I905" s="609">
        <v>12.35</v>
      </c>
      <c r="J905" s="615"/>
      <c r="K905" s="622">
        <f>I905</f>
        <v>12.35</v>
      </c>
      <c r="L905" s="135">
        <v>1068.56</v>
      </c>
      <c r="M905" s="164">
        <f>K905/L905</f>
        <v>0.011557610241820768</v>
      </c>
      <c r="N905" s="185">
        <v>245.36</v>
      </c>
      <c r="O905" s="163">
        <f>M905*N905</f>
        <v>2.835775248933144</v>
      </c>
      <c r="P905" s="185">
        <f>M905*60*1000</f>
        <v>693.456614509246</v>
      </c>
      <c r="Q905" s="251">
        <f>P905*N905/1000</f>
        <v>170.14651493598862</v>
      </c>
      <c r="R905" s="6"/>
      <c r="S905" s="97"/>
      <c r="T905" s="97"/>
    </row>
    <row r="906" spans="1:20" ht="12.75">
      <c r="A906" s="412"/>
      <c r="B906" s="36">
        <v>5</v>
      </c>
      <c r="C906" s="35" t="s">
        <v>765</v>
      </c>
      <c r="D906" s="36">
        <v>8</v>
      </c>
      <c r="E906" s="36" t="s">
        <v>761</v>
      </c>
      <c r="F906" s="609">
        <v>4.704</v>
      </c>
      <c r="G906" s="609">
        <v>0</v>
      </c>
      <c r="H906" s="609">
        <v>0</v>
      </c>
      <c r="I906" s="609">
        <v>4.704</v>
      </c>
      <c r="J906" s="615"/>
      <c r="K906" s="622">
        <f>I906</f>
        <v>4.704</v>
      </c>
      <c r="L906" s="135">
        <v>378.95</v>
      </c>
      <c r="M906" s="164">
        <f>K906/L906</f>
        <v>0.012413247130228263</v>
      </c>
      <c r="N906" s="185">
        <v>245.36</v>
      </c>
      <c r="O906" s="163">
        <f>M906*N906</f>
        <v>3.045714315872807</v>
      </c>
      <c r="P906" s="185">
        <f>M906*60*1000</f>
        <v>744.7948278136957</v>
      </c>
      <c r="Q906" s="251">
        <f>P906*N906/1000</f>
        <v>182.7428589523684</v>
      </c>
      <c r="R906" s="6"/>
      <c r="S906" s="97"/>
      <c r="T906" s="97"/>
    </row>
    <row r="907" spans="1:20" ht="12.75">
      <c r="A907" s="412"/>
      <c r="B907" s="36">
        <v>6</v>
      </c>
      <c r="C907" s="281"/>
      <c r="D907" s="197"/>
      <c r="E907" s="197"/>
      <c r="F907" s="301"/>
      <c r="G907" s="301"/>
      <c r="H907" s="284"/>
      <c r="I907" s="301"/>
      <c r="J907" s="221"/>
      <c r="K907" s="301"/>
      <c r="L907" s="1039"/>
      <c r="M907" s="220"/>
      <c r="N907" s="302"/>
      <c r="O907" s="222"/>
      <c r="P907" s="286"/>
      <c r="Q907" s="223"/>
      <c r="R907" s="6"/>
      <c r="S907" s="97"/>
      <c r="T907" s="97"/>
    </row>
    <row r="908" spans="1:20" ht="12.75">
      <c r="A908" s="412"/>
      <c r="B908" s="36">
        <v>7</v>
      </c>
      <c r="C908" s="281"/>
      <c r="D908" s="197"/>
      <c r="E908" s="197"/>
      <c r="F908" s="301"/>
      <c r="G908" s="301"/>
      <c r="H908" s="284"/>
      <c r="I908" s="301"/>
      <c r="J908" s="221"/>
      <c r="K908" s="301"/>
      <c r="L908" s="284"/>
      <c r="M908" s="220"/>
      <c r="N908" s="302"/>
      <c r="O908" s="222"/>
      <c r="P908" s="286"/>
      <c r="Q908" s="223"/>
      <c r="R908" s="6"/>
      <c r="S908" s="97"/>
      <c r="T908" s="97"/>
    </row>
    <row r="909" spans="1:20" ht="12.75">
      <c r="A909" s="412"/>
      <c r="B909" s="36">
        <v>8</v>
      </c>
      <c r="C909" s="281"/>
      <c r="D909" s="197"/>
      <c r="E909" s="197"/>
      <c r="F909" s="301"/>
      <c r="G909" s="301"/>
      <c r="H909" s="284"/>
      <c r="I909" s="301"/>
      <c r="J909" s="221"/>
      <c r="K909" s="301"/>
      <c r="L909" s="284"/>
      <c r="M909" s="220"/>
      <c r="N909" s="302"/>
      <c r="O909" s="222"/>
      <c r="P909" s="286"/>
      <c r="Q909" s="223"/>
      <c r="R909" s="6"/>
      <c r="S909" s="97"/>
      <c r="T909" s="97"/>
    </row>
    <row r="910" spans="1:20" ht="13.5" customHeight="1">
      <c r="A910" s="412"/>
      <c r="B910" s="36">
        <v>9</v>
      </c>
      <c r="C910" s="281"/>
      <c r="D910" s="197"/>
      <c r="E910" s="197"/>
      <c r="F910" s="301"/>
      <c r="G910" s="301"/>
      <c r="H910" s="284"/>
      <c r="I910" s="301"/>
      <c r="J910" s="221"/>
      <c r="K910" s="301"/>
      <c r="L910" s="284"/>
      <c r="M910" s="220"/>
      <c r="N910" s="302"/>
      <c r="O910" s="222"/>
      <c r="P910" s="286"/>
      <c r="Q910" s="223"/>
      <c r="R910" s="6"/>
      <c r="S910" s="97"/>
      <c r="T910" s="97"/>
    </row>
    <row r="911" spans="1:20" ht="13.5" customHeight="1" thickBot="1">
      <c r="A911" s="413"/>
      <c r="B911" s="103">
        <v>10</v>
      </c>
      <c r="C911" s="296"/>
      <c r="D911" s="198"/>
      <c r="E911" s="198"/>
      <c r="F911" s="303"/>
      <c r="G911" s="303"/>
      <c r="H911" s="290"/>
      <c r="I911" s="303"/>
      <c r="J911" s="304"/>
      <c r="K911" s="303"/>
      <c r="L911" s="290"/>
      <c r="M911" s="289"/>
      <c r="N911" s="330"/>
      <c r="O911" s="291"/>
      <c r="P911" s="291"/>
      <c r="Q911" s="292"/>
      <c r="R911" s="6"/>
      <c r="S911" s="97"/>
      <c r="T911" s="97"/>
    </row>
    <row r="912" spans="14:20" ht="12.75">
      <c r="N912" s="331"/>
      <c r="S912" s="97"/>
      <c r="T912" s="97"/>
    </row>
    <row r="913" spans="19:20" ht="12.75">
      <c r="S913" s="97"/>
      <c r="T913" s="97"/>
    </row>
    <row r="914" spans="19:20" ht="12.75">
      <c r="S914" s="97"/>
      <c r="T914" s="97"/>
    </row>
    <row r="915" spans="19:20" ht="12.75">
      <c r="S915" s="97"/>
      <c r="T915" s="97"/>
    </row>
    <row r="916" spans="19:20" ht="12.75">
      <c r="S916" s="97"/>
      <c r="T916" s="97"/>
    </row>
    <row r="917" spans="19:20" ht="12.75">
      <c r="S917" s="97"/>
      <c r="T917" s="97"/>
    </row>
    <row r="918" spans="19:20" ht="12.75">
      <c r="S918" s="97"/>
      <c r="T918" s="97"/>
    </row>
    <row r="919" spans="19:20" ht="12.75">
      <c r="S919" s="97"/>
      <c r="T919" s="97"/>
    </row>
    <row r="920" spans="19:20" ht="12.75">
      <c r="S920" s="97"/>
      <c r="T920" s="97"/>
    </row>
    <row r="921" spans="19:20" ht="12.75">
      <c r="S921" s="97"/>
      <c r="T921" s="97"/>
    </row>
    <row r="922" spans="19:20" ht="12.75">
      <c r="S922" s="97"/>
      <c r="T922" s="97"/>
    </row>
    <row r="923" spans="1:20" ht="15">
      <c r="A923" s="419" t="s">
        <v>55</v>
      </c>
      <c r="B923" s="419"/>
      <c r="C923" s="419"/>
      <c r="D923" s="419"/>
      <c r="E923" s="419"/>
      <c r="F923" s="419"/>
      <c r="G923" s="419"/>
      <c r="H923" s="419"/>
      <c r="I923" s="419"/>
      <c r="J923" s="419"/>
      <c r="K923" s="419"/>
      <c r="L923" s="419"/>
      <c r="M923" s="419"/>
      <c r="N923" s="419"/>
      <c r="O923" s="419"/>
      <c r="P923" s="419"/>
      <c r="Q923" s="419"/>
      <c r="S923" s="97"/>
      <c r="T923" s="97"/>
    </row>
    <row r="924" spans="1:20" ht="13.5" thickBot="1">
      <c r="A924" s="420" t="s">
        <v>789</v>
      </c>
      <c r="B924" s="420"/>
      <c r="C924" s="420"/>
      <c r="D924" s="420"/>
      <c r="E924" s="420"/>
      <c r="F924" s="420"/>
      <c r="G924" s="420"/>
      <c r="H924" s="420"/>
      <c r="I924" s="420"/>
      <c r="J924" s="420"/>
      <c r="K924" s="420"/>
      <c r="L924" s="420"/>
      <c r="M924" s="420"/>
      <c r="N924" s="420"/>
      <c r="O924" s="420"/>
      <c r="P924" s="420"/>
      <c r="Q924" s="420"/>
      <c r="S924" s="97"/>
      <c r="T924" s="97"/>
    </row>
    <row r="925" spans="1:20" ht="12.75" customHeight="1">
      <c r="A925" s="395" t="s">
        <v>1</v>
      </c>
      <c r="B925" s="397" t="s">
        <v>0</v>
      </c>
      <c r="C925" s="384" t="s">
        <v>2</v>
      </c>
      <c r="D925" s="384" t="s">
        <v>3</v>
      </c>
      <c r="E925" s="384" t="s">
        <v>13</v>
      </c>
      <c r="F925" s="386" t="s">
        <v>14</v>
      </c>
      <c r="G925" s="387"/>
      <c r="H925" s="387"/>
      <c r="I925" s="388"/>
      <c r="J925" s="384" t="s">
        <v>4</v>
      </c>
      <c r="K925" s="384" t="s">
        <v>15</v>
      </c>
      <c r="L925" s="384" t="s">
        <v>5</v>
      </c>
      <c r="M925" s="384" t="s">
        <v>6</v>
      </c>
      <c r="N925" s="384" t="s">
        <v>16</v>
      </c>
      <c r="O925" s="389" t="s">
        <v>17</v>
      </c>
      <c r="P925" s="384" t="s">
        <v>25</v>
      </c>
      <c r="Q925" s="391" t="s">
        <v>26</v>
      </c>
      <c r="S925" s="97"/>
      <c r="T925" s="97"/>
    </row>
    <row r="926" spans="1:20" s="2" customFormat="1" ht="33.75">
      <c r="A926" s="396"/>
      <c r="B926" s="398"/>
      <c r="C926" s="399"/>
      <c r="D926" s="385"/>
      <c r="E926" s="385"/>
      <c r="F926" s="37" t="s">
        <v>18</v>
      </c>
      <c r="G926" s="37" t="s">
        <v>19</v>
      </c>
      <c r="H926" s="37" t="s">
        <v>20</v>
      </c>
      <c r="I926" s="37" t="s">
        <v>21</v>
      </c>
      <c r="J926" s="385"/>
      <c r="K926" s="385"/>
      <c r="L926" s="385"/>
      <c r="M926" s="385"/>
      <c r="N926" s="385"/>
      <c r="O926" s="390"/>
      <c r="P926" s="385"/>
      <c r="Q926" s="392"/>
      <c r="S926" s="97"/>
      <c r="T926" s="97"/>
    </row>
    <row r="927" spans="1:20" s="3" customFormat="1" ht="13.5" customHeight="1" thickBot="1">
      <c r="A927" s="414"/>
      <c r="B927" s="415"/>
      <c r="C927" s="416"/>
      <c r="D927" s="65" t="s">
        <v>7</v>
      </c>
      <c r="E927" s="65" t="s">
        <v>8</v>
      </c>
      <c r="F927" s="65" t="s">
        <v>9</v>
      </c>
      <c r="G927" s="65" t="s">
        <v>9</v>
      </c>
      <c r="H927" s="65" t="s">
        <v>9</v>
      </c>
      <c r="I927" s="65" t="s">
        <v>9</v>
      </c>
      <c r="J927" s="65" t="s">
        <v>22</v>
      </c>
      <c r="K927" s="65" t="s">
        <v>9</v>
      </c>
      <c r="L927" s="65" t="s">
        <v>22</v>
      </c>
      <c r="M927" s="65" t="s">
        <v>23</v>
      </c>
      <c r="N927" s="65" t="s">
        <v>10</v>
      </c>
      <c r="O927" s="65" t="s">
        <v>24</v>
      </c>
      <c r="P927" s="66" t="s">
        <v>27</v>
      </c>
      <c r="Q927" s="67" t="s">
        <v>28</v>
      </c>
      <c r="S927" s="97"/>
      <c r="T927" s="97"/>
    </row>
    <row r="928" spans="1:20" ht="12.75">
      <c r="A928" s="417" t="s">
        <v>11</v>
      </c>
      <c r="B928" s="31">
        <v>1</v>
      </c>
      <c r="C928" s="69" t="s">
        <v>767</v>
      </c>
      <c r="D928" s="68">
        <v>48</v>
      </c>
      <c r="E928" s="68"/>
      <c r="F928" s="277">
        <v>24.9</v>
      </c>
      <c r="G928" s="277">
        <v>4.9</v>
      </c>
      <c r="H928" s="277">
        <v>7.5</v>
      </c>
      <c r="I928" s="277">
        <v>12.1</v>
      </c>
      <c r="J928" s="1174"/>
      <c r="K928" s="277">
        <v>12.1</v>
      </c>
      <c r="L928" s="1183">
        <v>2297</v>
      </c>
      <c r="M928" s="356">
        <f aca="true" t="shared" si="121" ref="M928:M946">K928/L928</f>
        <v>0.005267740531127558</v>
      </c>
      <c r="N928" s="573">
        <v>234.1</v>
      </c>
      <c r="O928" s="575">
        <f aca="true" t="shared" si="122" ref="O928:O946">M928*N928</f>
        <v>1.2331780583369611</v>
      </c>
      <c r="P928" s="575">
        <f aca="true" t="shared" si="123" ref="P928:P946">M928*60*1000</f>
        <v>316.06443186765347</v>
      </c>
      <c r="Q928" s="576">
        <f aca="true" t="shared" si="124" ref="Q928:Q946">P928*N928/1000</f>
        <v>73.99068350021768</v>
      </c>
      <c r="R928" s="6"/>
      <c r="S928" s="97"/>
      <c r="T928" s="97"/>
    </row>
    <row r="929" spans="1:20" ht="12.75">
      <c r="A929" s="376"/>
      <c r="B929" s="32">
        <v>2</v>
      </c>
      <c r="C929" s="16" t="s">
        <v>342</v>
      </c>
      <c r="D929" s="32">
        <v>60</v>
      </c>
      <c r="E929" s="32"/>
      <c r="F929" s="578">
        <v>28.9</v>
      </c>
      <c r="G929" s="578">
        <v>4</v>
      </c>
      <c r="H929" s="578">
        <v>9.6</v>
      </c>
      <c r="I929" s="578">
        <v>14.9</v>
      </c>
      <c r="J929" s="263"/>
      <c r="K929" s="183">
        <v>14.9</v>
      </c>
      <c r="L929" s="265">
        <v>2723</v>
      </c>
      <c r="M929" s="156">
        <f t="shared" si="121"/>
        <v>0.005471905986044804</v>
      </c>
      <c r="N929" s="573">
        <v>234.1</v>
      </c>
      <c r="O929" s="157">
        <f t="shared" si="122"/>
        <v>1.2809731913330886</v>
      </c>
      <c r="P929" s="575">
        <f t="shared" si="123"/>
        <v>328.3143591626883</v>
      </c>
      <c r="Q929" s="159">
        <f t="shared" si="124"/>
        <v>76.85839147998533</v>
      </c>
      <c r="R929" s="6"/>
      <c r="S929" s="97"/>
      <c r="T929" s="97"/>
    </row>
    <row r="930" spans="1:20" ht="12.75">
      <c r="A930" s="376"/>
      <c r="B930" s="32">
        <v>3</v>
      </c>
      <c r="C930" s="16" t="s">
        <v>768</v>
      </c>
      <c r="D930" s="32">
        <v>72</v>
      </c>
      <c r="E930" s="32"/>
      <c r="F930" s="578">
        <v>37.2</v>
      </c>
      <c r="G930" s="578">
        <v>4.89</v>
      </c>
      <c r="H930" s="578">
        <v>11.5</v>
      </c>
      <c r="I930" s="578">
        <v>20.86</v>
      </c>
      <c r="J930" s="263"/>
      <c r="K930" s="183">
        <v>20.86</v>
      </c>
      <c r="L930" s="265">
        <v>3797</v>
      </c>
      <c r="M930" s="156">
        <f t="shared" si="121"/>
        <v>0.005493810903344745</v>
      </c>
      <c r="N930" s="573">
        <v>234.1</v>
      </c>
      <c r="O930" s="157">
        <f t="shared" si="122"/>
        <v>1.286101132473005</v>
      </c>
      <c r="P930" s="575">
        <f t="shared" si="123"/>
        <v>329.6286542006847</v>
      </c>
      <c r="Q930" s="159">
        <f t="shared" si="124"/>
        <v>77.16606794838029</v>
      </c>
      <c r="R930" s="6"/>
      <c r="S930" s="97"/>
      <c r="T930" s="97"/>
    </row>
    <row r="931" spans="1:20" ht="12.75">
      <c r="A931" s="376"/>
      <c r="B931" s="32">
        <v>4</v>
      </c>
      <c r="C931" s="16" t="s">
        <v>340</v>
      </c>
      <c r="D931" s="32">
        <v>48</v>
      </c>
      <c r="E931" s="32"/>
      <c r="F931" s="578">
        <v>22.6</v>
      </c>
      <c r="G931" s="578">
        <v>1.68</v>
      </c>
      <c r="H931" s="578">
        <v>7.68</v>
      </c>
      <c r="I931" s="578">
        <v>13.2</v>
      </c>
      <c r="J931" s="263"/>
      <c r="K931" s="183">
        <v>13.2</v>
      </c>
      <c r="L931" s="265">
        <v>2296</v>
      </c>
      <c r="M931" s="156">
        <f t="shared" si="121"/>
        <v>0.005749128919860627</v>
      </c>
      <c r="N931" s="157">
        <v>234.1</v>
      </c>
      <c r="O931" s="157">
        <f t="shared" si="122"/>
        <v>1.3458710801393727</v>
      </c>
      <c r="P931" s="157">
        <f t="shared" si="123"/>
        <v>344.9477351916376</v>
      </c>
      <c r="Q931" s="159">
        <f t="shared" si="124"/>
        <v>80.75226480836237</v>
      </c>
      <c r="R931" s="6"/>
      <c r="S931" s="97"/>
      <c r="T931" s="97"/>
    </row>
    <row r="932" spans="1:20" ht="12.75">
      <c r="A932" s="376"/>
      <c r="B932" s="32">
        <v>5</v>
      </c>
      <c r="C932" s="16" t="s">
        <v>769</v>
      </c>
      <c r="D932" s="32">
        <v>60</v>
      </c>
      <c r="E932" s="32"/>
      <c r="F932" s="578">
        <v>30.2</v>
      </c>
      <c r="G932" s="578">
        <v>4.4</v>
      </c>
      <c r="H932" s="578">
        <v>9.6</v>
      </c>
      <c r="I932" s="578">
        <v>15.8</v>
      </c>
      <c r="J932" s="263"/>
      <c r="K932" s="183">
        <v>15.8</v>
      </c>
      <c r="L932" s="265">
        <v>2712</v>
      </c>
      <c r="M932" s="156">
        <f t="shared" si="121"/>
        <v>0.005825958702064897</v>
      </c>
      <c r="N932" s="157">
        <v>234.1</v>
      </c>
      <c r="O932" s="157">
        <f t="shared" si="122"/>
        <v>1.3638569321533922</v>
      </c>
      <c r="P932" s="157">
        <f t="shared" si="123"/>
        <v>349.5575221238938</v>
      </c>
      <c r="Q932" s="159">
        <f t="shared" si="124"/>
        <v>81.83141592920354</v>
      </c>
      <c r="R932" s="6"/>
      <c r="S932" s="97"/>
      <c r="T932" s="97"/>
    </row>
    <row r="933" spans="1:20" ht="12.75">
      <c r="A933" s="376"/>
      <c r="B933" s="32">
        <v>6</v>
      </c>
      <c r="C933" s="16" t="s">
        <v>770</v>
      </c>
      <c r="D933" s="32">
        <v>20</v>
      </c>
      <c r="E933" s="32"/>
      <c r="F933" s="578">
        <v>12.7</v>
      </c>
      <c r="G933" s="578">
        <v>2.7</v>
      </c>
      <c r="H933" s="578">
        <v>3.2</v>
      </c>
      <c r="I933" s="578">
        <v>6.7</v>
      </c>
      <c r="J933" s="263"/>
      <c r="K933" s="183">
        <v>6.7</v>
      </c>
      <c r="L933" s="265">
        <v>1102</v>
      </c>
      <c r="M933" s="156">
        <f t="shared" si="121"/>
        <v>0.006079854809437387</v>
      </c>
      <c r="N933" s="157">
        <v>234.1</v>
      </c>
      <c r="O933" s="157">
        <f t="shared" si="122"/>
        <v>1.4232940108892922</v>
      </c>
      <c r="P933" s="157">
        <f t="shared" si="123"/>
        <v>364.7912885662432</v>
      </c>
      <c r="Q933" s="159">
        <f t="shared" si="124"/>
        <v>85.39764065335754</v>
      </c>
      <c r="R933" s="6"/>
      <c r="S933" s="97"/>
      <c r="T933" s="97"/>
    </row>
    <row r="934" spans="1:20" ht="12.75">
      <c r="A934" s="376"/>
      <c r="B934" s="32">
        <v>7</v>
      </c>
      <c r="C934" s="16" t="s">
        <v>771</v>
      </c>
      <c r="D934" s="32">
        <v>60</v>
      </c>
      <c r="E934" s="32"/>
      <c r="F934" s="578">
        <v>36.4</v>
      </c>
      <c r="G934" s="578">
        <v>6.5</v>
      </c>
      <c r="H934" s="578">
        <v>9.6</v>
      </c>
      <c r="I934" s="578">
        <v>20.3</v>
      </c>
      <c r="J934" s="263"/>
      <c r="K934" s="183">
        <v>20.3</v>
      </c>
      <c r="L934" s="265">
        <v>3251</v>
      </c>
      <c r="M934" s="156">
        <f t="shared" si="121"/>
        <v>0.006244232543832667</v>
      </c>
      <c r="N934" s="157">
        <v>234.1</v>
      </c>
      <c r="O934" s="157">
        <f t="shared" si="122"/>
        <v>1.4617748385112272</v>
      </c>
      <c r="P934" s="157">
        <f t="shared" si="123"/>
        <v>374.65395262996003</v>
      </c>
      <c r="Q934" s="159">
        <f t="shared" si="124"/>
        <v>87.70649031067364</v>
      </c>
      <c r="R934" s="6"/>
      <c r="S934" s="97"/>
      <c r="T934" s="97"/>
    </row>
    <row r="935" spans="1:20" ht="12.75">
      <c r="A935" s="376"/>
      <c r="B935" s="32">
        <v>8</v>
      </c>
      <c r="C935" s="16" t="s">
        <v>127</v>
      </c>
      <c r="D935" s="32">
        <v>64</v>
      </c>
      <c r="E935" s="32"/>
      <c r="F935" s="578">
        <v>33.9</v>
      </c>
      <c r="G935" s="578">
        <v>4</v>
      </c>
      <c r="H935" s="578">
        <v>10.1</v>
      </c>
      <c r="I935" s="578">
        <v>19.4</v>
      </c>
      <c r="J935" s="263"/>
      <c r="K935" s="183">
        <v>19.4</v>
      </c>
      <c r="L935" s="265">
        <v>2956</v>
      </c>
      <c r="M935" s="156">
        <f t="shared" si="121"/>
        <v>0.006562922868741542</v>
      </c>
      <c r="N935" s="157">
        <v>234.1</v>
      </c>
      <c r="O935" s="157">
        <f t="shared" si="122"/>
        <v>1.536380243572395</v>
      </c>
      <c r="P935" s="157">
        <f t="shared" si="123"/>
        <v>393.77537212449255</v>
      </c>
      <c r="Q935" s="159">
        <f t="shared" si="124"/>
        <v>92.1828146143437</v>
      </c>
      <c r="R935" s="6"/>
      <c r="S935" s="97"/>
      <c r="T935" s="97"/>
    </row>
    <row r="936" spans="1:20" ht="12.75">
      <c r="A936" s="376"/>
      <c r="B936" s="32">
        <v>9</v>
      </c>
      <c r="C936" s="16" t="s">
        <v>772</v>
      </c>
      <c r="D936" s="32">
        <v>48</v>
      </c>
      <c r="E936" s="32"/>
      <c r="F936" s="578">
        <v>26.6</v>
      </c>
      <c r="G936" s="578">
        <v>2.9</v>
      </c>
      <c r="H936" s="578">
        <v>7.68</v>
      </c>
      <c r="I936" s="578">
        <v>16</v>
      </c>
      <c r="J936" s="263"/>
      <c r="K936" s="183">
        <v>16</v>
      </c>
      <c r="L936" s="265">
        <v>2393</v>
      </c>
      <c r="M936" s="156">
        <f t="shared" si="121"/>
        <v>0.006686167989970748</v>
      </c>
      <c r="N936" s="157">
        <v>234.1</v>
      </c>
      <c r="O936" s="157">
        <f t="shared" si="122"/>
        <v>1.5652319264521521</v>
      </c>
      <c r="P936" s="157">
        <f t="shared" si="123"/>
        <v>401.17007939824487</v>
      </c>
      <c r="Q936" s="159">
        <f t="shared" si="124"/>
        <v>93.91391558712911</v>
      </c>
      <c r="R936" s="6"/>
      <c r="S936" s="97"/>
      <c r="T936" s="97"/>
    </row>
    <row r="937" spans="1:20" ht="13.5" thickBot="1">
      <c r="A937" s="377"/>
      <c r="B937" s="32">
        <v>10</v>
      </c>
      <c r="C937" s="71" t="s">
        <v>158</v>
      </c>
      <c r="D937" s="70">
        <v>48</v>
      </c>
      <c r="E937" s="70"/>
      <c r="F937" s="328">
        <v>24.4</v>
      </c>
      <c r="G937" s="328">
        <v>0.9</v>
      </c>
      <c r="H937" s="328">
        <v>7.68</v>
      </c>
      <c r="I937" s="328">
        <v>15.9</v>
      </c>
      <c r="J937" s="340"/>
      <c r="K937" s="1184">
        <v>15.9</v>
      </c>
      <c r="L937" s="817">
        <v>2297</v>
      </c>
      <c r="M937" s="1176">
        <f t="shared" si="121"/>
        <v>0.006922072268175882</v>
      </c>
      <c r="N937" s="160">
        <v>234.1</v>
      </c>
      <c r="O937" s="160">
        <f t="shared" si="122"/>
        <v>1.620457117979974</v>
      </c>
      <c r="P937" s="160">
        <f t="shared" si="123"/>
        <v>415.3243360905529</v>
      </c>
      <c r="Q937" s="162">
        <f t="shared" si="124"/>
        <v>97.22742707879843</v>
      </c>
      <c r="R937" s="6"/>
      <c r="S937" s="97"/>
      <c r="T937" s="97"/>
    </row>
    <row r="938" spans="1:20" ht="11.25" customHeight="1">
      <c r="A938" s="411" t="s">
        <v>29</v>
      </c>
      <c r="B938" s="34">
        <v>1</v>
      </c>
      <c r="C938" s="99" t="s">
        <v>773</v>
      </c>
      <c r="D938" s="73">
        <v>30</v>
      </c>
      <c r="E938" s="73"/>
      <c r="F938" s="622">
        <v>19.2</v>
      </c>
      <c r="G938" s="622">
        <v>0.7</v>
      </c>
      <c r="H938" s="622">
        <v>4.8</v>
      </c>
      <c r="I938" s="622">
        <v>13.7</v>
      </c>
      <c r="J938" s="624"/>
      <c r="K938" s="622">
        <v>13.7</v>
      </c>
      <c r="L938" s="138">
        <v>1725</v>
      </c>
      <c r="M938" s="184">
        <f t="shared" si="121"/>
        <v>0.007942028985507246</v>
      </c>
      <c r="N938" s="185">
        <v>234.1</v>
      </c>
      <c r="O938" s="185">
        <f t="shared" si="122"/>
        <v>1.8592289855072461</v>
      </c>
      <c r="P938" s="185">
        <f t="shared" si="123"/>
        <v>476.5217391304347</v>
      </c>
      <c r="Q938" s="259">
        <f t="shared" si="124"/>
        <v>111.55373913043475</v>
      </c>
      <c r="R938" s="6"/>
      <c r="S938" s="97"/>
      <c r="T938" s="97"/>
    </row>
    <row r="939" spans="1:20" ht="12.75" customHeight="1">
      <c r="A939" s="412"/>
      <c r="B939" s="36">
        <v>2</v>
      </c>
      <c r="C939" s="35" t="s">
        <v>774</v>
      </c>
      <c r="D939" s="36">
        <v>20</v>
      </c>
      <c r="E939" s="36"/>
      <c r="F939" s="609">
        <v>14.2</v>
      </c>
      <c r="G939" s="609">
        <v>2.29</v>
      </c>
      <c r="H939" s="609">
        <v>3.2</v>
      </c>
      <c r="I939" s="609">
        <v>8.7</v>
      </c>
      <c r="J939" s="615"/>
      <c r="K939" s="609">
        <v>8.7</v>
      </c>
      <c r="L939" s="135">
        <v>1065</v>
      </c>
      <c r="M939" s="164">
        <f t="shared" si="121"/>
        <v>0.00816901408450704</v>
      </c>
      <c r="N939" s="163">
        <v>234.1</v>
      </c>
      <c r="O939" s="163">
        <f t="shared" si="122"/>
        <v>1.912366197183098</v>
      </c>
      <c r="P939" s="163">
        <f t="shared" si="123"/>
        <v>490.1408450704224</v>
      </c>
      <c r="Q939" s="251">
        <f t="shared" si="124"/>
        <v>114.74197183098589</v>
      </c>
      <c r="R939" s="6"/>
      <c r="S939" s="97"/>
      <c r="T939" s="97"/>
    </row>
    <row r="940" spans="1:20" ht="12.75" customHeight="1">
      <c r="A940" s="412"/>
      <c r="B940" s="36">
        <v>3</v>
      </c>
      <c r="C940" s="35" t="s">
        <v>343</v>
      </c>
      <c r="D940" s="36">
        <v>36</v>
      </c>
      <c r="E940" s="36"/>
      <c r="F940" s="609">
        <v>27.3</v>
      </c>
      <c r="G940" s="609">
        <v>4.18</v>
      </c>
      <c r="H940" s="609">
        <v>5.76</v>
      </c>
      <c r="I940" s="609">
        <v>17.3</v>
      </c>
      <c r="J940" s="615"/>
      <c r="K940" s="609">
        <v>17.3</v>
      </c>
      <c r="L940" s="135">
        <v>2075</v>
      </c>
      <c r="M940" s="164">
        <f t="shared" si="121"/>
        <v>0.008337349397590363</v>
      </c>
      <c r="N940" s="163">
        <v>234.1</v>
      </c>
      <c r="O940" s="163">
        <f t="shared" si="122"/>
        <v>1.9517734939759037</v>
      </c>
      <c r="P940" s="163">
        <f t="shared" si="123"/>
        <v>500.24096385542174</v>
      </c>
      <c r="Q940" s="251">
        <f t="shared" si="124"/>
        <v>117.10640963855423</v>
      </c>
      <c r="R940" s="6"/>
      <c r="S940" s="97"/>
      <c r="T940" s="97"/>
    </row>
    <row r="941" spans="1:20" ht="12.75" customHeight="1">
      <c r="A941" s="412"/>
      <c r="B941" s="36">
        <v>4</v>
      </c>
      <c r="C941" s="35" t="s">
        <v>775</v>
      </c>
      <c r="D941" s="36">
        <v>20</v>
      </c>
      <c r="E941" s="36"/>
      <c r="F941" s="609">
        <v>13.7</v>
      </c>
      <c r="G941" s="609">
        <v>1.4</v>
      </c>
      <c r="H941" s="609">
        <v>3.2</v>
      </c>
      <c r="I941" s="609">
        <v>9.1</v>
      </c>
      <c r="J941" s="615"/>
      <c r="K941" s="609">
        <v>9.1</v>
      </c>
      <c r="L941" s="135">
        <v>1074</v>
      </c>
      <c r="M941" s="164">
        <f t="shared" si="121"/>
        <v>0.008472998137802607</v>
      </c>
      <c r="N941" s="163">
        <v>234.1</v>
      </c>
      <c r="O941" s="163">
        <f t="shared" si="122"/>
        <v>1.9835288640595903</v>
      </c>
      <c r="P941" s="163">
        <f t="shared" si="123"/>
        <v>508.3798882681564</v>
      </c>
      <c r="Q941" s="251">
        <f t="shared" si="124"/>
        <v>119.0117318435754</v>
      </c>
      <c r="R941" s="6"/>
      <c r="S941" s="97"/>
      <c r="T941" s="97"/>
    </row>
    <row r="942" spans="1:20" ht="12.75" customHeight="1">
      <c r="A942" s="412"/>
      <c r="B942" s="36">
        <v>5</v>
      </c>
      <c r="C942" s="35" t="s">
        <v>776</v>
      </c>
      <c r="D942" s="36">
        <v>20</v>
      </c>
      <c r="E942" s="36"/>
      <c r="F942" s="609">
        <v>14.9</v>
      </c>
      <c r="G942" s="609">
        <v>2.48</v>
      </c>
      <c r="H942" s="609">
        <v>3.2</v>
      </c>
      <c r="I942" s="609">
        <v>9.25</v>
      </c>
      <c r="J942" s="615"/>
      <c r="K942" s="609">
        <v>9.3</v>
      </c>
      <c r="L942" s="135">
        <v>1066</v>
      </c>
      <c r="M942" s="164">
        <f t="shared" si="121"/>
        <v>0.008724202626641652</v>
      </c>
      <c r="N942" s="163">
        <v>234.1</v>
      </c>
      <c r="O942" s="163">
        <f t="shared" si="122"/>
        <v>2.042335834896811</v>
      </c>
      <c r="P942" s="163">
        <f t="shared" si="123"/>
        <v>523.4521575984992</v>
      </c>
      <c r="Q942" s="251">
        <f t="shared" si="124"/>
        <v>122.54015009380865</v>
      </c>
      <c r="R942" s="6"/>
      <c r="S942" s="97"/>
      <c r="T942" s="97"/>
    </row>
    <row r="943" spans="1:20" ht="12.75" customHeight="1">
      <c r="A943" s="412"/>
      <c r="B943" s="36">
        <v>6</v>
      </c>
      <c r="C943" s="35" t="s">
        <v>777</v>
      </c>
      <c r="D943" s="36">
        <v>36</v>
      </c>
      <c r="E943" s="36"/>
      <c r="F943" s="609">
        <v>29.5</v>
      </c>
      <c r="G943" s="609">
        <v>4.4</v>
      </c>
      <c r="H943" s="609">
        <v>5.75</v>
      </c>
      <c r="I943" s="609">
        <v>19.3</v>
      </c>
      <c r="J943" s="615"/>
      <c r="K943" s="609">
        <v>19.3</v>
      </c>
      <c r="L943" s="135">
        <v>2107</v>
      </c>
      <c r="M943" s="164">
        <f t="shared" si="121"/>
        <v>0.009159943046986236</v>
      </c>
      <c r="N943" s="163">
        <v>234.1</v>
      </c>
      <c r="O943" s="163">
        <f t="shared" si="122"/>
        <v>2.144342667299478</v>
      </c>
      <c r="P943" s="163">
        <f t="shared" si="123"/>
        <v>549.5965828191743</v>
      </c>
      <c r="Q943" s="251">
        <f t="shared" si="124"/>
        <v>128.6605600379687</v>
      </c>
      <c r="R943" s="6"/>
      <c r="S943" s="97"/>
      <c r="T943" s="97"/>
    </row>
    <row r="944" spans="1:20" ht="12.75" customHeight="1">
      <c r="A944" s="412"/>
      <c r="B944" s="36">
        <v>7</v>
      </c>
      <c r="C944" s="35" t="s">
        <v>778</v>
      </c>
      <c r="D944" s="36">
        <v>36</v>
      </c>
      <c r="E944" s="36"/>
      <c r="F944" s="609">
        <v>28</v>
      </c>
      <c r="G944" s="609">
        <v>3.6</v>
      </c>
      <c r="H944" s="609">
        <v>5.76</v>
      </c>
      <c r="I944" s="609">
        <v>18.1</v>
      </c>
      <c r="J944" s="615"/>
      <c r="K944" s="609">
        <v>18.1</v>
      </c>
      <c r="L944" s="135">
        <v>1951</v>
      </c>
      <c r="M944" s="164">
        <f t="shared" si="121"/>
        <v>0.009277293695540749</v>
      </c>
      <c r="N944" s="163">
        <v>234.1</v>
      </c>
      <c r="O944" s="163">
        <f t="shared" si="122"/>
        <v>2.171814454126089</v>
      </c>
      <c r="P944" s="163">
        <f t="shared" si="123"/>
        <v>556.6376217324449</v>
      </c>
      <c r="Q944" s="251">
        <f t="shared" si="124"/>
        <v>130.30886724756536</v>
      </c>
      <c r="R944" s="6"/>
      <c r="S944" s="97"/>
      <c r="T944" s="97"/>
    </row>
    <row r="945" spans="1:20" ht="12.75" customHeight="1">
      <c r="A945" s="412"/>
      <c r="B945" s="36">
        <v>8</v>
      </c>
      <c r="C945" s="35" t="s">
        <v>779</v>
      </c>
      <c r="D945" s="36">
        <v>20</v>
      </c>
      <c r="E945" s="36"/>
      <c r="F945" s="609">
        <v>15.7</v>
      </c>
      <c r="G945" s="609">
        <v>2.4</v>
      </c>
      <c r="H945" s="609">
        <v>3.2</v>
      </c>
      <c r="I945" s="609">
        <v>10.1</v>
      </c>
      <c r="J945" s="615"/>
      <c r="K945" s="609">
        <v>10.1</v>
      </c>
      <c r="L945" s="135">
        <v>1071</v>
      </c>
      <c r="M945" s="164">
        <f t="shared" si="121"/>
        <v>0.009430438842203548</v>
      </c>
      <c r="N945" s="163">
        <v>234.1</v>
      </c>
      <c r="O945" s="163">
        <f t="shared" si="122"/>
        <v>2.2076657329598506</v>
      </c>
      <c r="P945" s="163">
        <f t="shared" si="123"/>
        <v>565.8263305322129</v>
      </c>
      <c r="Q945" s="251">
        <f t="shared" si="124"/>
        <v>132.45994397759102</v>
      </c>
      <c r="R945" s="6"/>
      <c r="S945" s="97"/>
      <c r="T945" s="97"/>
    </row>
    <row r="946" spans="1:20" ht="13.5" customHeight="1">
      <c r="A946" s="412"/>
      <c r="B946" s="36">
        <v>9</v>
      </c>
      <c r="C946" s="35" t="s">
        <v>115</v>
      </c>
      <c r="D946" s="36">
        <v>20</v>
      </c>
      <c r="E946" s="36"/>
      <c r="F946" s="609">
        <v>16.2</v>
      </c>
      <c r="G946" s="609">
        <v>3.2</v>
      </c>
      <c r="H946" s="609">
        <v>3.2</v>
      </c>
      <c r="I946" s="609">
        <v>9.8</v>
      </c>
      <c r="J946" s="615"/>
      <c r="K946" s="609">
        <v>9.8</v>
      </c>
      <c r="L946" s="135">
        <v>1039</v>
      </c>
      <c r="M946" s="164">
        <f t="shared" si="121"/>
        <v>0.009432146294513957</v>
      </c>
      <c r="N946" s="163">
        <v>234.1</v>
      </c>
      <c r="O946" s="163">
        <f t="shared" si="122"/>
        <v>2.2080654475457173</v>
      </c>
      <c r="P946" s="163">
        <f t="shared" si="123"/>
        <v>565.9287776708375</v>
      </c>
      <c r="Q946" s="251">
        <f t="shared" si="124"/>
        <v>132.48392685274305</v>
      </c>
      <c r="R946" s="6"/>
      <c r="S946" s="97"/>
      <c r="T946" s="97"/>
    </row>
    <row r="947" spans="1:20" ht="13.5" customHeight="1" thickBot="1">
      <c r="A947" s="413"/>
      <c r="B947" s="103">
        <v>10</v>
      </c>
      <c r="C947" s="296"/>
      <c r="D947" s="297"/>
      <c r="E947" s="297"/>
      <c r="F947" s="199"/>
      <c r="G947" s="199"/>
      <c r="H947" s="199"/>
      <c r="I947" s="199"/>
      <c r="J947" s="298"/>
      <c r="K947" s="199"/>
      <c r="L947" s="1242"/>
      <c r="M947" s="201"/>
      <c r="N947" s="200"/>
      <c r="O947" s="299"/>
      <c r="P947" s="299"/>
      <c r="Q947" s="300"/>
      <c r="R947" s="6"/>
      <c r="S947" s="97"/>
      <c r="T947" s="97"/>
    </row>
    <row r="948" spans="1:20" ht="12.75">
      <c r="A948" s="528" t="s">
        <v>30</v>
      </c>
      <c r="B948" s="366">
        <v>1</v>
      </c>
      <c r="C948" s="698" t="s">
        <v>780</v>
      </c>
      <c r="D948" s="653">
        <v>36</v>
      </c>
      <c r="E948" s="653"/>
      <c r="F948" s="850">
        <v>35</v>
      </c>
      <c r="G948" s="850">
        <v>4.18</v>
      </c>
      <c r="H948" s="850">
        <v>5.4</v>
      </c>
      <c r="I948" s="850">
        <v>23.9</v>
      </c>
      <c r="J948" s="702"/>
      <c r="K948" s="850">
        <v>23.9</v>
      </c>
      <c r="L948" s="918">
        <v>2109</v>
      </c>
      <c r="M948" s="675">
        <f aca="true" t="shared" si="125" ref="M948:M957">K948/L948</f>
        <v>0.011332385016595543</v>
      </c>
      <c r="N948" s="674">
        <v>234.1</v>
      </c>
      <c r="O948" s="674">
        <f aca="true" t="shared" si="126" ref="O948:O957">M948*N948</f>
        <v>2.6529113323850164</v>
      </c>
      <c r="P948" s="674">
        <f aca="true" t="shared" si="127" ref="P948:P957">M948*60*1000</f>
        <v>679.9431009957326</v>
      </c>
      <c r="Q948" s="676">
        <f aca="true" t="shared" si="128" ref="Q948:Q957">P948*N948/1000</f>
        <v>159.17467994310098</v>
      </c>
      <c r="R948" s="6"/>
      <c r="S948" s="97"/>
      <c r="T948" s="97"/>
    </row>
    <row r="949" spans="1:20" ht="12.75">
      <c r="A949" s="530"/>
      <c r="B949" s="367">
        <v>2</v>
      </c>
      <c r="C949" s="633" t="s">
        <v>781</v>
      </c>
      <c r="D949" s="367">
        <v>20</v>
      </c>
      <c r="E949" s="367"/>
      <c r="F949" s="677">
        <v>16.7</v>
      </c>
      <c r="G949" s="677">
        <v>1.89</v>
      </c>
      <c r="H949" s="677">
        <v>3.2</v>
      </c>
      <c r="I949" s="677">
        <v>11.6</v>
      </c>
      <c r="J949" s="704"/>
      <c r="K949" s="677">
        <v>11.6</v>
      </c>
      <c r="L949" s="652">
        <v>1013</v>
      </c>
      <c r="M949" s="679">
        <f t="shared" si="125"/>
        <v>0.011451135241855873</v>
      </c>
      <c r="N949" s="678">
        <v>234.1</v>
      </c>
      <c r="O949" s="678">
        <f t="shared" si="126"/>
        <v>2.6807107601184597</v>
      </c>
      <c r="P949" s="678">
        <f t="shared" si="127"/>
        <v>687.0681145113524</v>
      </c>
      <c r="Q949" s="680">
        <f t="shared" si="128"/>
        <v>160.84264560710758</v>
      </c>
      <c r="R949" s="6"/>
      <c r="S949" s="97"/>
      <c r="T949" s="97"/>
    </row>
    <row r="950" spans="1:20" ht="12.75">
      <c r="A950" s="530"/>
      <c r="B950" s="367">
        <v>3</v>
      </c>
      <c r="C950" s="633" t="s">
        <v>782</v>
      </c>
      <c r="D950" s="367">
        <v>20</v>
      </c>
      <c r="E950" s="367"/>
      <c r="F950" s="677">
        <v>16.6</v>
      </c>
      <c r="G950" s="677">
        <v>1.1</v>
      </c>
      <c r="H950" s="677">
        <v>3.2</v>
      </c>
      <c r="I950" s="677">
        <v>12.3</v>
      </c>
      <c r="J950" s="704"/>
      <c r="K950" s="677">
        <v>12.3</v>
      </c>
      <c r="L950" s="652">
        <v>1066</v>
      </c>
      <c r="M950" s="679">
        <f t="shared" si="125"/>
        <v>0.011538461538461539</v>
      </c>
      <c r="N950" s="678">
        <v>234.1</v>
      </c>
      <c r="O950" s="678">
        <f t="shared" si="126"/>
        <v>2.7011538461538462</v>
      </c>
      <c r="P950" s="678">
        <f t="shared" si="127"/>
        <v>692.3076923076923</v>
      </c>
      <c r="Q950" s="680">
        <f t="shared" si="128"/>
        <v>162.06923076923076</v>
      </c>
      <c r="R950" s="6"/>
      <c r="S950" s="97"/>
      <c r="T950" s="97"/>
    </row>
    <row r="951" spans="1:20" ht="12.75">
      <c r="A951" s="530"/>
      <c r="B951" s="367">
        <v>4</v>
      </c>
      <c r="C951" s="633" t="s">
        <v>783</v>
      </c>
      <c r="D951" s="367">
        <v>20</v>
      </c>
      <c r="E951" s="367"/>
      <c r="F951" s="677">
        <v>17</v>
      </c>
      <c r="G951" s="677">
        <v>1.6</v>
      </c>
      <c r="H951" s="677">
        <v>3.2</v>
      </c>
      <c r="I951" s="677">
        <v>12.1</v>
      </c>
      <c r="J951" s="704"/>
      <c r="K951" s="677">
        <v>12.1</v>
      </c>
      <c r="L951" s="652">
        <v>1039</v>
      </c>
      <c r="M951" s="679">
        <f t="shared" si="125"/>
        <v>0.011645813282001925</v>
      </c>
      <c r="N951" s="678">
        <v>234.1</v>
      </c>
      <c r="O951" s="678">
        <f t="shared" si="126"/>
        <v>2.7262848893166507</v>
      </c>
      <c r="P951" s="678">
        <f t="shared" si="127"/>
        <v>698.7487969201155</v>
      </c>
      <c r="Q951" s="680">
        <f t="shared" si="128"/>
        <v>163.57709335899904</v>
      </c>
      <c r="R951" s="6"/>
      <c r="S951" s="97"/>
      <c r="T951" s="97"/>
    </row>
    <row r="952" spans="1:20" ht="12.75">
      <c r="A952" s="530"/>
      <c r="B952" s="367">
        <v>5</v>
      </c>
      <c r="C952" s="633" t="s">
        <v>784</v>
      </c>
      <c r="D952" s="367">
        <v>62</v>
      </c>
      <c r="E952" s="367"/>
      <c r="F952" s="677">
        <v>57.1</v>
      </c>
      <c r="G952" s="677">
        <v>1.88</v>
      </c>
      <c r="H952" s="677">
        <v>9.9</v>
      </c>
      <c r="I952" s="677">
        <v>42.69</v>
      </c>
      <c r="J952" s="704"/>
      <c r="K952" s="677">
        <v>42.68</v>
      </c>
      <c r="L952" s="652">
        <v>3618</v>
      </c>
      <c r="M952" s="679">
        <f t="shared" si="125"/>
        <v>0.01179657269209508</v>
      </c>
      <c r="N952" s="678">
        <v>234.1</v>
      </c>
      <c r="O952" s="678">
        <f t="shared" si="126"/>
        <v>2.7615776672194583</v>
      </c>
      <c r="P952" s="678">
        <f t="shared" si="127"/>
        <v>707.7943615257049</v>
      </c>
      <c r="Q952" s="680">
        <f t="shared" si="128"/>
        <v>165.6946600331675</v>
      </c>
      <c r="R952" s="6"/>
      <c r="S952" s="97"/>
      <c r="T952" s="97"/>
    </row>
    <row r="953" spans="1:20" ht="12.75">
      <c r="A953" s="530"/>
      <c r="B953" s="367">
        <v>6</v>
      </c>
      <c r="C953" s="633" t="s">
        <v>785</v>
      </c>
      <c r="D953" s="367">
        <v>20</v>
      </c>
      <c r="E953" s="367"/>
      <c r="F953" s="677">
        <v>17.77</v>
      </c>
      <c r="G953" s="677">
        <v>2.4</v>
      </c>
      <c r="H953" s="677">
        <v>3.2</v>
      </c>
      <c r="I953" s="677">
        <v>12.1</v>
      </c>
      <c r="J953" s="704"/>
      <c r="K953" s="677">
        <v>12.1</v>
      </c>
      <c r="L953" s="652">
        <v>1019</v>
      </c>
      <c r="M953" s="679">
        <f t="shared" si="125"/>
        <v>0.011874386653581943</v>
      </c>
      <c r="N953" s="678">
        <v>234.1</v>
      </c>
      <c r="O953" s="678">
        <f t="shared" si="126"/>
        <v>2.7797939156035327</v>
      </c>
      <c r="P953" s="678">
        <f t="shared" si="127"/>
        <v>712.4631992149165</v>
      </c>
      <c r="Q953" s="680">
        <f t="shared" si="128"/>
        <v>166.78763493621196</v>
      </c>
      <c r="R953" s="6"/>
      <c r="S953" s="97"/>
      <c r="T953" s="97"/>
    </row>
    <row r="954" spans="1:20" ht="12.75">
      <c r="A954" s="530"/>
      <c r="B954" s="367">
        <v>7</v>
      </c>
      <c r="C954" s="633" t="s">
        <v>344</v>
      </c>
      <c r="D954" s="367">
        <v>20</v>
      </c>
      <c r="E954" s="367"/>
      <c r="F954" s="677">
        <v>17.3</v>
      </c>
      <c r="G954" s="677">
        <v>1.1</v>
      </c>
      <c r="H954" s="677">
        <v>3.2</v>
      </c>
      <c r="I954" s="677">
        <v>12.9</v>
      </c>
      <c r="J954" s="704"/>
      <c r="K954" s="677">
        <v>12.9</v>
      </c>
      <c r="L954" s="652">
        <v>1058</v>
      </c>
      <c r="M954" s="679">
        <f t="shared" si="125"/>
        <v>0.012192816635160681</v>
      </c>
      <c r="N954" s="678">
        <v>234.1</v>
      </c>
      <c r="O954" s="678">
        <f t="shared" si="126"/>
        <v>2.8543383742911153</v>
      </c>
      <c r="P954" s="678">
        <f t="shared" si="127"/>
        <v>731.5689981096409</v>
      </c>
      <c r="Q954" s="680">
        <f t="shared" si="128"/>
        <v>171.26030245746693</v>
      </c>
      <c r="R954" s="6"/>
      <c r="S954" s="97"/>
      <c r="T954" s="97"/>
    </row>
    <row r="955" spans="1:20" ht="12.75">
      <c r="A955" s="530"/>
      <c r="B955" s="367">
        <v>8</v>
      </c>
      <c r="C955" s="633" t="s">
        <v>786</v>
      </c>
      <c r="D955" s="367">
        <v>20</v>
      </c>
      <c r="E955" s="367"/>
      <c r="F955" s="677">
        <v>18.1</v>
      </c>
      <c r="G955" s="677">
        <v>1.7</v>
      </c>
      <c r="H955" s="677">
        <v>3.2</v>
      </c>
      <c r="I955" s="677">
        <v>13.2</v>
      </c>
      <c r="J955" s="704"/>
      <c r="K955" s="677">
        <v>13.2</v>
      </c>
      <c r="L955" s="652">
        <v>1073</v>
      </c>
      <c r="M955" s="679">
        <f t="shared" si="125"/>
        <v>0.012301957129543337</v>
      </c>
      <c r="N955" s="678">
        <v>234.1</v>
      </c>
      <c r="O955" s="678">
        <f t="shared" si="126"/>
        <v>2.879888164026095</v>
      </c>
      <c r="P955" s="678">
        <f t="shared" si="127"/>
        <v>738.1174277726002</v>
      </c>
      <c r="Q955" s="680">
        <f t="shared" si="128"/>
        <v>172.79328984156572</v>
      </c>
      <c r="R955" s="6"/>
      <c r="S955" s="97"/>
      <c r="T955" s="97"/>
    </row>
    <row r="956" spans="1:20" ht="12.75">
      <c r="A956" s="532"/>
      <c r="B956" s="533">
        <v>9</v>
      </c>
      <c r="C956" s="633" t="s">
        <v>787</v>
      </c>
      <c r="D956" s="367">
        <v>20</v>
      </c>
      <c r="E956" s="367"/>
      <c r="F956" s="677">
        <v>18.5</v>
      </c>
      <c r="G956" s="677">
        <v>2.29</v>
      </c>
      <c r="H956" s="677">
        <v>3.2</v>
      </c>
      <c r="I956" s="677">
        <v>13</v>
      </c>
      <c r="J956" s="704"/>
      <c r="K956" s="677">
        <v>13</v>
      </c>
      <c r="L956" s="652">
        <v>1034</v>
      </c>
      <c r="M956" s="679">
        <f t="shared" si="125"/>
        <v>0.012572533849129593</v>
      </c>
      <c r="N956" s="674">
        <v>234.1</v>
      </c>
      <c r="O956" s="678">
        <f t="shared" si="126"/>
        <v>2.9432301740812377</v>
      </c>
      <c r="P956" s="674">
        <f t="shared" si="127"/>
        <v>754.3520309477756</v>
      </c>
      <c r="Q956" s="680">
        <f t="shared" si="128"/>
        <v>176.59381044487426</v>
      </c>
      <c r="R956" s="6"/>
      <c r="S956" s="97"/>
      <c r="T956" s="97"/>
    </row>
    <row r="957" spans="1:20" ht="13.5" thickBot="1">
      <c r="A957" s="534"/>
      <c r="B957" s="535">
        <v>10</v>
      </c>
      <c r="C957" s="640" t="s">
        <v>788</v>
      </c>
      <c r="D957" s="535">
        <v>20</v>
      </c>
      <c r="E957" s="535"/>
      <c r="F957" s="681">
        <v>17.4</v>
      </c>
      <c r="G957" s="681">
        <v>1.88</v>
      </c>
      <c r="H957" s="681">
        <v>3.2</v>
      </c>
      <c r="I957" s="681">
        <v>12.3</v>
      </c>
      <c r="J957" s="706"/>
      <c r="K957" s="681">
        <v>13.3</v>
      </c>
      <c r="L957" s="658">
        <v>1037</v>
      </c>
      <c r="M957" s="684">
        <f t="shared" si="125"/>
        <v>0.01282545805207329</v>
      </c>
      <c r="N957" s="683">
        <v>234.1</v>
      </c>
      <c r="O957" s="683">
        <f t="shared" si="126"/>
        <v>3.002439729990357</v>
      </c>
      <c r="P957" s="683">
        <f t="shared" si="127"/>
        <v>769.5274831243973</v>
      </c>
      <c r="Q957" s="685">
        <f t="shared" si="128"/>
        <v>180.14638379942141</v>
      </c>
      <c r="R957" s="6"/>
      <c r="S957" s="97"/>
      <c r="T957" s="97"/>
    </row>
    <row r="958" spans="14:20" ht="12.75">
      <c r="N958" s="854"/>
      <c r="S958" s="97"/>
      <c r="T958" s="97"/>
    </row>
    <row r="959" spans="19:20" ht="12.75">
      <c r="S959" s="97"/>
      <c r="T959" s="97"/>
    </row>
    <row r="960" spans="19:20" ht="12.75">
      <c r="S960" s="97"/>
      <c r="T960" s="97"/>
    </row>
    <row r="961" spans="19:20" ht="12.75">
      <c r="S961" s="97"/>
      <c r="T961" s="97"/>
    </row>
    <row r="962" spans="19:20" ht="12.75">
      <c r="S962" s="97"/>
      <c r="T962" s="97"/>
    </row>
    <row r="963" spans="19:20" ht="12.75">
      <c r="S963" s="97"/>
      <c r="T963" s="97"/>
    </row>
    <row r="964" spans="1:20" ht="15">
      <c r="A964" s="419" t="s">
        <v>60</v>
      </c>
      <c r="B964" s="419"/>
      <c r="C964" s="419"/>
      <c r="D964" s="419"/>
      <c r="E964" s="419"/>
      <c r="F964" s="419"/>
      <c r="G964" s="419"/>
      <c r="H964" s="419"/>
      <c r="I964" s="419"/>
      <c r="J964" s="419"/>
      <c r="K964" s="419"/>
      <c r="L964" s="419"/>
      <c r="M964" s="419"/>
      <c r="N964" s="419"/>
      <c r="O964" s="419"/>
      <c r="P964" s="419"/>
      <c r="Q964" s="419"/>
      <c r="S964" s="97"/>
      <c r="T964" s="97"/>
    </row>
    <row r="965" spans="1:20" ht="13.5" thickBot="1">
      <c r="A965" s="420" t="s">
        <v>801</v>
      </c>
      <c r="B965" s="420"/>
      <c r="C965" s="420"/>
      <c r="D965" s="420"/>
      <c r="E965" s="420"/>
      <c r="F965" s="420"/>
      <c r="G965" s="420"/>
      <c r="H965" s="420"/>
      <c r="I965" s="420"/>
      <c r="J965" s="420"/>
      <c r="K965" s="420"/>
      <c r="L965" s="420"/>
      <c r="M965" s="420"/>
      <c r="N965" s="420"/>
      <c r="O965" s="420"/>
      <c r="P965" s="420"/>
      <c r="Q965" s="420"/>
      <c r="S965" s="97"/>
      <c r="T965" s="97"/>
    </row>
    <row r="966" spans="1:20" ht="12.75" customHeight="1">
      <c r="A966" s="395" t="s">
        <v>1</v>
      </c>
      <c r="B966" s="397" t="s">
        <v>0</v>
      </c>
      <c r="C966" s="384" t="s">
        <v>2</v>
      </c>
      <c r="D966" s="384" t="s">
        <v>3</v>
      </c>
      <c r="E966" s="384" t="s">
        <v>13</v>
      </c>
      <c r="F966" s="386" t="s">
        <v>14</v>
      </c>
      <c r="G966" s="387"/>
      <c r="H966" s="387"/>
      <c r="I966" s="388"/>
      <c r="J966" s="384" t="s">
        <v>4</v>
      </c>
      <c r="K966" s="384" t="s">
        <v>15</v>
      </c>
      <c r="L966" s="384" t="s">
        <v>5</v>
      </c>
      <c r="M966" s="384" t="s">
        <v>6</v>
      </c>
      <c r="N966" s="384" t="s">
        <v>16</v>
      </c>
      <c r="O966" s="389" t="s">
        <v>17</v>
      </c>
      <c r="P966" s="384" t="s">
        <v>25</v>
      </c>
      <c r="Q966" s="391" t="s">
        <v>26</v>
      </c>
      <c r="S966" s="97"/>
      <c r="T966" s="97"/>
    </row>
    <row r="967" spans="1:20" s="2" customFormat="1" ht="33.75">
      <c r="A967" s="396"/>
      <c r="B967" s="398"/>
      <c r="C967" s="399"/>
      <c r="D967" s="385"/>
      <c r="E967" s="385"/>
      <c r="F967" s="37" t="s">
        <v>18</v>
      </c>
      <c r="G967" s="37" t="s">
        <v>19</v>
      </c>
      <c r="H967" s="37" t="s">
        <v>20</v>
      </c>
      <c r="I967" s="37" t="s">
        <v>21</v>
      </c>
      <c r="J967" s="385"/>
      <c r="K967" s="385"/>
      <c r="L967" s="385"/>
      <c r="M967" s="385"/>
      <c r="N967" s="385"/>
      <c r="O967" s="390"/>
      <c r="P967" s="385"/>
      <c r="Q967" s="392"/>
      <c r="S967" s="97"/>
      <c r="T967" s="97"/>
    </row>
    <row r="968" spans="1:20" s="3" customFormat="1" ht="13.5" customHeight="1" thickBot="1">
      <c r="A968" s="414"/>
      <c r="B968" s="415"/>
      <c r="C968" s="416"/>
      <c r="D968" s="65" t="s">
        <v>7</v>
      </c>
      <c r="E968" s="65" t="s">
        <v>8</v>
      </c>
      <c r="F968" s="65" t="s">
        <v>9</v>
      </c>
      <c r="G968" s="65" t="s">
        <v>9</v>
      </c>
      <c r="H968" s="65" t="s">
        <v>9</v>
      </c>
      <c r="I968" s="65" t="s">
        <v>9</v>
      </c>
      <c r="J968" s="65" t="s">
        <v>22</v>
      </c>
      <c r="K968" s="65" t="s">
        <v>9</v>
      </c>
      <c r="L968" s="65" t="s">
        <v>22</v>
      </c>
      <c r="M968" s="65" t="s">
        <v>136</v>
      </c>
      <c r="N968" s="65" t="s">
        <v>10</v>
      </c>
      <c r="O968" s="65" t="s">
        <v>137</v>
      </c>
      <c r="P968" s="66" t="s">
        <v>27</v>
      </c>
      <c r="Q968" s="67" t="s">
        <v>28</v>
      </c>
      <c r="S968" s="97"/>
      <c r="T968" s="97"/>
    </row>
    <row r="969" spans="1:20" ht="11.25" customHeight="1">
      <c r="A969" s="411" t="s">
        <v>29</v>
      </c>
      <c r="B969" s="34">
        <v>1</v>
      </c>
      <c r="C969" s="35" t="s">
        <v>791</v>
      </c>
      <c r="D969" s="36">
        <v>40</v>
      </c>
      <c r="E969" s="36">
        <v>1990</v>
      </c>
      <c r="F969" s="608">
        <v>21.529</v>
      </c>
      <c r="G969" s="608">
        <v>5.375</v>
      </c>
      <c r="H969" s="608">
        <v>6.4</v>
      </c>
      <c r="I969" s="609">
        <v>9.754</v>
      </c>
      <c r="J969" s="951">
        <v>2277.29</v>
      </c>
      <c r="K969" s="608">
        <v>9.754</v>
      </c>
      <c r="L969" s="951">
        <v>2277.3</v>
      </c>
      <c r="M969" s="184">
        <f>K969/L969</f>
        <v>0.004283142317656874</v>
      </c>
      <c r="N969" s="185">
        <v>194.3</v>
      </c>
      <c r="O969" s="185">
        <f>M969*N969</f>
        <v>0.8322145523207307</v>
      </c>
      <c r="P969" s="185">
        <f>M969*60*1000</f>
        <v>256.98853905941246</v>
      </c>
      <c r="Q969" s="259">
        <f>P969*N969/1000</f>
        <v>49.932873139243846</v>
      </c>
      <c r="R969" s="6"/>
      <c r="S969" s="97"/>
      <c r="T969" s="97"/>
    </row>
    <row r="970" spans="1:20" ht="12.75" customHeight="1">
      <c r="A970" s="412"/>
      <c r="B970" s="36">
        <v>2</v>
      </c>
      <c r="C970" s="35" t="s">
        <v>792</v>
      </c>
      <c r="D970" s="36">
        <v>40</v>
      </c>
      <c r="E970" s="36">
        <v>1974</v>
      </c>
      <c r="F970" s="609">
        <v>20.713</v>
      </c>
      <c r="G970" s="609">
        <v>3.471</v>
      </c>
      <c r="H970" s="609">
        <v>6.4</v>
      </c>
      <c r="I970" s="609">
        <v>10.842</v>
      </c>
      <c r="J970" s="135">
        <v>2261.31</v>
      </c>
      <c r="K970" s="609">
        <v>10.8</v>
      </c>
      <c r="L970" s="135">
        <v>2261.3</v>
      </c>
      <c r="M970" s="184">
        <f>K970/L970</f>
        <v>0.004776013797373193</v>
      </c>
      <c r="N970" s="163">
        <v>194.3</v>
      </c>
      <c r="O970" s="185">
        <f>M970*N970</f>
        <v>0.9279794808296113</v>
      </c>
      <c r="P970" s="185">
        <f>M970*60*1000</f>
        <v>286.5608278423916</v>
      </c>
      <c r="Q970" s="259">
        <f>P970*N970/1000</f>
        <v>55.67876884977669</v>
      </c>
      <c r="R970" s="6"/>
      <c r="S970" s="97"/>
      <c r="T970" s="97"/>
    </row>
    <row r="971" spans="1:20" ht="12.75" customHeight="1">
      <c r="A971" s="412"/>
      <c r="B971" s="36">
        <v>3</v>
      </c>
      <c r="C971" s="35" t="s">
        <v>793</v>
      </c>
      <c r="D971" s="36">
        <v>25</v>
      </c>
      <c r="E971" s="36">
        <v>1987</v>
      </c>
      <c r="F971" s="609">
        <v>15.822</v>
      </c>
      <c r="G971" s="609">
        <v>4.199</v>
      </c>
      <c r="H971" s="609">
        <v>4</v>
      </c>
      <c r="I971" s="609">
        <v>7.623</v>
      </c>
      <c r="J971" s="135">
        <v>1564.68</v>
      </c>
      <c r="K971" s="609">
        <v>7.623</v>
      </c>
      <c r="L971" s="135">
        <v>1564.7</v>
      </c>
      <c r="M971" s="164">
        <f>K971/L971</f>
        <v>0.004871860420527897</v>
      </c>
      <c r="N971" s="163">
        <v>194.3</v>
      </c>
      <c r="O971" s="185">
        <f>M971*N971</f>
        <v>0.9466024797085704</v>
      </c>
      <c r="P971" s="185">
        <f>M971*60*1000</f>
        <v>292.3116252316738</v>
      </c>
      <c r="Q971" s="251">
        <f>P971*N971/1000</f>
        <v>56.79614878251422</v>
      </c>
      <c r="R971" s="6"/>
      <c r="S971" s="97"/>
      <c r="T971" s="97"/>
    </row>
    <row r="972" spans="1:20" ht="12.75" customHeight="1">
      <c r="A972" s="412"/>
      <c r="B972" s="36">
        <v>4</v>
      </c>
      <c r="C972" s="35" t="s">
        <v>794</v>
      </c>
      <c r="D972" s="36">
        <v>22</v>
      </c>
      <c r="E972" s="36">
        <v>1980</v>
      </c>
      <c r="F972" s="609">
        <v>11.767</v>
      </c>
      <c r="G972" s="609">
        <v>2.239</v>
      </c>
      <c r="H972" s="609">
        <v>3.52</v>
      </c>
      <c r="I972" s="609">
        <v>6.007</v>
      </c>
      <c r="J972" s="135">
        <v>1187</v>
      </c>
      <c r="K972" s="609">
        <v>6.007</v>
      </c>
      <c r="L972" s="135">
        <v>1187</v>
      </c>
      <c r="M972" s="164">
        <f>K972/L972</f>
        <v>0.005060657118786858</v>
      </c>
      <c r="N972" s="163">
        <v>194.3</v>
      </c>
      <c r="O972" s="163">
        <f>M972*N972</f>
        <v>0.9832856781802864</v>
      </c>
      <c r="P972" s="185">
        <f>M972*60*1000</f>
        <v>303.6394271272115</v>
      </c>
      <c r="Q972" s="251">
        <f>P972*N972/1000</f>
        <v>58.9971406908172</v>
      </c>
      <c r="R972" s="6"/>
      <c r="S972" s="97"/>
      <c r="T972" s="97"/>
    </row>
    <row r="973" spans="1:20" ht="12.75" customHeight="1">
      <c r="A973" s="412"/>
      <c r="B973" s="36">
        <v>5</v>
      </c>
      <c r="C973" s="35"/>
      <c r="D973" s="135"/>
      <c r="E973" s="135"/>
      <c r="F973" s="609"/>
      <c r="G973" s="609"/>
      <c r="H973" s="609"/>
      <c r="I973" s="609"/>
      <c r="J973" s="135"/>
      <c r="K973" s="609"/>
      <c r="L973" s="135"/>
      <c r="M973" s="164"/>
      <c r="N973" s="163"/>
      <c r="O973" s="163"/>
      <c r="P973" s="163"/>
      <c r="Q973" s="251"/>
      <c r="R973" s="6"/>
      <c r="S973" s="97"/>
      <c r="T973" s="97"/>
    </row>
    <row r="974" spans="1:20" ht="12.75" customHeight="1">
      <c r="A974" s="412"/>
      <c r="B974" s="36">
        <v>6</v>
      </c>
      <c r="C974" s="99"/>
      <c r="D974" s="108"/>
      <c r="E974" s="108"/>
      <c r="F974" s="622"/>
      <c r="G974" s="622"/>
      <c r="H974" s="622"/>
      <c r="I974" s="622"/>
      <c r="J974" s="135"/>
      <c r="K974" s="622"/>
      <c r="L974" s="138"/>
      <c r="M974" s="184"/>
      <c r="N974" s="185"/>
      <c r="O974" s="185"/>
      <c r="P974" s="163"/>
      <c r="Q974" s="259"/>
      <c r="R974" s="6"/>
      <c r="S974" s="97"/>
      <c r="T974" s="97"/>
    </row>
    <row r="975" spans="1:20" ht="12.75" customHeight="1">
      <c r="A975" s="412"/>
      <c r="B975" s="36">
        <v>7</v>
      </c>
      <c r="C975" s="99"/>
      <c r="D975" s="73"/>
      <c r="E975" s="73"/>
      <c r="F975" s="622"/>
      <c r="G975" s="622"/>
      <c r="H975" s="622"/>
      <c r="I975" s="622"/>
      <c r="J975" s="138"/>
      <c r="K975" s="622"/>
      <c r="L975" s="138"/>
      <c r="M975" s="184"/>
      <c r="N975" s="185"/>
      <c r="O975" s="185"/>
      <c r="P975" s="185"/>
      <c r="Q975" s="259"/>
      <c r="R975" s="6"/>
      <c r="S975" s="97"/>
      <c r="T975" s="97"/>
    </row>
    <row r="976" spans="1:20" ht="12.75" customHeight="1">
      <c r="A976" s="412"/>
      <c r="B976" s="36">
        <v>8</v>
      </c>
      <c r="C976" s="35"/>
      <c r="D976" s="36"/>
      <c r="E976" s="36"/>
      <c r="F976" s="609"/>
      <c r="G976" s="609"/>
      <c r="H976" s="609"/>
      <c r="I976" s="609"/>
      <c r="J976" s="135"/>
      <c r="K976" s="609"/>
      <c r="L976" s="135"/>
      <c r="M976" s="164"/>
      <c r="N976" s="163"/>
      <c r="O976" s="163"/>
      <c r="P976" s="163"/>
      <c r="Q976" s="251"/>
      <c r="R976" s="6"/>
      <c r="S976" s="97"/>
      <c r="T976" s="97"/>
    </row>
    <row r="977" spans="1:20" ht="13.5" customHeight="1">
      <c r="A977" s="412"/>
      <c r="B977" s="36">
        <v>9</v>
      </c>
      <c r="C977" s="35"/>
      <c r="D977" s="36"/>
      <c r="E977" s="36"/>
      <c r="F977" s="609"/>
      <c r="G977" s="609"/>
      <c r="H977" s="609"/>
      <c r="I977" s="609"/>
      <c r="J977" s="135"/>
      <c r="K977" s="609"/>
      <c r="L977" s="135"/>
      <c r="M977" s="164"/>
      <c r="N977" s="163"/>
      <c r="O977" s="163"/>
      <c r="P977" s="163"/>
      <c r="Q977" s="251"/>
      <c r="R977" s="6"/>
      <c r="S977" s="97"/>
      <c r="T977" s="97"/>
    </row>
    <row r="978" spans="1:20" ht="13.5" customHeight="1" thickBot="1">
      <c r="A978" s="413"/>
      <c r="B978" s="103">
        <v>10</v>
      </c>
      <c r="C978" s="91"/>
      <c r="D978" s="39"/>
      <c r="E978" s="39"/>
      <c r="F978" s="613"/>
      <c r="G978" s="613"/>
      <c r="H978" s="613"/>
      <c r="I978" s="613"/>
      <c r="J978" s="276"/>
      <c r="K978" s="613"/>
      <c r="L978" s="276"/>
      <c r="M978" s="332"/>
      <c r="N978" s="260"/>
      <c r="O978" s="260"/>
      <c r="P978" s="260"/>
      <c r="Q978" s="261"/>
      <c r="R978" s="6"/>
      <c r="S978" s="97"/>
      <c r="T978" s="97"/>
    </row>
    <row r="979" spans="1:20" ht="12.75">
      <c r="A979" s="528" t="s">
        <v>30</v>
      </c>
      <c r="B979" s="366">
        <v>1</v>
      </c>
      <c r="C979" s="627" t="s">
        <v>795</v>
      </c>
      <c r="D979" s="366">
        <v>12</v>
      </c>
      <c r="E979" s="366">
        <v>1987</v>
      </c>
      <c r="F979" s="671">
        <v>8.171</v>
      </c>
      <c r="G979" s="671">
        <v>0.84</v>
      </c>
      <c r="H979" s="671">
        <v>1.92</v>
      </c>
      <c r="I979" s="671">
        <v>5.411</v>
      </c>
      <c r="J979" s="952">
        <v>686.57</v>
      </c>
      <c r="K979" s="671">
        <v>5.411</v>
      </c>
      <c r="L979" s="918">
        <v>686.6</v>
      </c>
      <c r="M979" s="675">
        <f>K979/L979</f>
        <v>0.007880862219632974</v>
      </c>
      <c r="N979" s="674">
        <v>194.3</v>
      </c>
      <c r="O979" s="674">
        <f>M979*N979</f>
        <v>1.5312515292746869</v>
      </c>
      <c r="P979" s="674">
        <f>M979*60*1000</f>
        <v>472.8517331779785</v>
      </c>
      <c r="Q979" s="676">
        <f>P979*N979/1000</f>
        <v>91.87509175648123</v>
      </c>
      <c r="R979" s="6"/>
      <c r="S979" s="97"/>
      <c r="T979" s="97"/>
    </row>
    <row r="980" spans="1:20" ht="12.75">
      <c r="A980" s="530"/>
      <c r="B980" s="367">
        <v>2</v>
      </c>
      <c r="C980" s="633" t="s">
        <v>796</v>
      </c>
      <c r="D980" s="367">
        <v>8</v>
      </c>
      <c r="E980" s="367">
        <v>1970</v>
      </c>
      <c r="F980" s="677">
        <v>3.795</v>
      </c>
      <c r="G980" s="677">
        <v>0.28</v>
      </c>
      <c r="H980" s="677">
        <v>0.08</v>
      </c>
      <c r="I980" s="677">
        <v>3.435</v>
      </c>
      <c r="J980" s="652">
        <v>378.21</v>
      </c>
      <c r="K980" s="677">
        <v>3.435</v>
      </c>
      <c r="L980" s="652">
        <v>378.21</v>
      </c>
      <c r="M980" s="679">
        <f>K980/L980</f>
        <v>0.009082255889585151</v>
      </c>
      <c r="N980" s="678">
        <v>194.3</v>
      </c>
      <c r="O980" s="678">
        <f>M980*N980</f>
        <v>1.764682319346395</v>
      </c>
      <c r="P980" s="674">
        <f>M980*60*1000</f>
        <v>544.9353533751091</v>
      </c>
      <c r="Q980" s="680">
        <f>P980*N980/1000</f>
        <v>105.8809391607837</v>
      </c>
      <c r="R980" s="6"/>
      <c r="S980" s="97"/>
      <c r="T980" s="97"/>
    </row>
    <row r="981" spans="1:20" ht="12.75">
      <c r="A981" s="530"/>
      <c r="B981" s="367">
        <v>3</v>
      </c>
      <c r="C981" s="633" t="s">
        <v>797</v>
      </c>
      <c r="D981" s="367">
        <v>10</v>
      </c>
      <c r="E981" s="367">
        <v>1978</v>
      </c>
      <c r="F981" s="677">
        <v>7.64</v>
      </c>
      <c r="G981" s="677">
        <v>0.84</v>
      </c>
      <c r="H981" s="677">
        <v>1.6</v>
      </c>
      <c r="I981" s="677">
        <v>5.2</v>
      </c>
      <c r="J981" s="652">
        <v>551.02</v>
      </c>
      <c r="K981" s="677">
        <v>5.2</v>
      </c>
      <c r="L981" s="652">
        <v>551</v>
      </c>
      <c r="M981" s="679">
        <f>K981/L981</f>
        <v>0.009437386569872959</v>
      </c>
      <c r="N981" s="678">
        <v>194.3</v>
      </c>
      <c r="O981" s="678">
        <f>M981*N981</f>
        <v>1.833684210526316</v>
      </c>
      <c r="P981" s="674">
        <f>M981*60*1000</f>
        <v>566.2431941923776</v>
      </c>
      <c r="Q981" s="680">
        <f>P981*N981/1000</f>
        <v>110.02105263157898</v>
      </c>
      <c r="R981" s="6"/>
      <c r="S981" s="97"/>
      <c r="T981" s="97"/>
    </row>
    <row r="982" spans="1:20" ht="12.75">
      <c r="A982" s="530"/>
      <c r="B982" s="367">
        <v>4</v>
      </c>
      <c r="C982" s="633"/>
      <c r="D982" s="367"/>
      <c r="E982" s="367"/>
      <c r="F982" s="677"/>
      <c r="G982" s="677"/>
      <c r="H982" s="677"/>
      <c r="I982" s="677"/>
      <c r="J982" s="652"/>
      <c r="K982" s="677"/>
      <c r="L982" s="652"/>
      <c r="M982" s="679"/>
      <c r="N982" s="678"/>
      <c r="O982" s="678"/>
      <c r="P982" s="678"/>
      <c r="Q982" s="680"/>
      <c r="R982" s="6"/>
      <c r="S982" s="97"/>
      <c r="T982" s="97"/>
    </row>
    <row r="983" spans="1:20" ht="12.75">
      <c r="A983" s="530"/>
      <c r="B983" s="367">
        <v>5</v>
      </c>
      <c r="C983" s="633"/>
      <c r="D983" s="367"/>
      <c r="E983" s="367"/>
      <c r="F983" s="677"/>
      <c r="G983" s="677"/>
      <c r="H983" s="677"/>
      <c r="I983" s="677"/>
      <c r="J983" s="652"/>
      <c r="K983" s="677"/>
      <c r="L983" s="652"/>
      <c r="M983" s="679"/>
      <c r="N983" s="678"/>
      <c r="O983" s="678"/>
      <c r="P983" s="678"/>
      <c r="Q983" s="680"/>
      <c r="R983" s="6"/>
      <c r="S983" s="97"/>
      <c r="T983" s="97"/>
    </row>
    <row r="984" spans="1:20" ht="12.75">
      <c r="A984" s="530"/>
      <c r="B984" s="367">
        <v>6</v>
      </c>
      <c r="C984" s="633"/>
      <c r="D984" s="367"/>
      <c r="E984" s="367"/>
      <c r="F984" s="677"/>
      <c r="G984" s="677"/>
      <c r="H984" s="677"/>
      <c r="I984" s="677"/>
      <c r="J984" s="652"/>
      <c r="K984" s="677"/>
      <c r="L984" s="652"/>
      <c r="M984" s="679"/>
      <c r="N984" s="678"/>
      <c r="O984" s="678"/>
      <c r="P984" s="678"/>
      <c r="Q984" s="680"/>
      <c r="R984" s="6"/>
      <c r="S984" s="97"/>
      <c r="T984" s="97"/>
    </row>
    <row r="985" spans="1:20" ht="12.75">
      <c r="A985" s="530"/>
      <c r="B985" s="367">
        <v>7</v>
      </c>
      <c r="C985" s="698"/>
      <c r="D985" s="653"/>
      <c r="E985" s="653"/>
      <c r="F985" s="850"/>
      <c r="G985" s="850"/>
      <c r="H985" s="850"/>
      <c r="I985" s="850"/>
      <c r="J985" s="918"/>
      <c r="K985" s="850"/>
      <c r="L985" s="918"/>
      <c r="M985" s="675"/>
      <c r="N985" s="674"/>
      <c r="O985" s="674"/>
      <c r="P985" s="674"/>
      <c r="Q985" s="1243"/>
      <c r="R985" s="6"/>
      <c r="S985" s="97"/>
      <c r="T985" s="97"/>
    </row>
    <row r="986" spans="1:20" ht="12.75">
      <c r="A986" s="530"/>
      <c r="B986" s="367">
        <v>8</v>
      </c>
      <c r="C986" s="698"/>
      <c r="D986" s="653"/>
      <c r="E986" s="653"/>
      <c r="F986" s="850"/>
      <c r="G986" s="850"/>
      <c r="H986" s="850"/>
      <c r="I986" s="850"/>
      <c r="J986" s="918"/>
      <c r="K986" s="850"/>
      <c r="L986" s="918"/>
      <c r="M986" s="675"/>
      <c r="N986" s="674"/>
      <c r="O986" s="674"/>
      <c r="P986" s="678"/>
      <c r="Q986" s="1243"/>
      <c r="R986" s="6"/>
      <c r="S986" s="97"/>
      <c r="T986" s="97"/>
    </row>
    <row r="987" spans="1:20" ht="12.75">
      <c r="A987" s="532"/>
      <c r="B987" s="533">
        <v>9</v>
      </c>
      <c r="C987" s="633"/>
      <c r="D987" s="367"/>
      <c r="E987" s="367"/>
      <c r="F987" s="677"/>
      <c r="G987" s="677"/>
      <c r="H987" s="677"/>
      <c r="I987" s="677"/>
      <c r="J987" s="652"/>
      <c r="K987" s="677"/>
      <c r="L987" s="652"/>
      <c r="M987" s="679"/>
      <c r="N987" s="678"/>
      <c r="O987" s="678"/>
      <c r="P987" s="678"/>
      <c r="Q987" s="1244"/>
      <c r="R987" s="6"/>
      <c r="S987" s="97"/>
      <c r="T987" s="97"/>
    </row>
    <row r="988" spans="1:20" ht="13.5" thickBot="1">
      <c r="A988" s="534"/>
      <c r="B988" s="535">
        <v>10</v>
      </c>
      <c r="C988" s="640"/>
      <c r="D988" s="535"/>
      <c r="E988" s="535"/>
      <c r="F988" s="681"/>
      <c r="G988" s="681"/>
      <c r="H988" s="681"/>
      <c r="I988" s="681"/>
      <c r="J988" s="658"/>
      <c r="K988" s="681"/>
      <c r="L988" s="658"/>
      <c r="M988" s="684"/>
      <c r="N988" s="683"/>
      <c r="O988" s="683"/>
      <c r="P988" s="683"/>
      <c r="Q988" s="1245"/>
      <c r="R988" s="6"/>
      <c r="S988" s="97"/>
      <c r="T988" s="97"/>
    </row>
    <row r="989" spans="1:20" ht="12.75">
      <c r="A989" s="816" t="s">
        <v>790</v>
      </c>
      <c r="B989" s="88"/>
      <c r="C989" s="293" t="s">
        <v>798</v>
      </c>
      <c r="D989" s="523">
        <v>15</v>
      </c>
      <c r="E989" s="523">
        <v>1983</v>
      </c>
      <c r="F989" s="329">
        <v>9.846</v>
      </c>
      <c r="G989" s="329">
        <v>1.232</v>
      </c>
      <c r="H989" s="329">
        <v>2.4</v>
      </c>
      <c r="I989" s="329">
        <v>6.214</v>
      </c>
      <c r="J989" s="1247">
        <v>622.54</v>
      </c>
      <c r="K989" s="329">
        <v>6.214</v>
      </c>
      <c r="L989" s="1247">
        <v>622.54</v>
      </c>
      <c r="M989" s="360">
        <f>K989/L989</f>
        <v>0.009981687923667557</v>
      </c>
      <c r="N989" s="266">
        <v>194.3</v>
      </c>
      <c r="O989" s="266">
        <f>M989*N989</f>
        <v>1.9394419635686064</v>
      </c>
      <c r="P989" s="266">
        <f>M989*60*1000</f>
        <v>598.9012754200535</v>
      </c>
      <c r="Q989" s="267">
        <f>P989*N989/1000</f>
        <v>116.36651781411639</v>
      </c>
      <c r="R989" s="6"/>
      <c r="S989" s="97"/>
      <c r="T989" s="97"/>
    </row>
    <row r="990" spans="1:20" ht="12.75">
      <c r="A990" s="407"/>
      <c r="B990" s="42"/>
      <c r="C990" s="512" t="s">
        <v>799</v>
      </c>
      <c r="D990" s="513">
        <v>24</v>
      </c>
      <c r="E990" s="513">
        <v>1981</v>
      </c>
      <c r="F990" s="278">
        <v>16.12</v>
      </c>
      <c r="G990" s="278">
        <v>1.848</v>
      </c>
      <c r="H990" s="278">
        <v>3.84</v>
      </c>
      <c r="I990" s="278">
        <v>10.432</v>
      </c>
      <c r="J990" s="1248">
        <v>996.81</v>
      </c>
      <c r="K990" s="278">
        <v>10.432</v>
      </c>
      <c r="L990" s="1248">
        <v>996.81</v>
      </c>
      <c r="M990" s="361">
        <f>K990/L990</f>
        <v>0.010465384576799993</v>
      </c>
      <c r="N990" s="255">
        <v>194.3</v>
      </c>
      <c r="O990" s="255">
        <f>M990*N990</f>
        <v>2.0334242232722386</v>
      </c>
      <c r="P990" s="266">
        <f>M990*60*1000</f>
        <v>627.9230746079995</v>
      </c>
      <c r="Q990" s="256">
        <f>P990*N990/1000</f>
        <v>122.00545339633432</v>
      </c>
      <c r="R990" s="6"/>
      <c r="S990" s="97"/>
      <c r="T990" s="97"/>
    </row>
    <row r="991" spans="1:20" ht="12.75">
      <c r="A991" s="407"/>
      <c r="B991" s="42"/>
      <c r="C991" s="512" t="s">
        <v>800</v>
      </c>
      <c r="D991" s="513">
        <v>12</v>
      </c>
      <c r="E991" s="513">
        <v>1970</v>
      </c>
      <c r="F991" s="278">
        <v>6.621</v>
      </c>
      <c r="G991" s="278">
        <v>0.672</v>
      </c>
      <c r="H991" s="278">
        <v>0.12</v>
      </c>
      <c r="I991" s="278">
        <v>5.829</v>
      </c>
      <c r="J991" s="1248">
        <v>527.3</v>
      </c>
      <c r="K991" s="278">
        <v>5.829</v>
      </c>
      <c r="L991" s="1248">
        <v>527.3</v>
      </c>
      <c r="M991" s="361">
        <f>K991/L991</f>
        <v>0.01105442821923004</v>
      </c>
      <c r="N991" s="255">
        <v>194.3</v>
      </c>
      <c r="O991" s="255">
        <f>M991*N991</f>
        <v>2.147875402996397</v>
      </c>
      <c r="P991" s="266">
        <f>M991*60*1000</f>
        <v>663.2656931538024</v>
      </c>
      <c r="Q991" s="256">
        <f>P991*N991/1000</f>
        <v>128.87252417978382</v>
      </c>
      <c r="R991" s="6"/>
      <c r="S991" s="97"/>
      <c r="T991" s="97"/>
    </row>
    <row r="992" spans="1:20" ht="12.75">
      <c r="A992" s="407"/>
      <c r="B992" s="42"/>
      <c r="C992" s="52"/>
      <c r="D992" s="42"/>
      <c r="E992" s="42"/>
      <c r="F992" s="1246"/>
      <c r="G992" s="1246"/>
      <c r="H992" s="1246"/>
      <c r="I992" s="1246"/>
      <c r="J992" s="61"/>
      <c r="K992" s="1226"/>
      <c r="L992" s="61"/>
      <c r="M992" s="62"/>
      <c r="N992" s="60"/>
      <c r="O992" s="43"/>
      <c r="P992" s="43"/>
      <c r="Q992" s="46"/>
      <c r="R992" s="6"/>
      <c r="S992" s="97"/>
      <c r="T992" s="97"/>
    </row>
    <row r="993" spans="1:20" ht="12.75">
      <c r="A993" s="407"/>
      <c r="B993" s="42"/>
      <c r="C993" s="52"/>
      <c r="D993" s="42"/>
      <c r="E993" s="42"/>
      <c r="F993" s="60"/>
      <c r="G993" s="60"/>
      <c r="H993" s="60"/>
      <c r="I993" s="60"/>
      <c r="J993" s="61"/>
      <c r="K993" s="53"/>
      <c r="L993" s="61"/>
      <c r="M993" s="62"/>
      <c r="N993" s="60"/>
      <c r="O993" s="43"/>
      <c r="P993" s="43"/>
      <c r="Q993" s="46"/>
      <c r="R993" s="6"/>
      <c r="S993" s="97"/>
      <c r="T993" s="97"/>
    </row>
    <row r="994" spans="1:20" ht="12.75">
      <c r="A994" s="407"/>
      <c r="B994" s="42"/>
      <c r="C994" s="52"/>
      <c r="D994" s="42"/>
      <c r="E994" s="42"/>
      <c r="F994" s="60"/>
      <c r="G994" s="60"/>
      <c r="H994" s="60"/>
      <c r="I994" s="60"/>
      <c r="J994" s="61"/>
      <c r="K994" s="53"/>
      <c r="L994" s="61"/>
      <c r="M994" s="62"/>
      <c r="N994" s="60"/>
      <c r="O994" s="43"/>
      <c r="P994" s="43"/>
      <c r="Q994" s="46"/>
      <c r="R994" s="6"/>
      <c r="S994" s="97"/>
      <c r="T994" s="97"/>
    </row>
    <row r="995" spans="1:20" ht="12.75">
      <c r="A995" s="407"/>
      <c r="B995" s="42"/>
      <c r="C995" s="52"/>
      <c r="D995" s="42"/>
      <c r="E995" s="42"/>
      <c r="F995" s="60"/>
      <c r="G995" s="60"/>
      <c r="H995" s="60"/>
      <c r="I995" s="60"/>
      <c r="J995" s="61"/>
      <c r="K995" s="53"/>
      <c r="L995" s="61"/>
      <c r="M995" s="62"/>
      <c r="N995" s="60"/>
      <c r="O995" s="43"/>
      <c r="P995" s="43"/>
      <c r="Q995" s="46"/>
      <c r="R995" s="6"/>
      <c r="S995" s="97"/>
      <c r="T995" s="97"/>
    </row>
    <row r="996" spans="1:20" ht="12.75">
      <c r="A996" s="407"/>
      <c r="B996" s="42"/>
      <c r="C996" s="52"/>
      <c r="D996" s="42"/>
      <c r="E996" s="42"/>
      <c r="F996" s="60"/>
      <c r="G996" s="60"/>
      <c r="H996" s="60"/>
      <c r="I996" s="60"/>
      <c r="J996" s="61"/>
      <c r="K996" s="53"/>
      <c r="L996" s="61"/>
      <c r="M996" s="62"/>
      <c r="N996" s="60"/>
      <c r="O996" s="43"/>
      <c r="P996" s="43"/>
      <c r="Q996" s="46"/>
      <c r="R996" s="6"/>
      <c r="S996" s="97"/>
      <c r="T996" s="97"/>
    </row>
    <row r="997" spans="1:20" ht="13.5" thickBot="1">
      <c r="A997" s="408"/>
      <c r="B997" s="47"/>
      <c r="C997" s="56"/>
      <c r="D997" s="47"/>
      <c r="E997" s="47"/>
      <c r="F997" s="63"/>
      <c r="G997" s="63"/>
      <c r="H997" s="63"/>
      <c r="I997" s="63"/>
      <c r="J997" s="64"/>
      <c r="K997" s="57"/>
      <c r="L997" s="64"/>
      <c r="M997" s="89"/>
      <c r="N997" s="63"/>
      <c r="O997" s="48"/>
      <c r="P997" s="48"/>
      <c r="Q997" s="51"/>
      <c r="R997" s="6"/>
      <c r="S997" s="97"/>
      <c r="T997" s="97"/>
    </row>
    <row r="998" spans="19:20" ht="12.75">
      <c r="S998" s="97"/>
      <c r="T998" s="97"/>
    </row>
    <row r="999" spans="19:20" ht="12.75">
      <c r="S999" s="97"/>
      <c r="T999" s="97"/>
    </row>
    <row r="1000" spans="19:20" ht="12.75">
      <c r="S1000" s="97"/>
      <c r="T1000" s="97"/>
    </row>
    <row r="1001" spans="19:20" ht="12.75">
      <c r="S1001" s="97"/>
      <c r="T1001" s="97"/>
    </row>
    <row r="1002" spans="19:20" ht="12.75">
      <c r="S1002" s="97"/>
      <c r="T1002" s="97"/>
    </row>
    <row r="1003" spans="1:20" ht="15">
      <c r="A1003" s="419" t="s">
        <v>54</v>
      </c>
      <c r="B1003" s="419"/>
      <c r="C1003" s="419"/>
      <c r="D1003" s="419"/>
      <c r="E1003" s="419"/>
      <c r="F1003" s="419"/>
      <c r="G1003" s="419"/>
      <c r="H1003" s="419"/>
      <c r="I1003" s="419"/>
      <c r="J1003" s="419"/>
      <c r="K1003" s="419"/>
      <c r="L1003" s="419"/>
      <c r="M1003" s="419"/>
      <c r="N1003" s="419"/>
      <c r="O1003" s="419"/>
      <c r="P1003" s="419"/>
      <c r="Q1003" s="419"/>
      <c r="S1003" s="97"/>
      <c r="T1003" s="97"/>
    </row>
    <row r="1004" spans="1:20" ht="13.5" thickBot="1">
      <c r="A1004" s="420" t="s">
        <v>802</v>
      </c>
      <c r="B1004" s="420"/>
      <c r="C1004" s="420"/>
      <c r="D1004" s="420"/>
      <c r="E1004" s="420"/>
      <c r="F1004" s="420"/>
      <c r="G1004" s="420"/>
      <c r="H1004" s="420"/>
      <c r="I1004" s="420"/>
      <c r="J1004" s="420"/>
      <c r="K1004" s="420"/>
      <c r="L1004" s="420"/>
      <c r="M1004" s="420"/>
      <c r="N1004" s="420"/>
      <c r="O1004" s="420"/>
      <c r="P1004" s="420"/>
      <c r="Q1004" s="420"/>
      <c r="S1004" s="97"/>
      <c r="T1004" s="97"/>
    </row>
    <row r="1005" spans="1:20" ht="12.75" customHeight="1">
      <c r="A1005" s="395" t="s">
        <v>1</v>
      </c>
      <c r="B1005" s="397" t="s">
        <v>0</v>
      </c>
      <c r="C1005" s="384" t="s">
        <v>2</v>
      </c>
      <c r="D1005" s="384" t="s">
        <v>3</v>
      </c>
      <c r="E1005" s="384" t="s">
        <v>13</v>
      </c>
      <c r="F1005" s="386" t="s">
        <v>14</v>
      </c>
      <c r="G1005" s="387"/>
      <c r="H1005" s="387"/>
      <c r="I1005" s="388"/>
      <c r="J1005" s="384" t="s">
        <v>4</v>
      </c>
      <c r="K1005" s="384" t="s">
        <v>15</v>
      </c>
      <c r="L1005" s="384" t="s">
        <v>5</v>
      </c>
      <c r="M1005" s="384" t="s">
        <v>6</v>
      </c>
      <c r="N1005" s="384" t="s">
        <v>16</v>
      </c>
      <c r="O1005" s="389" t="s">
        <v>17</v>
      </c>
      <c r="P1005" s="384" t="s">
        <v>25</v>
      </c>
      <c r="Q1005" s="391" t="s">
        <v>26</v>
      </c>
      <c r="S1005" s="97"/>
      <c r="T1005" s="97"/>
    </row>
    <row r="1006" spans="1:20" s="2" customFormat="1" ht="33.75">
      <c r="A1006" s="396"/>
      <c r="B1006" s="398"/>
      <c r="C1006" s="399"/>
      <c r="D1006" s="385"/>
      <c r="E1006" s="385"/>
      <c r="F1006" s="37" t="s">
        <v>18</v>
      </c>
      <c r="G1006" s="37" t="s">
        <v>19</v>
      </c>
      <c r="H1006" s="37" t="s">
        <v>20</v>
      </c>
      <c r="I1006" s="37" t="s">
        <v>21</v>
      </c>
      <c r="J1006" s="385"/>
      <c r="K1006" s="385"/>
      <c r="L1006" s="385"/>
      <c r="M1006" s="385"/>
      <c r="N1006" s="385"/>
      <c r="O1006" s="390"/>
      <c r="P1006" s="385"/>
      <c r="Q1006" s="392"/>
      <c r="S1006" s="97"/>
      <c r="T1006" s="97"/>
    </row>
    <row r="1007" spans="1:20" s="3" customFormat="1" ht="13.5" customHeight="1" thickBot="1">
      <c r="A1007" s="414"/>
      <c r="B1007" s="415"/>
      <c r="C1007" s="416"/>
      <c r="D1007" s="65" t="s">
        <v>7</v>
      </c>
      <c r="E1007" s="65" t="s">
        <v>8</v>
      </c>
      <c r="F1007" s="65" t="s">
        <v>9</v>
      </c>
      <c r="G1007" s="65" t="s">
        <v>9</v>
      </c>
      <c r="H1007" s="65" t="s">
        <v>9</v>
      </c>
      <c r="I1007" s="65" t="s">
        <v>9</v>
      </c>
      <c r="J1007" s="65" t="s">
        <v>22</v>
      </c>
      <c r="K1007" s="65" t="s">
        <v>9</v>
      </c>
      <c r="L1007" s="65" t="s">
        <v>22</v>
      </c>
      <c r="M1007" s="65" t="s">
        <v>23</v>
      </c>
      <c r="N1007" s="65" t="s">
        <v>10</v>
      </c>
      <c r="O1007" s="65" t="s">
        <v>24</v>
      </c>
      <c r="P1007" s="66" t="s">
        <v>27</v>
      </c>
      <c r="Q1007" s="67" t="s">
        <v>28</v>
      </c>
      <c r="S1007" s="97"/>
      <c r="T1007" s="97"/>
    </row>
    <row r="1008" spans="1:20" ht="11.25" customHeight="1">
      <c r="A1008" s="411" t="s">
        <v>29</v>
      </c>
      <c r="B1008" s="34">
        <v>1</v>
      </c>
      <c r="C1008" s="33" t="s">
        <v>803</v>
      </c>
      <c r="D1008" s="34">
        <v>75</v>
      </c>
      <c r="E1008" s="34" t="s">
        <v>73</v>
      </c>
      <c r="F1008" s="1214">
        <f>G1008+H1008+I1008</f>
        <v>24.089</v>
      </c>
      <c r="G1008" s="608">
        <v>8.837</v>
      </c>
      <c r="H1008" s="608">
        <v>11.84</v>
      </c>
      <c r="I1008" s="608">
        <v>3.412</v>
      </c>
      <c r="J1008" s="951">
        <v>3389.63</v>
      </c>
      <c r="K1008" s="608">
        <v>3.412</v>
      </c>
      <c r="L1008" s="951">
        <v>3389.63</v>
      </c>
      <c r="M1008" s="1249">
        <f>K1008/L1008</f>
        <v>0.0010065995403628124</v>
      </c>
      <c r="N1008" s="610">
        <v>361.99</v>
      </c>
      <c r="O1008" s="610">
        <f>M1008*N1008</f>
        <v>0.36437896761593447</v>
      </c>
      <c r="P1008" s="610">
        <f>M1008*60*1000</f>
        <v>60.39597242176875</v>
      </c>
      <c r="Q1008" s="616">
        <f>P1008*N1008/1000</f>
        <v>21.86273805695607</v>
      </c>
      <c r="S1008" s="97"/>
      <c r="T1008" s="97"/>
    </row>
    <row r="1009" spans="1:20" ht="12.75" customHeight="1">
      <c r="A1009" s="412"/>
      <c r="B1009" s="36">
        <v>2</v>
      </c>
      <c r="C1009" s="35" t="s">
        <v>804</v>
      </c>
      <c r="D1009" s="36">
        <v>23</v>
      </c>
      <c r="E1009" s="36">
        <v>2009</v>
      </c>
      <c r="F1009" s="609">
        <f>G1009+H1009+I1009</f>
        <v>5.694</v>
      </c>
      <c r="G1009" s="609">
        <v>1.945</v>
      </c>
      <c r="H1009" s="609">
        <v>1.84</v>
      </c>
      <c r="I1009" s="609">
        <v>1.909</v>
      </c>
      <c r="J1009" s="135">
        <v>1098.31</v>
      </c>
      <c r="K1009" s="609">
        <v>1.909</v>
      </c>
      <c r="L1009" s="135">
        <v>1098.31</v>
      </c>
      <c r="M1009" s="184">
        <f>K1009/L1009</f>
        <v>0.0017381249374038297</v>
      </c>
      <c r="N1009" s="185">
        <v>361.99</v>
      </c>
      <c r="O1009" s="185">
        <f>M1009*N1009</f>
        <v>0.6291838460908123</v>
      </c>
      <c r="P1009" s="185">
        <f>M1009*60*1000</f>
        <v>104.28749624422979</v>
      </c>
      <c r="Q1009" s="259">
        <f>P1009*N1009/1000</f>
        <v>37.75103076544874</v>
      </c>
      <c r="S1009" s="97"/>
      <c r="T1009" s="97"/>
    </row>
    <row r="1010" spans="1:20" ht="12.75" customHeight="1">
      <c r="A1010" s="412"/>
      <c r="B1010" s="36">
        <v>3</v>
      </c>
      <c r="C1010" s="35" t="s">
        <v>805</v>
      </c>
      <c r="D1010" s="36">
        <v>20</v>
      </c>
      <c r="E1010" s="36" t="s">
        <v>73</v>
      </c>
      <c r="F1010" s="609">
        <f>G1010+H1010+I1010</f>
        <v>5.54</v>
      </c>
      <c r="G1010" s="609">
        <v>0.092</v>
      </c>
      <c r="H1010" s="609">
        <v>3.12</v>
      </c>
      <c r="I1010" s="609">
        <v>2.328</v>
      </c>
      <c r="J1010" s="135">
        <v>1078.13</v>
      </c>
      <c r="K1010" s="609">
        <v>2.328</v>
      </c>
      <c r="L1010" s="135">
        <v>1078.13</v>
      </c>
      <c r="M1010" s="164">
        <f>K1010/L1010</f>
        <v>0.0021592943337074375</v>
      </c>
      <c r="N1010" s="185">
        <v>361.99</v>
      </c>
      <c r="O1010" s="185">
        <f>M1010*N1010</f>
        <v>0.7816429558587553</v>
      </c>
      <c r="P1010" s="185">
        <f>M1010*60*1000</f>
        <v>129.55766002244627</v>
      </c>
      <c r="Q1010" s="251">
        <f>P1010*N1010/1000</f>
        <v>46.898577351525326</v>
      </c>
      <c r="S1010" s="97"/>
      <c r="T1010" s="97"/>
    </row>
    <row r="1011" spans="1:20" ht="12.75" customHeight="1">
      <c r="A1011" s="412"/>
      <c r="B1011" s="36">
        <v>4</v>
      </c>
      <c r="C1011" s="35" t="s">
        <v>806</v>
      </c>
      <c r="D1011" s="36">
        <v>12</v>
      </c>
      <c r="E1011" s="36" t="s">
        <v>73</v>
      </c>
      <c r="F1011" s="609">
        <f>G1011+H1011+I1011</f>
        <v>3.404</v>
      </c>
      <c r="G1011" s="609">
        <v>0.135</v>
      </c>
      <c r="H1011" s="609">
        <v>1.6</v>
      </c>
      <c r="I1011" s="609">
        <v>1.669</v>
      </c>
      <c r="J1011" s="135">
        <v>698.46</v>
      </c>
      <c r="K1011" s="609">
        <v>1.669</v>
      </c>
      <c r="L1011" s="135">
        <v>698.46</v>
      </c>
      <c r="M1011" s="164">
        <f>K1011/L1011</f>
        <v>0.002389542708243851</v>
      </c>
      <c r="N1011" s="185">
        <v>361.99</v>
      </c>
      <c r="O1011" s="163">
        <f>M1011*N1011</f>
        <v>0.8649905649571916</v>
      </c>
      <c r="P1011" s="185">
        <f>M1011*60*1000</f>
        <v>143.37256249463104</v>
      </c>
      <c r="Q1011" s="251">
        <f>P1011*N1011/1000</f>
        <v>51.899433897431486</v>
      </c>
      <c r="S1011" s="97"/>
      <c r="T1011" s="97"/>
    </row>
    <row r="1012" spans="1:20" ht="12.75" customHeight="1">
      <c r="A1012" s="412"/>
      <c r="B1012" s="36">
        <v>5</v>
      </c>
      <c r="C1012" s="35" t="s">
        <v>807</v>
      </c>
      <c r="D1012" s="36">
        <v>29</v>
      </c>
      <c r="E1012" s="36" t="s">
        <v>73</v>
      </c>
      <c r="F1012" s="609">
        <f>G1012+H1012+I1012</f>
        <v>12.600000000000001</v>
      </c>
      <c r="G1012" s="609">
        <v>3.436</v>
      </c>
      <c r="H1012" s="609">
        <v>4.64</v>
      </c>
      <c r="I1012" s="609">
        <v>4.524</v>
      </c>
      <c r="J1012" s="135">
        <v>1612.1</v>
      </c>
      <c r="K1012" s="609">
        <v>4.524</v>
      </c>
      <c r="L1012" s="135">
        <v>1612.1</v>
      </c>
      <c r="M1012" s="164">
        <f>K1012/L1012</f>
        <v>0.0028062775262080518</v>
      </c>
      <c r="N1012" s="185">
        <v>361.99</v>
      </c>
      <c r="O1012" s="163">
        <f>M1012*N1012</f>
        <v>1.0158444017120527</v>
      </c>
      <c r="P1012" s="185">
        <f>M1012*60*1000</f>
        <v>168.3766515724831</v>
      </c>
      <c r="Q1012" s="251">
        <f>P1012*N1012/1000</f>
        <v>60.95066410272316</v>
      </c>
      <c r="S1012" s="97"/>
      <c r="T1012" s="97"/>
    </row>
    <row r="1013" spans="1:20" s="110" customFormat="1" ht="12.75" customHeight="1">
      <c r="A1013" s="412"/>
      <c r="B1013" s="120">
        <v>6</v>
      </c>
      <c r="C1013" s="35" t="s">
        <v>808</v>
      </c>
      <c r="D1013" s="36">
        <v>12</v>
      </c>
      <c r="E1013" s="36" t="s">
        <v>73</v>
      </c>
      <c r="F1013" s="609">
        <f>G1013+H1013+I1013</f>
        <v>3.943</v>
      </c>
      <c r="G1013" s="609">
        <v>0</v>
      </c>
      <c r="H1013" s="609">
        <v>1.92</v>
      </c>
      <c r="I1013" s="609">
        <v>2.023</v>
      </c>
      <c r="J1013" s="135">
        <v>710.12</v>
      </c>
      <c r="K1013" s="609">
        <v>2.023</v>
      </c>
      <c r="L1013" s="135">
        <v>710.12</v>
      </c>
      <c r="M1013" s="164">
        <f>K1013/L1013</f>
        <v>0.0028488142849095927</v>
      </c>
      <c r="N1013" s="185">
        <v>361.99</v>
      </c>
      <c r="O1013" s="163">
        <f>M1013*N1013</f>
        <v>1.0312422829944234</v>
      </c>
      <c r="P1013" s="185">
        <f>M1013*60*1000</f>
        <v>170.92885709457556</v>
      </c>
      <c r="Q1013" s="251">
        <f>P1013*N1013/1000</f>
        <v>61.874536979665415</v>
      </c>
      <c r="S1013" s="111"/>
      <c r="T1013" s="111"/>
    </row>
    <row r="1014" spans="1:20" ht="12.75" customHeight="1">
      <c r="A1014" s="412"/>
      <c r="B1014" s="36">
        <v>7</v>
      </c>
      <c r="C1014" s="35" t="s">
        <v>809</v>
      </c>
      <c r="D1014" s="36">
        <v>20</v>
      </c>
      <c r="E1014" s="36" t="s">
        <v>73</v>
      </c>
      <c r="F1014" s="609">
        <f>G1014+H1014+I1014</f>
        <v>8.701</v>
      </c>
      <c r="G1014" s="609">
        <v>2.161</v>
      </c>
      <c r="H1014" s="609">
        <v>3.2</v>
      </c>
      <c r="I1014" s="609">
        <v>3.34</v>
      </c>
      <c r="J1014" s="135">
        <v>1143.7</v>
      </c>
      <c r="K1014" s="609">
        <v>3.34</v>
      </c>
      <c r="L1014" s="135">
        <v>1143.7</v>
      </c>
      <c r="M1014" s="164">
        <f>K1014/L1014</f>
        <v>0.0029203462446445744</v>
      </c>
      <c r="N1014" s="185">
        <v>361.99</v>
      </c>
      <c r="O1014" s="163">
        <f>M1014*N1014</f>
        <v>1.0571361370988894</v>
      </c>
      <c r="P1014" s="185">
        <f>M1014*60*1000</f>
        <v>175.22077467867447</v>
      </c>
      <c r="Q1014" s="251">
        <f>P1014*N1014/1000</f>
        <v>63.428168225933376</v>
      </c>
      <c r="S1014" s="97"/>
      <c r="T1014" s="97"/>
    </row>
    <row r="1015" spans="1:20" ht="12.75" customHeight="1">
      <c r="A1015" s="412"/>
      <c r="B1015" s="36">
        <v>8</v>
      </c>
      <c r="C1015" s="35" t="s">
        <v>810</v>
      </c>
      <c r="D1015" s="36">
        <v>12</v>
      </c>
      <c r="E1015" s="36" t="s">
        <v>73</v>
      </c>
      <c r="F1015" s="609">
        <f>G1015+H1015+I1015</f>
        <v>3.98</v>
      </c>
      <c r="G1015" s="609">
        <v>0</v>
      </c>
      <c r="H1015" s="609">
        <v>1.92</v>
      </c>
      <c r="I1015" s="609">
        <v>2.06</v>
      </c>
      <c r="J1015" s="135">
        <v>695.88</v>
      </c>
      <c r="K1015" s="609">
        <v>2.06</v>
      </c>
      <c r="L1015" s="135">
        <v>695.88</v>
      </c>
      <c r="M1015" s="164">
        <f>K1015/L1015</f>
        <v>0.0029602805081335865</v>
      </c>
      <c r="N1015" s="185">
        <v>361.99</v>
      </c>
      <c r="O1015" s="163">
        <f>M1015*N1015</f>
        <v>1.071591941139277</v>
      </c>
      <c r="P1015" s="185">
        <f>M1015*60*1000</f>
        <v>177.61683048801518</v>
      </c>
      <c r="Q1015" s="251">
        <f>P1015*N1015/1000</f>
        <v>64.29551646835662</v>
      </c>
      <c r="S1015" s="97"/>
      <c r="T1015" s="97"/>
    </row>
    <row r="1016" spans="1:20" ht="13.5" customHeight="1">
      <c r="A1016" s="412"/>
      <c r="B1016" s="36">
        <v>9</v>
      </c>
      <c r="C1016" s="35" t="s">
        <v>811</v>
      </c>
      <c r="D1016" s="36">
        <v>22</v>
      </c>
      <c r="E1016" s="36" t="s">
        <v>73</v>
      </c>
      <c r="F1016" s="609">
        <f>G1016+H1016+I1016</f>
        <v>8.114</v>
      </c>
      <c r="G1016" s="609">
        <v>1.002</v>
      </c>
      <c r="H1016" s="609">
        <v>3.248</v>
      </c>
      <c r="I1016" s="609">
        <v>3.864</v>
      </c>
      <c r="J1016" s="135">
        <v>1176.81</v>
      </c>
      <c r="K1016" s="609">
        <v>3.864</v>
      </c>
      <c r="L1016" s="135">
        <v>1176.81</v>
      </c>
      <c r="M1016" s="164">
        <f>K1016/L1016</f>
        <v>0.003283452723889158</v>
      </c>
      <c r="N1016" s="185">
        <v>361.99</v>
      </c>
      <c r="O1016" s="163">
        <f>M1016*N1016</f>
        <v>1.1885770515206362</v>
      </c>
      <c r="P1016" s="185">
        <f>M1016*60*1000</f>
        <v>197.0071634333495</v>
      </c>
      <c r="Q1016" s="251">
        <f>P1016*N1016/1000</f>
        <v>71.31462309123819</v>
      </c>
      <c r="S1016" s="97"/>
      <c r="T1016" s="97"/>
    </row>
    <row r="1017" spans="1:20" s="110" customFormat="1" ht="12.75" customHeight="1" thickBot="1">
      <c r="A1017" s="413"/>
      <c r="B1017" s="137"/>
      <c r="C1017" s="91" t="s">
        <v>812</v>
      </c>
      <c r="D1017" s="39">
        <v>50</v>
      </c>
      <c r="E1017" s="39" t="s">
        <v>73</v>
      </c>
      <c r="F1017" s="1064">
        <f>G1017+H1017+I1017</f>
        <v>21.025</v>
      </c>
      <c r="G1017" s="613">
        <v>4.214</v>
      </c>
      <c r="H1017" s="613">
        <v>8</v>
      </c>
      <c r="I1017" s="613">
        <v>8.811</v>
      </c>
      <c r="J1017" s="276">
        <v>2510.79</v>
      </c>
      <c r="K1017" s="613">
        <v>8.811</v>
      </c>
      <c r="L1017" s="276">
        <v>2510.79</v>
      </c>
      <c r="M1017" s="332">
        <f>K1017/L1017</f>
        <v>0.0035092540594792872</v>
      </c>
      <c r="N1017" s="1058">
        <v>361.99</v>
      </c>
      <c r="O1017" s="260">
        <f>M1017*N1017</f>
        <v>1.2703148769909072</v>
      </c>
      <c r="P1017" s="260">
        <f>M1017*60*1000</f>
        <v>210.55524356875725</v>
      </c>
      <c r="Q1017" s="261">
        <f>P1017*N1017/1000</f>
        <v>76.21889261945444</v>
      </c>
      <c r="S1017" s="111"/>
      <c r="T1017" s="111"/>
    </row>
    <row r="1018" spans="1:20" ht="12.75">
      <c r="A1018" s="528" t="s">
        <v>30</v>
      </c>
      <c r="B1018" s="366">
        <v>1</v>
      </c>
      <c r="C1018" s="698" t="s">
        <v>813</v>
      </c>
      <c r="D1018" s="653">
        <v>22</v>
      </c>
      <c r="E1018" s="653" t="s">
        <v>73</v>
      </c>
      <c r="F1018" s="850">
        <f>G1018+H1018+I1018</f>
        <v>12.95</v>
      </c>
      <c r="G1018" s="850">
        <v>2.81</v>
      </c>
      <c r="H1018" s="850">
        <v>3.52</v>
      </c>
      <c r="I1018" s="850">
        <v>6.62</v>
      </c>
      <c r="J1018" s="918">
        <v>1217.03</v>
      </c>
      <c r="K1018" s="850">
        <v>6.62</v>
      </c>
      <c r="L1018" s="918">
        <v>1217.03</v>
      </c>
      <c r="M1018" s="675">
        <f>K1018/L1018</f>
        <v>0.005439471500291694</v>
      </c>
      <c r="N1018" s="674">
        <v>361.99</v>
      </c>
      <c r="O1018" s="674">
        <f>M1018*N1018</f>
        <v>1.9690342883905902</v>
      </c>
      <c r="P1018" s="674">
        <f>M1018*60*1000</f>
        <v>326.36829001750164</v>
      </c>
      <c r="Q1018" s="676">
        <f>P1018*N1018/1000</f>
        <v>118.14205730343542</v>
      </c>
      <c r="S1018" s="97"/>
      <c r="T1018" s="97"/>
    </row>
    <row r="1019" spans="1:20" ht="12.75">
      <c r="A1019" s="530"/>
      <c r="B1019" s="367">
        <v>2</v>
      </c>
      <c r="C1019" s="633" t="s">
        <v>814</v>
      </c>
      <c r="D1019" s="367">
        <v>24</v>
      </c>
      <c r="E1019" s="367" t="s">
        <v>73</v>
      </c>
      <c r="F1019" s="677">
        <f>G1019+H1019+I1019</f>
        <v>11.978</v>
      </c>
      <c r="G1019" s="677">
        <v>1.297</v>
      </c>
      <c r="H1019" s="677">
        <v>3.92</v>
      </c>
      <c r="I1019" s="677">
        <v>6.761</v>
      </c>
      <c r="J1019" s="652">
        <v>1242.07</v>
      </c>
      <c r="K1019" s="677">
        <v>4.914</v>
      </c>
      <c r="L1019" s="652">
        <v>903.24</v>
      </c>
      <c r="M1019" s="679">
        <f>K1019/L1019</f>
        <v>0.00544041450777202</v>
      </c>
      <c r="N1019" s="674">
        <v>361.99</v>
      </c>
      <c r="O1019" s="678">
        <f>M1019*N1019</f>
        <v>1.9693756476683935</v>
      </c>
      <c r="P1019" s="674">
        <f>M1019*60*1000</f>
        <v>326.4248704663212</v>
      </c>
      <c r="Q1019" s="680">
        <f>P1019*N1019/1000</f>
        <v>118.16253886010361</v>
      </c>
      <c r="S1019" s="97"/>
      <c r="T1019" s="97"/>
    </row>
    <row r="1020" spans="1:20" ht="12.75">
      <c r="A1020" s="530"/>
      <c r="B1020" s="367">
        <v>3</v>
      </c>
      <c r="C1020" s="633" t="s">
        <v>815</v>
      </c>
      <c r="D1020" s="367">
        <v>22</v>
      </c>
      <c r="E1020" s="367" t="s">
        <v>73</v>
      </c>
      <c r="F1020" s="677">
        <f>G1020+H1020+I1020</f>
        <v>10.841000000000001</v>
      </c>
      <c r="G1020" s="677">
        <v>0.996</v>
      </c>
      <c r="H1020" s="677">
        <v>3.52</v>
      </c>
      <c r="I1020" s="677">
        <v>6.325</v>
      </c>
      <c r="J1020" s="652">
        <v>1161.06</v>
      </c>
      <c r="K1020" s="677">
        <v>6.325</v>
      </c>
      <c r="L1020" s="652">
        <v>1161.06</v>
      </c>
      <c r="M1020" s="679">
        <f>K1020/L1020</f>
        <v>0.005447608220074759</v>
      </c>
      <c r="N1020" s="674">
        <v>361.99</v>
      </c>
      <c r="O1020" s="678">
        <f>M1020*N1020</f>
        <v>1.9719796995848622</v>
      </c>
      <c r="P1020" s="674">
        <f>M1020*60*1000</f>
        <v>326.85649320448556</v>
      </c>
      <c r="Q1020" s="680">
        <f>P1020*N1020/1000</f>
        <v>118.31878197509172</v>
      </c>
      <c r="S1020" s="97"/>
      <c r="T1020" s="97"/>
    </row>
    <row r="1021" spans="1:20" s="110" customFormat="1" ht="12.75">
      <c r="A1021" s="530"/>
      <c r="B1021" s="651">
        <v>4</v>
      </c>
      <c r="C1021" s="633" t="s">
        <v>816</v>
      </c>
      <c r="D1021" s="367">
        <v>8</v>
      </c>
      <c r="E1021" s="367" t="s">
        <v>73</v>
      </c>
      <c r="F1021" s="677">
        <f>G1021+H1021+I1021</f>
        <v>3.11</v>
      </c>
      <c r="G1021" s="677">
        <v>0.746</v>
      </c>
      <c r="H1021" s="677">
        <v>0.08</v>
      </c>
      <c r="I1021" s="677">
        <v>2.284</v>
      </c>
      <c r="J1021" s="652">
        <v>417.55</v>
      </c>
      <c r="K1021" s="677">
        <v>2.284</v>
      </c>
      <c r="L1021" s="652">
        <v>417.55</v>
      </c>
      <c r="M1021" s="679">
        <f>K1021/L1021</f>
        <v>0.005470003592384145</v>
      </c>
      <c r="N1021" s="674">
        <v>361.99</v>
      </c>
      <c r="O1021" s="678">
        <f>M1021*N1021</f>
        <v>1.980086600407137</v>
      </c>
      <c r="P1021" s="674">
        <f>M1021*60*1000</f>
        <v>328.2002155430487</v>
      </c>
      <c r="Q1021" s="680">
        <f>P1021*N1021/1000</f>
        <v>118.80519602442821</v>
      </c>
      <c r="S1021" s="111"/>
      <c r="T1021" s="111"/>
    </row>
    <row r="1022" spans="1:20" ht="12.75">
      <c r="A1022" s="530"/>
      <c r="B1022" s="367">
        <v>5</v>
      </c>
      <c r="C1022" s="633" t="s">
        <v>817</v>
      </c>
      <c r="D1022" s="367">
        <v>50</v>
      </c>
      <c r="E1022" s="367" t="s">
        <v>73</v>
      </c>
      <c r="F1022" s="677">
        <f>G1022+H1022+I1022</f>
        <v>26.326</v>
      </c>
      <c r="G1022" s="677">
        <v>4.376</v>
      </c>
      <c r="H1022" s="677">
        <v>8</v>
      </c>
      <c r="I1022" s="677">
        <v>13.95</v>
      </c>
      <c r="J1022" s="652">
        <v>2547.77</v>
      </c>
      <c r="K1022" s="677">
        <v>13.95</v>
      </c>
      <c r="L1022" s="652">
        <v>2547.77</v>
      </c>
      <c r="M1022" s="679">
        <f>K1022/L1022</f>
        <v>0.005475376505728539</v>
      </c>
      <c r="N1022" s="674">
        <v>361.99</v>
      </c>
      <c r="O1022" s="678">
        <f>M1022*N1022</f>
        <v>1.9820315413086738</v>
      </c>
      <c r="P1022" s="674">
        <f>M1022*60*1000</f>
        <v>328.52259034371235</v>
      </c>
      <c r="Q1022" s="680">
        <f>P1022*N1022/1000</f>
        <v>118.92189247852045</v>
      </c>
      <c r="S1022" s="97"/>
      <c r="T1022" s="97"/>
    </row>
    <row r="1023" spans="1:20" ht="12.75">
      <c r="A1023" s="530"/>
      <c r="B1023" s="367">
        <v>6</v>
      </c>
      <c r="C1023" s="633" t="s">
        <v>818</v>
      </c>
      <c r="D1023" s="367">
        <v>8</v>
      </c>
      <c r="E1023" s="367" t="s">
        <v>73</v>
      </c>
      <c r="F1023" s="677">
        <f>G1023+H1023+I1023</f>
        <v>2.709</v>
      </c>
      <c r="G1023" s="677">
        <v>0</v>
      </c>
      <c r="H1023" s="677">
        <v>0</v>
      </c>
      <c r="I1023" s="677">
        <v>2.709</v>
      </c>
      <c r="J1023" s="652">
        <v>491.34</v>
      </c>
      <c r="K1023" s="677">
        <v>2.709</v>
      </c>
      <c r="L1023" s="652">
        <v>491.34</v>
      </c>
      <c r="M1023" s="679">
        <f>K1023/L1023</f>
        <v>0.005513493711075834</v>
      </c>
      <c r="N1023" s="674">
        <v>361.99</v>
      </c>
      <c r="O1023" s="678">
        <f>M1023*N1023</f>
        <v>1.9958295884723412</v>
      </c>
      <c r="P1023" s="674">
        <f>M1023*60*1000</f>
        <v>330.80962266455003</v>
      </c>
      <c r="Q1023" s="680">
        <f>P1023*N1023/1000</f>
        <v>119.74977530834047</v>
      </c>
      <c r="S1023" s="97"/>
      <c r="T1023" s="97"/>
    </row>
    <row r="1024" spans="1:20" ht="12.75">
      <c r="A1024" s="530"/>
      <c r="B1024" s="367">
        <v>7</v>
      </c>
      <c r="C1024" s="633" t="s">
        <v>819</v>
      </c>
      <c r="D1024" s="367">
        <v>55</v>
      </c>
      <c r="E1024" s="367" t="s">
        <v>73</v>
      </c>
      <c r="F1024" s="677">
        <f>G1024+H1024+I1024</f>
        <v>26.164</v>
      </c>
      <c r="G1024" s="677">
        <v>3.811</v>
      </c>
      <c r="H1024" s="677">
        <v>8.129</v>
      </c>
      <c r="I1024" s="677">
        <v>14.224</v>
      </c>
      <c r="J1024" s="652">
        <v>2541.89</v>
      </c>
      <c r="K1024" s="677">
        <v>13.843</v>
      </c>
      <c r="L1024" s="652">
        <v>2471.92</v>
      </c>
      <c r="M1024" s="679">
        <f>K1024/L1024</f>
        <v>0.00560010032687142</v>
      </c>
      <c r="N1024" s="674">
        <v>361.99</v>
      </c>
      <c r="O1024" s="678">
        <f>M1024*N1024</f>
        <v>2.027180317324185</v>
      </c>
      <c r="P1024" s="674">
        <f>M1024*60*1000</f>
        <v>336.00601961228523</v>
      </c>
      <c r="Q1024" s="680">
        <f>P1024*N1024/1000</f>
        <v>121.63081903945114</v>
      </c>
      <c r="S1024" s="97"/>
      <c r="T1024" s="97"/>
    </row>
    <row r="1025" spans="1:20" s="110" customFormat="1" ht="12.75">
      <c r="A1025" s="530"/>
      <c r="B1025" s="651">
        <v>8</v>
      </c>
      <c r="C1025" s="633" t="s">
        <v>820</v>
      </c>
      <c r="D1025" s="367">
        <v>6</v>
      </c>
      <c r="E1025" s="367" t="s">
        <v>73</v>
      </c>
      <c r="F1025" s="677">
        <f>G1025+H1025+I1025</f>
        <v>3.8259999999999996</v>
      </c>
      <c r="G1025" s="677">
        <v>0.594</v>
      </c>
      <c r="H1025" s="677">
        <v>0.96</v>
      </c>
      <c r="I1025" s="677">
        <v>2.272</v>
      </c>
      <c r="J1025" s="652">
        <v>404.03</v>
      </c>
      <c r="K1025" s="677">
        <v>2.272</v>
      </c>
      <c r="L1025" s="652">
        <v>404.03</v>
      </c>
      <c r="M1025" s="679">
        <f>K1025/L1025</f>
        <v>0.005623344801128629</v>
      </c>
      <c r="N1025" s="674">
        <v>361.99</v>
      </c>
      <c r="O1025" s="678">
        <f>M1025*N1025</f>
        <v>2.0355945845605525</v>
      </c>
      <c r="P1025" s="674">
        <f>M1025*60*1000</f>
        <v>337.4006880677178</v>
      </c>
      <c r="Q1025" s="680">
        <f>P1025*N1025/1000</f>
        <v>122.13567507363318</v>
      </c>
      <c r="S1025" s="111"/>
      <c r="T1025" s="111"/>
    </row>
    <row r="1026" spans="1:20" ht="12.75">
      <c r="A1026" s="532"/>
      <c r="B1026" s="533">
        <v>9</v>
      </c>
      <c r="C1026" s="633" t="s">
        <v>821</v>
      </c>
      <c r="D1026" s="367">
        <v>18</v>
      </c>
      <c r="E1026" s="367" t="s">
        <v>73</v>
      </c>
      <c r="F1026" s="677">
        <f>G1026+H1026+I1026</f>
        <v>10.489999999999998</v>
      </c>
      <c r="G1026" s="677">
        <v>2.026</v>
      </c>
      <c r="H1026" s="677">
        <v>2.88</v>
      </c>
      <c r="I1026" s="677">
        <v>5.584</v>
      </c>
      <c r="J1026" s="652">
        <v>986.57</v>
      </c>
      <c r="K1026" s="677">
        <v>5.584</v>
      </c>
      <c r="L1026" s="652">
        <v>986.57</v>
      </c>
      <c r="M1026" s="679">
        <f>K1026/L1026</f>
        <v>0.005660013987856918</v>
      </c>
      <c r="N1026" s="674">
        <v>361.99</v>
      </c>
      <c r="O1026" s="678">
        <f>M1026*N1026</f>
        <v>2.0488684634643257</v>
      </c>
      <c r="P1026" s="674">
        <f>M1026*60*1000</f>
        <v>339.6008392714151</v>
      </c>
      <c r="Q1026" s="680">
        <f>P1026*N1026/1000</f>
        <v>122.93210780785957</v>
      </c>
      <c r="S1026" s="97"/>
      <c r="T1026" s="97"/>
    </row>
    <row r="1027" spans="1:20" ht="13.5" thickBot="1">
      <c r="A1027" s="534"/>
      <c r="B1027" s="535">
        <v>10</v>
      </c>
      <c r="C1027" s="699" t="s">
        <v>822</v>
      </c>
      <c r="D1027" s="533">
        <v>18</v>
      </c>
      <c r="E1027" s="533" t="s">
        <v>73</v>
      </c>
      <c r="F1027" s="672">
        <f>G1027+H1027+I1027</f>
        <v>10.584</v>
      </c>
      <c r="G1027" s="672">
        <v>1.979</v>
      </c>
      <c r="H1027" s="672">
        <v>2.88</v>
      </c>
      <c r="I1027" s="672">
        <v>5.725</v>
      </c>
      <c r="J1027" s="1169">
        <v>998.64</v>
      </c>
      <c r="K1027" s="672">
        <v>5.725</v>
      </c>
      <c r="L1027" s="1169">
        <v>998.64</v>
      </c>
      <c r="M1027" s="1250">
        <f>K1027/L1027</f>
        <v>0.005732796603380597</v>
      </c>
      <c r="N1027" s="1209">
        <v>361.99</v>
      </c>
      <c r="O1027" s="1168">
        <f>M1027*N1027</f>
        <v>2.0752150424577427</v>
      </c>
      <c r="P1027" s="1168">
        <f>M1027*60*1000</f>
        <v>343.96779620283587</v>
      </c>
      <c r="Q1027" s="1251">
        <f>P1027*N1027/1000</f>
        <v>124.51290254746456</v>
      </c>
      <c r="S1027" s="97"/>
      <c r="T1027" s="97"/>
    </row>
    <row r="1028" spans="1:20" ht="12.75">
      <c r="A1028" s="418" t="s">
        <v>12</v>
      </c>
      <c r="B1028" s="40">
        <v>1</v>
      </c>
      <c r="C1028" s="510" t="s">
        <v>823</v>
      </c>
      <c r="D1028" s="511">
        <v>9</v>
      </c>
      <c r="E1028" s="511" t="s">
        <v>73</v>
      </c>
      <c r="F1028" s="1252">
        <f>G1028+H1028+I1028</f>
        <v>6.707</v>
      </c>
      <c r="G1028" s="359">
        <v>0.688</v>
      </c>
      <c r="H1028" s="359">
        <v>1.92</v>
      </c>
      <c r="I1028" s="359">
        <v>4.099</v>
      </c>
      <c r="J1028" s="1258">
        <v>679.32</v>
      </c>
      <c r="K1028" s="359">
        <v>3.696</v>
      </c>
      <c r="L1028" s="1258">
        <v>519.08</v>
      </c>
      <c r="M1028" s="1253">
        <f>K1028/L1028</f>
        <v>0.007120289743392155</v>
      </c>
      <c r="N1028" s="1254">
        <v>361.99</v>
      </c>
      <c r="O1028" s="254">
        <f>M1028*N1028</f>
        <v>2.5774736842105264</v>
      </c>
      <c r="P1028" s="254">
        <f>M1028*60*1000</f>
        <v>427.2173846035293</v>
      </c>
      <c r="Q1028" s="1255">
        <f>P1028*N1028/1000</f>
        <v>154.64842105263156</v>
      </c>
      <c r="S1028" s="97"/>
      <c r="T1028" s="97"/>
    </row>
    <row r="1029" spans="1:20" ht="12.75">
      <c r="A1029" s="382"/>
      <c r="B1029" s="42">
        <v>2</v>
      </c>
      <c r="C1029" s="512" t="s">
        <v>824</v>
      </c>
      <c r="D1029" s="513">
        <v>18</v>
      </c>
      <c r="E1029" s="513" t="s">
        <v>73</v>
      </c>
      <c r="F1029" s="278">
        <f>G1029+H1029+I1029</f>
        <v>12.088999999999999</v>
      </c>
      <c r="G1029" s="278">
        <v>1.837</v>
      </c>
      <c r="H1029" s="278">
        <v>2.88</v>
      </c>
      <c r="I1029" s="278">
        <v>7.372</v>
      </c>
      <c r="J1029" s="1248">
        <v>1002</v>
      </c>
      <c r="K1029" s="278">
        <v>7.372</v>
      </c>
      <c r="L1029" s="1248">
        <v>1002</v>
      </c>
      <c r="M1029" s="361">
        <f>K1029/L1029</f>
        <v>0.007357285429141717</v>
      </c>
      <c r="N1029" s="513">
        <v>361.99</v>
      </c>
      <c r="O1029" s="255">
        <f>M1029*N1029</f>
        <v>2.66326375249501</v>
      </c>
      <c r="P1029" s="266">
        <f>M1029*60*1000</f>
        <v>441.43712574850304</v>
      </c>
      <c r="Q1029" s="256">
        <f>P1029*N1029/1000</f>
        <v>159.79582514970062</v>
      </c>
      <c r="S1029" s="97"/>
      <c r="T1029" s="97"/>
    </row>
    <row r="1030" spans="1:20" ht="12.75">
      <c r="A1030" s="382"/>
      <c r="B1030" s="42">
        <v>3</v>
      </c>
      <c r="C1030" s="514" t="s">
        <v>825</v>
      </c>
      <c r="D1030" s="513">
        <v>12</v>
      </c>
      <c r="E1030" s="513" t="s">
        <v>73</v>
      </c>
      <c r="F1030" s="278">
        <f>G1030+H1030+I1030</f>
        <v>6.710000000000001</v>
      </c>
      <c r="G1030" s="278">
        <v>0.864</v>
      </c>
      <c r="H1030" s="278">
        <v>1.6</v>
      </c>
      <c r="I1030" s="278">
        <v>4.246</v>
      </c>
      <c r="J1030" s="1248">
        <v>552.12</v>
      </c>
      <c r="K1030" s="278">
        <v>4.246</v>
      </c>
      <c r="L1030" s="1248">
        <v>552.12</v>
      </c>
      <c r="M1030" s="361">
        <f>K1030/L1030</f>
        <v>0.007690357168731436</v>
      </c>
      <c r="N1030" s="513">
        <v>361.99</v>
      </c>
      <c r="O1030" s="255">
        <f>M1030*N1030</f>
        <v>2.7838323915090926</v>
      </c>
      <c r="P1030" s="266">
        <f>M1030*60*1000</f>
        <v>461.4214301238861</v>
      </c>
      <c r="Q1030" s="256">
        <f>P1030*N1030/1000</f>
        <v>167.02994349054555</v>
      </c>
      <c r="S1030" s="97"/>
      <c r="T1030" s="97"/>
    </row>
    <row r="1031" spans="1:20" ht="12.75">
      <c r="A1031" s="382"/>
      <c r="B1031" s="42">
        <v>4</v>
      </c>
      <c r="C1031" s="512" t="s">
        <v>826</v>
      </c>
      <c r="D1031" s="513">
        <v>20</v>
      </c>
      <c r="E1031" s="513" t="s">
        <v>73</v>
      </c>
      <c r="F1031" s="278">
        <f>G1031+H1031+I1031</f>
        <v>12.91</v>
      </c>
      <c r="G1031" s="278">
        <v>1.216</v>
      </c>
      <c r="H1031" s="278">
        <v>3.76</v>
      </c>
      <c r="I1031" s="278">
        <v>7.934</v>
      </c>
      <c r="J1031" s="1248">
        <v>1029.2</v>
      </c>
      <c r="K1031" s="278">
        <v>6.675</v>
      </c>
      <c r="L1031" s="1248">
        <v>865.72</v>
      </c>
      <c r="M1031" s="361">
        <f>K1031/L1031</f>
        <v>0.007710345146236658</v>
      </c>
      <c r="N1031" s="513">
        <v>361.99</v>
      </c>
      <c r="O1031" s="255">
        <f>M1031*N1031</f>
        <v>2.7910678394862076</v>
      </c>
      <c r="P1031" s="266">
        <f>M1031*60*1000</f>
        <v>462.6207087741995</v>
      </c>
      <c r="Q1031" s="256">
        <f>P1031*N1031/1000</f>
        <v>167.4640703691725</v>
      </c>
      <c r="S1031" s="97"/>
      <c r="T1031" s="97"/>
    </row>
    <row r="1032" spans="1:20" ht="12.75">
      <c r="A1032" s="382"/>
      <c r="B1032" s="42">
        <v>5</v>
      </c>
      <c r="C1032" s="512" t="s">
        <v>827</v>
      </c>
      <c r="D1032" s="513">
        <v>9</v>
      </c>
      <c r="E1032" s="513" t="s">
        <v>73</v>
      </c>
      <c r="F1032" s="278">
        <f>G1032+H1032+I1032</f>
        <v>5.399</v>
      </c>
      <c r="G1032" s="278">
        <v>0.594</v>
      </c>
      <c r="H1032" s="278">
        <v>1.6</v>
      </c>
      <c r="I1032" s="278">
        <v>3.205</v>
      </c>
      <c r="J1032" s="1248">
        <v>407.19</v>
      </c>
      <c r="K1032" s="278">
        <v>2.805</v>
      </c>
      <c r="L1032" s="1248">
        <v>356.36</v>
      </c>
      <c r="M1032" s="361">
        <f>K1032/L1032</f>
        <v>0.007871253788303962</v>
      </c>
      <c r="N1032" s="513">
        <v>361.99</v>
      </c>
      <c r="O1032" s="255">
        <f>M1032*N1032</f>
        <v>2.8493151588281513</v>
      </c>
      <c r="P1032" s="266">
        <f>M1032*60*1000</f>
        <v>472.2752272982377</v>
      </c>
      <c r="Q1032" s="256">
        <f>P1032*N1032/1000</f>
        <v>170.9589095296891</v>
      </c>
      <c r="S1032" s="97"/>
      <c r="T1032" s="97"/>
    </row>
    <row r="1033" spans="1:20" ht="12.75">
      <c r="A1033" s="382"/>
      <c r="B1033" s="42">
        <v>6</v>
      </c>
      <c r="C1033" s="514" t="s">
        <v>828</v>
      </c>
      <c r="D1033" s="513">
        <v>8</v>
      </c>
      <c r="E1033" s="513" t="s">
        <v>73</v>
      </c>
      <c r="F1033" s="278">
        <f>G1033+H1033+I1033</f>
        <v>4.474</v>
      </c>
      <c r="G1033" s="278">
        <v>0.216</v>
      </c>
      <c r="H1033" s="278">
        <v>1.28</v>
      </c>
      <c r="I1033" s="278">
        <v>2.978</v>
      </c>
      <c r="J1033" s="1248">
        <v>354.78</v>
      </c>
      <c r="K1033" s="278">
        <v>2.978</v>
      </c>
      <c r="L1033" s="1248">
        <v>354.78</v>
      </c>
      <c r="M1033" s="361">
        <f>K1033/L1033</f>
        <v>0.008393934269124529</v>
      </c>
      <c r="N1033" s="513">
        <v>361.99</v>
      </c>
      <c r="O1033" s="255">
        <f>M1033*N1033</f>
        <v>3.038520266080388</v>
      </c>
      <c r="P1033" s="266">
        <f>M1033*60*1000</f>
        <v>503.6360561474718</v>
      </c>
      <c r="Q1033" s="256">
        <f>P1033*N1033/1000</f>
        <v>182.31121596482333</v>
      </c>
      <c r="S1033" s="97"/>
      <c r="T1033" s="97"/>
    </row>
    <row r="1034" spans="1:20" ht="12.75">
      <c r="A1034" s="382"/>
      <c r="B1034" s="42">
        <v>7</v>
      </c>
      <c r="C1034" s="514" t="s">
        <v>829</v>
      </c>
      <c r="D1034" s="513">
        <v>8</v>
      </c>
      <c r="E1034" s="513" t="s">
        <v>73</v>
      </c>
      <c r="F1034" s="278">
        <f>G1034+H1034+I1034</f>
        <v>4.692</v>
      </c>
      <c r="G1034" s="278">
        <v>0.243</v>
      </c>
      <c r="H1034" s="278">
        <v>1.28</v>
      </c>
      <c r="I1034" s="278">
        <v>3.169</v>
      </c>
      <c r="J1034" s="1248">
        <v>364.99</v>
      </c>
      <c r="K1034" s="278">
        <v>2.745</v>
      </c>
      <c r="L1034" s="1248">
        <v>316.21</v>
      </c>
      <c r="M1034" s="361">
        <f>K1034/L1034</f>
        <v>0.008680939881724171</v>
      </c>
      <c r="N1034" s="513">
        <v>361.99</v>
      </c>
      <c r="O1034" s="255">
        <f>M1034*N1034</f>
        <v>3.142413427785333</v>
      </c>
      <c r="P1034" s="266">
        <f>M1034*60*1000</f>
        <v>520.8563929034503</v>
      </c>
      <c r="Q1034" s="256">
        <f>P1034*N1034/1000</f>
        <v>188.54480566712002</v>
      </c>
      <c r="S1034" s="97"/>
      <c r="T1034" s="97"/>
    </row>
    <row r="1035" spans="1:20" ht="12.75">
      <c r="A1035" s="382"/>
      <c r="B1035" s="42">
        <v>8</v>
      </c>
      <c r="C1035" s="512" t="s">
        <v>830</v>
      </c>
      <c r="D1035" s="513">
        <v>7</v>
      </c>
      <c r="E1035" s="513" t="s">
        <v>73</v>
      </c>
      <c r="F1035" s="278">
        <f>G1035+H1035+I1035</f>
        <v>3.968</v>
      </c>
      <c r="G1035" s="278">
        <v>0.756</v>
      </c>
      <c r="H1035" s="278">
        <v>0.07</v>
      </c>
      <c r="I1035" s="278">
        <v>3.142</v>
      </c>
      <c r="J1035" s="1248">
        <v>358.82</v>
      </c>
      <c r="K1035" s="278">
        <v>3.142</v>
      </c>
      <c r="L1035" s="1248">
        <v>358.82</v>
      </c>
      <c r="M1035" s="361">
        <f>K1035/L1035</f>
        <v>0.008756479571930216</v>
      </c>
      <c r="N1035" s="513">
        <v>361.99</v>
      </c>
      <c r="O1035" s="255">
        <f>M1035*N1035</f>
        <v>3.169758040243019</v>
      </c>
      <c r="P1035" s="266">
        <f>M1035*60*1000</f>
        <v>525.388774315813</v>
      </c>
      <c r="Q1035" s="256">
        <f>P1035*N1035/1000</f>
        <v>190.18548241458114</v>
      </c>
      <c r="S1035" s="97"/>
      <c r="T1035" s="97"/>
    </row>
    <row r="1036" spans="1:20" ht="12.75">
      <c r="A1036" s="382"/>
      <c r="B1036" s="42">
        <v>9</v>
      </c>
      <c r="C1036" s="514" t="s">
        <v>831</v>
      </c>
      <c r="D1036" s="513">
        <v>8</v>
      </c>
      <c r="E1036" s="513" t="s">
        <v>73</v>
      </c>
      <c r="F1036" s="278">
        <f>G1036+H1036+I1036</f>
        <v>5</v>
      </c>
      <c r="G1036" s="278">
        <v>0.324</v>
      </c>
      <c r="H1036" s="278">
        <v>1.2</v>
      </c>
      <c r="I1036" s="278">
        <v>3.476</v>
      </c>
      <c r="J1036" s="1248">
        <v>362.86</v>
      </c>
      <c r="K1036" s="278">
        <v>3.016</v>
      </c>
      <c r="L1036" s="1248">
        <v>314.87</v>
      </c>
      <c r="M1036" s="361">
        <f>K1036/L1036</f>
        <v>0.009578556229555054</v>
      </c>
      <c r="N1036" s="513">
        <v>361.99</v>
      </c>
      <c r="O1036" s="255">
        <f>M1036*N1036</f>
        <v>3.467341569536634</v>
      </c>
      <c r="P1036" s="266">
        <f>M1036*60*1000</f>
        <v>574.7133737733033</v>
      </c>
      <c r="Q1036" s="256">
        <f>P1036*N1036/1000</f>
        <v>208.04049417219807</v>
      </c>
      <c r="S1036" s="97"/>
      <c r="T1036" s="97"/>
    </row>
    <row r="1037" spans="1:20" ht="13.5" thickBot="1">
      <c r="A1037" s="383"/>
      <c r="B1037" s="47">
        <v>10</v>
      </c>
      <c r="C1037" s="515" t="s">
        <v>832</v>
      </c>
      <c r="D1037" s="516">
        <v>9</v>
      </c>
      <c r="E1037" s="516" t="s">
        <v>73</v>
      </c>
      <c r="F1037" s="1256">
        <f>G1037+H1037+I1037</f>
        <v>10.865</v>
      </c>
      <c r="G1037" s="362">
        <v>0.378</v>
      </c>
      <c r="H1037" s="362">
        <v>1.84</v>
      </c>
      <c r="I1037" s="362">
        <v>8.647</v>
      </c>
      <c r="J1037" s="1259">
        <v>775.39</v>
      </c>
      <c r="K1037" s="362">
        <v>5.61</v>
      </c>
      <c r="L1037" s="1259">
        <v>426.62</v>
      </c>
      <c r="M1037" s="364">
        <f>K1037/L1037</f>
        <v>0.013149875767662089</v>
      </c>
      <c r="N1037" s="1257">
        <v>361.99</v>
      </c>
      <c r="O1037" s="363">
        <f>M1037*N1037</f>
        <v>4.760123529135999</v>
      </c>
      <c r="P1037" s="363">
        <f>M1037*60*1000</f>
        <v>788.9925460597253</v>
      </c>
      <c r="Q1037" s="365">
        <f>P1037*N1037/1000</f>
        <v>285.60741174815996</v>
      </c>
      <c r="S1037" s="97"/>
      <c r="T1037" s="97"/>
    </row>
    <row r="1038" spans="19:20" ht="12.75">
      <c r="S1038" s="97"/>
      <c r="T1038" s="97"/>
    </row>
    <row r="1039" spans="19:20" ht="12.75">
      <c r="S1039" s="97"/>
      <c r="T1039" s="97"/>
    </row>
    <row r="1040" spans="19:20" ht="12.75">
      <c r="S1040" s="97"/>
      <c r="T1040" s="97"/>
    </row>
    <row r="1041" spans="19:20" ht="12.75">
      <c r="S1041" s="97"/>
      <c r="T1041" s="97"/>
    </row>
    <row r="1042" spans="19:20" ht="12.75">
      <c r="S1042" s="97"/>
      <c r="T1042" s="97"/>
    </row>
    <row r="1043" spans="1:20" ht="15">
      <c r="A1043" s="419" t="s">
        <v>53</v>
      </c>
      <c r="B1043" s="419"/>
      <c r="C1043" s="419"/>
      <c r="D1043" s="419"/>
      <c r="E1043" s="419"/>
      <c r="F1043" s="419"/>
      <c r="G1043" s="419"/>
      <c r="H1043" s="419"/>
      <c r="I1043" s="419"/>
      <c r="J1043" s="419"/>
      <c r="K1043" s="419"/>
      <c r="L1043" s="419"/>
      <c r="M1043" s="419"/>
      <c r="N1043" s="419"/>
      <c r="O1043" s="419"/>
      <c r="P1043" s="419"/>
      <c r="Q1043" s="419"/>
      <c r="S1043" s="97"/>
      <c r="T1043" s="97"/>
    </row>
    <row r="1044" spans="1:20" ht="13.5" thickBot="1">
      <c r="A1044" s="420" t="s">
        <v>833</v>
      </c>
      <c r="B1044" s="420"/>
      <c r="C1044" s="420"/>
      <c r="D1044" s="420"/>
      <c r="E1044" s="420"/>
      <c r="F1044" s="420"/>
      <c r="G1044" s="420"/>
      <c r="H1044" s="420"/>
      <c r="I1044" s="420"/>
      <c r="J1044" s="420"/>
      <c r="K1044" s="420"/>
      <c r="L1044" s="420"/>
      <c r="M1044" s="420"/>
      <c r="N1044" s="420"/>
      <c r="O1044" s="420"/>
      <c r="P1044" s="420"/>
      <c r="Q1044" s="420"/>
      <c r="S1044" s="97"/>
      <c r="T1044" s="97"/>
    </row>
    <row r="1045" spans="1:20" ht="12.75" customHeight="1">
      <c r="A1045" s="395" t="s">
        <v>1</v>
      </c>
      <c r="B1045" s="397" t="s">
        <v>0</v>
      </c>
      <c r="C1045" s="384" t="s">
        <v>2</v>
      </c>
      <c r="D1045" s="384" t="s">
        <v>3</v>
      </c>
      <c r="E1045" s="384" t="s">
        <v>13</v>
      </c>
      <c r="F1045" s="386" t="s">
        <v>14</v>
      </c>
      <c r="G1045" s="387"/>
      <c r="H1045" s="387"/>
      <c r="I1045" s="388"/>
      <c r="J1045" s="384" t="s">
        <v>4</v>
      </c>
      <c r="K1045" s="384" t="s">
        <v>15</v>
      </c>
      <c r="L1045" s="384" t="s">
        <v>5</v>
      </c>
      <c r="M1045" s="384" t="s">
        <v>6</v>
      </c>
      <c r="N1045" s="384" t="s">
        <v>16</v>
      </c>
      <c r="O1045" s="389" t="s">
        <v>17</v>
      </c>
      <c r="P1045" s="384" t="s">
        <v>25</v>
      </c>
      <c r="Q1045" s="391" t="s">
        <v>26</v>
      </c>
      <c r="S1045" s="97"/>
      <c r="T1045" s="97"/>
    </row>
    <row r="1046" spans="1:20" s="2" customFormat="1" ht="33.75">
      <c r="A1046" s="396"/>
      <c r="B1046" s="398"/>
      <c r="C1046" s="399"/>
      <c r="D1046" s="385"/>
      <c r="E1046" s="385"/>
      <c r="F1046" s="37" t="s">
        <v>18</v>
      </c>
      <c r="G1046" s="37" t="s">
        <v>19</v>
      </c>
      <c r="H1046" s="37" t="s">
        <v>20</v>
      </c>
      <c r="I1046" s="37" t="s">
        <v>21</v>
      </c>
      <c r="J1046" s="385"/>
      <c r="K1046" s="385"/>
      <c r="L1046" s="385"/>
      <c r="M1046" s="385"/>
      <c r="N1046" s="385"/>
      <c r="O1046" s="390"/>
      <c r="P1046" s="385"/>
      <c r="Q1046" s="392"/>
      <c r="S1046" s="97"/>
      <c r="T1046" s="97"/>
    </row>
    <row r="1047" spans="1:20" s="3" customFormat="1" ht="13.5" customHeight="1" thickBot="1">
      <c r="A1047" s="414"/>
      <c r="B1047" s="415"/>
      <c r="C1047" s="416"/>
      <c r="D1047" s="65" t="s">
        <v>7</v>
      </c>
      <c r="E1047" s="65" t="s">
        <v>8</v>
      </c>
      <c r="F1047" s="65" t="s">
        <v>9</v>
      </c>
      <c r="G1047" s="65" t="s">
        <v>9</v>
      </c>
      <c r="H1047" s="65" t="s">
        <v>9</v>
      </c>
      <c r="I1047" s="65" t="s">
        <v>9</v>
      </c>
      <c r="J1047" s="65" t="s">
        <v>22</v>
      </c>
      <c r="K1047" s="65" t="s">
        <v>9</v>
      </c>
      <c r="L1047" s="65" t="s">
        <v>22</v>
      </c>
      <c r="M1047" s="65" t="s">
        <v>136</v>
      </c>
      <c r="N1047" s="65" t="s">
        <v>10</v>
      </c>
      <c r="O1047" s="65" t="s">
        <v>137</v>
      </c>
      <c r="P1047" s="66" t="s">
        <v>27</v>
      </c>
      <c r="Q1047" s="67" t="s">
        <v>28</v>
      </c>
      <c r="S1047" s="97"/>
      <c r="T1047" s="97"/>
    </row>
    <row r="1048" spans="1:20" s="110" customFormat="1" ht="12.75" customHeight="1">
      <c r="A1048" s="440" t="s">
        <v>11</v>
      </c>
      <c r="B1048" s="113">
        <v>1</v>
      </c>
      <c r="C1048" s="517" t="s">
        <v>834</v>
      </c>
      <c r="D1048" s="518"/>
      <c r="E1048" s="518" t="s">
        <v>273</v>
      </c>
      <c r="F1048" s="277">
        <f>+G1048+H1048+I1048</f>
        <v>12.1013</v>
      </c>
      <c r="G1048" s="277">
        <v>3.718</v>
      </c>
      <c r="H1048" s="277">
        <v>6.17</v>
      </c>
      <c r="I1048" s="277">
        <v>2.2133</v>
      </c>
      <c r="J1048" s="1183">
        <v>2233.8</v>
      </c>
      <c r="K1048" s="277">
        <v>2.2133</v>
      </c>
      <c r="L1048" s="1183">
        <v>2233.8</v>
      </c>
      <c r="M1048" s="356">
        <f>K1048/L1048</f>
        <v>0.000990822813143522</v>
      </c>
      <c r="N1048" s="274">
        <v>276.9</v>
      </c>
      <c r="O1048" s="575">
        <f>M1048*N1048</f>
        <v>0.27435883695944124</v>
      </c>
      <c r="P1048" s="575">
        <f>M1048*60*1000</f>
        <v>59.449368788611324</v>
      </c>
      <c r="Q1048" s="576">
        <f>P1048*N1048/1000</f>
        <v>16.461530217566473</v>
      </c>
      <c r="R1048" s="116"/>
      <c r="S1048" s="97"/>
      <c r="T1048" s="97"/>
    </row>
    <row r="1049" spans="1:20" s="110" customFormat="1" ht="12.75">
      <c r="A1049" s="441"/>
      <c r="B1049" s="117">
        <v>2</v>
      </c>
      <c r="C1049" s="519" t="s">
        <v>835</v>
      </c>
      <c r="D1049" s="520"/>
      <c r="E1049" s="520" t="s">
        <v>273</v>
      </c>
      <c r="F1049" s="277">
        <f>+G1049+H1049+I1049</f>
        <v>4.0811</v>
      </c>
      <c r="G1049" s="183">
        <v>1.347</v>
      </c>
      <c r="H1049" s="183">
        <v>0.8941</v>
      </c>
      <c r="I1049" s="183">
        <v>1.84</v>
      </c>
      <c r="J1049" s="1182">
        <v>1312.9</v>
      </c>
      <c r="K1049" s="183">
        <v>1.84</v>
      </c>
      <c r="L1049" s="1182">
        <v>1312.9</v>
      </c>
      <c r="M1049" s="156">
        <f>K1049/L1049</f>
        <v>0.0014014776449082183</v>
      </c>
      <c r="N1049" s="155">
        <v>276.9</v>
      </c>
      <c r="O1049" s="157">
        <f>M1049*N1049</f>
        <v>0.3880691598750856</v>
      </c>
      <c r="P1049" s="575">
        <f>M1049*60*1000</f>
        <v>84.0886586944931</v>
      </c>
      <c r="Q1049" s="159">
        <f>P1049*N1049/1000</f>
        <v>23.284149592505138</v>
      </c>
      <c r="R1049" s="116"/>
      <c r="S1049" s="97"/>
      <c r="T1049" s="97"/>
    </row>
    <row r="1050" spans="1:20" s="110" customFormat="1" ht="12.75">
      <c r="A1050" s="499"/>
      <c r="B1050" s="109">
        <v>3</v>
      </c>
      <c r="C1050" s="519" t="s">
        <v>836</v>
      </c>
      <c r="D1050" s="520"/>
      <c r="E1050" s="520" t="s">
        <v>273</v>
      </c>
      <c r="F1050" s="183">
        <f>+G1050+H1050+I1050</f>
        <v>14.2991</v>
      </c>
      <c r="G1050" s="183">
        <v>3.24</v>
      </c>
      <c r="H1050" s="183">
        <v>6.8</v>
      </c>
      <c r="I1050" s="183">
        <v>4.2591</v>
      </c>
      <c r="J1050" s="1182">
        <v>2290.41</v>
      </c>
      <c r="K1050" s="183">
        <v>4.2591</v>
      </c>
      <c r="L1050" s="1182">
        <v>2290.41</v>
      </c>
      <c r="M1050" s="156">
        <f>K1050/L1050</f>
        <v>0.001859536065595243</v>
      </c>
      <c r="N1050" s="155">
        <v>276.9</v>
      </c>
      <c r="O1050" s="157">
        <f>M1050*N1050</f>
        <v>0.5149055365633227</v>
      </c>
      <c r="P1050" s="157">
        <f>M1050*60*1000</f>
        <v>111.57216393571457</v>
      </c>
      <c r="Q1050" s="159">
        <f>P1050*N1050/1000</f>
        <v>30.89433219379936</v>
      </c>
      <c r="S1050" s="97"/>
      <c r="T1050" s="97"/>
    </row>
    <row r="1051" spans="1:20" s="110" customFormat="1" ht="12.75" customHeight="1">
      <c r="A1051" s="499"/>
      <c r="B1051" s="109">
        <v>4</v>
      </c>
      <c r="C1051" s="242"/>
      <c r="D1051" s="187"/>
      <c r="E1051" s="187"/>
      <c r="F1051" s="1234"/>
      <c r="G1051" s="1234"/>
      <c r="H1051" s="1234"/>
      <c r="I1051" s="1234"/>
      <c r="J1051" s="1268"/>
      <c r="K1051" s="1234"/>
      <c r="L1051" s="1268"/>
      <c r="M1051" s="211"/>
      <c r="N1051" s="784"/>
      <c r="O1051" s="214"/>
      <c r="P1051" s="214"/>
      <c r="Q1051" s="215"/>
      <c r="S1051" s="97"/>
      <c r="T1051" s="97"/>
    </row>
    <row r="1052" spans="1:20" s="110" customFormat="1" ht="12.75">
      <c r="A1052" s="499"/>
      <c r="B1052" s="109">
        <v>5</v>
      </c>
      <c r="C1052" s="242"/>
      <c r="D1052" s="187"/>
      <c r="E1052" s="187"/>
      <c r="F1052" s="1234"/>
      <c r="G1052" s="1234"/>
      <c r="H1052" s="1234"/>
      <c r="I1052" s="1234"/>
      <c r="J1052" s="1268"/>
      <c r="K1052" s="1234"/>
      <c r="L1052" s="1268"/>
      <c r="M1052" s="211"/>
      <c r="N1052" s="784"/>
      <c r="O1052" s="214"/>
      <c r="P1052" s="214"/>
      <c r="Q1052" s="215"/>
      <c r="S1052" s="97"/>
      <c r="T1052" s="97"/>
    </row>
    <row r="1053" spans="1:20" s="110" customFormat="1" ht="12.75">
      <c r="A1053" s="499"/>
      <c r="B1053" s="118"/>
      <c r="C1053" s="112"/>
      <c r="D1053" s="119"/>
      <c r="E1053" s="114"/>
      <c r="F1053" s="1266"/>
      <c r="G1053" s="1266"/>
      <c r="H1053" s="1266"/>
      <c r="I1053" s="1266"/>
      <c r="J1053" s="119"/>
      <c r="K1053" s="1266"/>
      <c r="L1053" s="119"/>
      <c r="M1053" s="1261"/>
      <c r="N1053" s="1260"/>
      <c r="O1053" s="1260"/>
      <c r="P1053" s="1260"/>
      <c r="Q1053" s="1262"/>
      <c r="S1053" s="97"/>
      <c r="T1053" s="97"/>
    </row>
    <row r="1054" spans="1:20" s="110" customFormat="1" ht="12.75">
      <c r="A1054" s="499"/>
      <c r="B1054" s="118"/>
      <c r="C1054" s="112"/>
      <c r="D1054" s="119"/>
      <c r="E1054" s="114"/>
      <c r="F1054" s="1266"/>
      <c r="G1054" s="1266"/>
      <c r="H1054" s="1266"/>
      <c r="I1054" s="1266"/>
      <c r="J1054" s="119"/>
      <c r="K1054" s="1266"/>
      <c r="L1054" s="119"/>
      <c r="M1054" s="1261"/>
      <c r="N1054" s="1260"/>
      <c r="O1054" s="1260"/>
      <c r="P1054" s="1260"/>
      <c r="Q1054" s="1262"/>
      <c r="S1054" s="97"/>
      <c r="T1054" s="97"/>
    </row>
    <row r="1055" spans="1:20" s="110" customFormat="1" ht="13.5" thickBot="1">
      <c r="A1055" s="500"/>
      <c r="B1055" s="115" t="s">
        <v>44</v>
      </c>
      <c r="C1055" s="333"/>
      <c r="D1055" s="334"/>
      <c r="E1055" s="335"/>
      <c r="F1055" s="1267"/>
      <c r="G1055" s="1267"/>
      <c r="H1055" s="1267"/>
      <c r="I1055" s="1267"/>
      <c r="J1055" s="334"/>
      <c r="K1055" s="1267"/>
      <c r="L1055" s="334"/>
      <c r="M1055" s="1264"/>
      <c r="N1055" s="1263"/>
      <c r="O1055" s="1263"/>
      <c r="P1055" s="1263"/>
      <c r="Q1055" s="1265"/>
      <c r="S1055" s="97"/>
      <c r="T1055" s="97"/>
    </row>
    <row r="1056" spans="1:20" s="110" customFormat="1" ht="12.75" customHeight="1">
      <c r="A1056" s="411" t="s">
        <v>29</v>
      </c>
      <c r="B1056" s="139">
        <v>1</v>
      </c>
      <c r="C1056" s="99" t="s">
        <v>837</v>
      </c>
      <c r="D1056" s="73">
        <v>4</v>
      </c>
      <c r="E1056" s="73" t="s">
        <v>273</v>
      </c>
      <c r="F1056" s="622">
        <f>+G1056+H1056+I1056</f>
        <v>0.378999</v>
      </c>
      <c r="G1056" s="622">
        <v>0</v>
      </c>
      <c r="H1056" s="622">
        <v>0</v>
      </c>
      <c r="I1056" s="622">
        <v>0.378999</v>
      </c>
      <c r="J1056" s="138">
        <v>272.94</v>
      </c>
      <c r="K1056" s="622">
        <v>0.378999</v>
      </c>
      <c r="L1056" s="138">
        <v>272.94</v>
      </c>
      <c r="M1056" s="184">
        <f>K1056/L1056</f>
        <v>0.0013885799076720157</v>
      </c>
      <c r="N1056" s="185">
        <v>276.9</v>
      </c>
      <c r="O1056" s="185">
        <f>M1056*N1056</f>
        <v>0.3844977764343811</v>
      </c>
      <c r="P1056" s="185">
        <f>M1056*60*1000</f>
        <v>83.31479446032094</v>
      </c>
      <c r="Q1056" s="259">
        <f>P1056*N1056/1000</f>
        <v>23.06986658606287</v>
      </c>
      <c r="S1056" s="97"/>
      <c r="T1056" s="97"/>
    </row>
    <row r="1057" spans="1:20" s="110" customFormat="1" ht="12.75" customHeight="1">
      <c r="A1057" s="412"/>
      <c r="B1057" s="120">
        <v>2</v>
      </c>
      <c r="C1057" s="35" t="s">
        <v>838</v>
      </c>
      <c r="D1057" s="36">
        <v>8</v>
      </c>
      <c r="E1057" s="36" t="s">
        <v>273</v>
      </c>
      <c r="F1057" s="609">
        <f>+G1057+H1057+I1057</f>
        <v>0.737</v>
      </c>
      <c r="G1057" s="609">
        <v>0</v>
      </c>
      <c r="H1057" s="609">
        <v>0</v>
      </c>
      <c r="I1057" s="609">
        <v>0.737</v>
      </c>
      <c r="J1057" s="135">
        <v>470.51</v>
      </c>
      <c r="K1057" s="609">
        <v>0.737</v>
      </c>
      <c r="L1057" s="135">
        <v>470.51</v>
      </c>
      <c r="M1057" s="164">
        <f>K1057/L1057</f>
        <v>0.0015663854115746743</v>
      </c>
      <c r="N1057" s="163">
        <v>276.9</v>
      </c>
      <c r="O1057" s="163">
        <f>M1057*N1057</f>
        <v>0.4337321204650273</v>
      </c>
      <c r="P1057" s="163">
        <f>M1057*60*1000</f>
        <v>93.98312469448047</v>
      </c>
      <c r="Q1057" s="251">
        <f>P1057*N1057/1000</f>
        <v>26.02392722790164</v>
      </c>
      <c r="S1057" s="97"/>
      <c r="T1057" s="97"/>
    </row>
    <row r="1058" spans="1:20" ht="12.75" customHeight="1">
      <c r="A1058" s="412"/>
      <c r="B1058" s="36">
        <v>3</v>
      </c>
      <c r="C1058" s="35" t="s">
        <v>839</v>
      </c>
      <c r="D1058" s="36">
        <v>8</v>
      </c>
      <c r="E1058" s="36" t="s">
        <v>273</v>
      </c>
      <c r="F1058" s="609">
        <f>+G1058+H1058+I1058</f>
        <v>0.948</v>
      </c>
      <c r="G1058" s="609">
        <v>0</v>
      </c>
      <c r="H1058" s="609">
        <v>0</v>
      </c>
      <c r="I1058" s="609">
        <v>0.948</v>
      </c>
      <c r="J1058" s="135">
        <v>487.4</v>
      </c>
      <c r="K1058" s="609">
        <v>0.948</v>
      </c>
      <c r="L1058" s="135">
        <v>487.4</v>
      </c>
      <c r="M1058" s="164">
        <f>K1058/L1058</f>
        <v>0.001945014361920394</v>
      </c>
      <c r="N1058" s="163">
        <v>276.9</v>
      </c>
      <c r="O1058" s="163">
        <f>M1058*N1058</f>
        <v>0.538574476815757</v>
      </c>
      <c r="P1058" s="163">
        <f>M1058*60*1000</f>
        <v>116.70086171522364</v>
      </c>
      <c r="Q1058" s="251">
        <f>P1058*N1058/1000</f>
        <v>32.314468608945425</v>
      </c>
      <c r="S1058" s="97"/>
      <c r="T1058" s="97"/>
    </row>
    <row r="1059" spans="1:20" ht="12.75" customHeight="1">
      <c r="A1059" s="412"/>
      <c r="B1059" s="36">
        <v>4</v>
      </c>
      <c r="C1059" s="35" t="s">
        <v>840</v>
      </c>
      <c r="D1059" s="36">
        <v>16</v>
      </c>
      <c r="E1059" s="36" t="s">
        <v>273</v>
      </c>
      <c r="F1059" s="609">
        <f>+G1059+H1059+I1059</f>
        <v>1.108001</v>
      </c>
      <c r="G1059" s="609">
        <v>0</v>
      </c>
      <c r="H1059" s="609">
        <v>0</v>
      </c>
      <c r="I1059" s="609">
        <v>1.108001</v>
      </c>
      <c r="J1059" s="135">
        <v>535.56</v>
      </c>
      <c r="K1059" s="609">
        <v>1.108</v>
      </c>
      <c r="L1059" s="135">
        <v>535.56</v>
      </c>
      <c r="M1059" s="164">
        <f>K1059/L1059</f>
        <v>0.0020688624990663983</v>
      </c>
      <c r="N1059" s="163">
        <v>276.9</v>
      </c>
      <c r="O1059" s="163">
        <f>M1059*N1059</f>
        <v>0.5728680259914857</v>
      </c>
      <c r="P1059" s="163">
        <f>M1059*60*1000</f>
        <v>124.1317499439839</v>
      </c>
      <c r="Q1059" s="251">
        <f>P1059*N1059/1000</f>
        <v>34.37208155948914</v>
      </c>
      <c r="S1059" s="97"/>
      <c r="T1059" s="97"/>
    </row>
    <row r="1060" spans="1:20" ht="12.75" customHeight="1">
      <c r="A1060" s="412"/>
      <c r="B1060" s="36"/>
      <c r="C1060" s="107"/>
      <c r="D1060" s="36"/>
      <c r="E1060" s="36"/>
      <c r="F1060" s="609"/>
      <c r="G1060" s="609"/>
      <c r="H1060" s="609"/>
      <c r="I1060" s="609"/>
      <c r="J1060" s="135"/>
      <c r="K1060" s="609"/>
      <c r="L1060" s="135"/>
      <c r="M1060" s="164"/>
      <c r="N1060" s="163"/>
      <c r="O1060" s="163"/>
      <c r="P1060" s="163"/>
      <c r="Q1060" s="251"/>
      <c r="S1060" s="97"/>
      <c r="T1060" s="97"/>
    </row>
    <row r="1061" spans="1:20" ht="12.75" customHeight="1">
      <c r="A1061" s="412"/>
      <c r="B1061" s="36"/>
      <c r="C1061" s="35"/>
      <c r="D1061" s="36"/>
      <c r="E1061" s="36"/>
      <c r="F1061" s="609"/>
      <c r="G1061" s="609"/>
      <c r="H1061" s="609"/>
      <c r="I1061" s="609"/>
      <c r="J1061" s="135"/>
      <c r="K1061" s="609"/>
      <c r="L1061" s="135"/>
      <c r="M1061" s="164"/>
      <c r="N1061" s="163"/>
      <c r="O1061" s="163"/>
      <c r="P1061" s="163"/>
      <c r="Q1061" s="251"/>
      <c r="S1061" s="97"/>
      <c r="T1061" s="97"/>
    </row>
    <row r="1062" spans="1:20" ht="13.5" customHeight="1" thickBot="1">
      <c r="A1062" s="413"/>
      <c r="B1062" s="103"/>
      <c r="C1062" s="91"/>
      <c r="D1062" s="39"/>
      <c r="E1062" s="39"/>
      <c r="F1062" s="613"/>
      <c r="G1062" s="613"/>
      <c r="H1062" s="613"/>
      <c r="I1062" s="613"/>
      <c r="J1062" s="276"/>
      <c r="K1062" s="613"/>
      <c r="L1062" s="276"/>
      <c r="M1062" s="332"/>
      <c r="N1062" s="260"/>
      <c r="O1062" s="260"/>
      <c r="P1062" s="260"/>
      <c r="Q1062" s="261"/>
      <c r="S1062" s="97"/>
      <c r="T1062" s="97"/>
    </row>
    <row r="1063" spans="1:20" ht="13.5" customHeight="1">
      <c r="A1063" s="855" t="s">
        <v>841</v>
      </c>
      <c r="B1063" s="653">
        <v>1</v>
      </c>
      <c r="C1063" s="698" t="s">
        <v>842</v>
      </c>
      <c r="D1063" s="653">
        <v>76</v>
      </c>
      <c r="E1063" s="653" t="s">
        <v>273</v>
      </c>
      <c r="F1063" s="850">
        <f>+G1063+H1063+I1063</f>
        <v>36.858000000000004</v>
      </c>
      <c r="G1063" s="850">
        <v>5.41</v>
      </c>
      <c r="H1063" s="850">
        <v>11.68</v>
      </c>
      <c r="I1063" s="850">
        <v>19.768</v>
      </c>
      <c r="J1063" s="918">
        <v>4005.86</v>
      </c>
      <c r="K1063" s="850">
        <v>19.768</v>
      </c>
      <c r="L1063" s="918">
        <v>4005.86</v>
      </c>
      <c r="M1063" s="675">
        <f>K1063/L1063</f>
        <v>0.004934770561127948</v>
      </c>
      <c r="N1063" s="674">
        <v>276.9</v>
      </c>
      <c r="O1063" s="674">
        <f>M1063*N1063</f>
        <v>1.3664379683763286</v>
      </c>
      <c r="P1063" s="674">
        <f>M1063*60*1000</f>
        <v>296.0862336676768</v>
      </c>
      <c r="Q1063" s="676">
        <f>P1063*N1063/1000</f>
        <v>81.9862781025797</v>
      </c>
      <c r="S1063" s="97"/>
      <c r="T1063" s="97"/>
    </row>
    <row r="1064" spans="1:20" ht="13.5" customHeight="1">
      <c r="A1064" s="694"/>
      <c r="B1064" s="367">
        <v>2</v>
      </c>
      <c r="C1064" s="633" t="s">
        <v>843</v>
      </c>
      <c r="D1064" s="367">
        <v>75</v>
      </c>
      <c r="E1064" s="367" t="s">
        <v>273</v>
      </c>
      <c r="F1064" s="677">
        <f>+G1064+H1064+I1064</f>
        <v>39.4</v>
      </c>
      <c r="G1064" s="677">
        <v>7.33</v>
      </c>
      <c r="H1064" s="677">
        <v>11.6</v>
      </c>
      <c r="I1064" s="677">
        <v>20.47</v>
      </c>
      <c r="J1064" s="652">
        <v>3993.36</v>
      </c>
      <c r="K1064" s="677">
        <v>20.47</v>
      </c>
      <c r="L1064" s="652">
        <v>3993.36</v>
      </c>
      <c r="M1064" s="679">
        <f>K1064/L1064</f>
        <v>0.005126009175230883</v>
      </c>
      <c r="N1064" s="678">
        <v>276.9</v>
      </c>
      <c r="O1064" s="678">
        <f>M1064*N1064</f>
        <v>1.4193919406214313</v>
      </c>
      <c r="P1064" s="678">
        <f>M1064*60*1000</f>
        <v>307.56055051385295</v>
      </c>
      <c r="Q1064" s="680">
        <f>P1064*N1064/1000</f>
        <v>85.16351643728586</v>
      </c>
      <c r="S1064" s="97"/>
      <c r="T1064" s="97"/>
    </row>
    <row r="1065" spans="1:20" ht="13.5" customHeight="1">
      <c r="A1065" s="694"/>
      <c r="B1065" s="367">
        <v>3</v>
      </c>
      <c r="C1065" s="633" t="s">
        <v>844</v>
      </c>
      <c r="D1065" s="367">
        <v>100</v>
      </c>
      <c r="E1065" s="367" t="s">
        <v>273</v>
      </c>
      <c r="F1065" s="677">
        <f>+G1065+H1065+I1065</f>
        <v>43.857</v>
      </c>
      <c r="G1065" s="677">
        <v>3.98</v>
      </c>
      <c r="H1065" s="677">
        <v>11.97</v>
      </c>
      <c r="I1065" s="677">
        <v>27.907</v>
      </c>
      <c r="J1065" s="652">
        <v>4434.32</v>
      </c>
      <c r="K1065" s="677">
        <v>27.907</v>
      </c>
      <c r="L1065" s="652">
        <v>4434.32</v>
      </c>
      <c r="M1065" s="679">
        <f>K1065/L1065</f>
        <v>0.006293411391149038</v>
      </c>
      <c r="N1065" s="678">
        <v>276.9</v>
      </c>
      <c r="O1065" s="678">
        <f>M1065*N1065</f>
        <v>1.7426456142091684</v>
      </c>
      <c r="P1065" s="678">
        <f>M1065*60*1000</f>
        <v>377.60468346894226</v>
      </c>
      <c r="Q1065" s="680">
        <f>P1065*N1065/1000</f>
        <v>104.55873685255011</v>
      </c>
      <c r="S1065" s="97"/>
      <c r="T1065" s="97"/>
    </row>
    <row r="1066" spans="1:20" ht="13.5" customHeight="1">
      <c r="A1066" s="694"/>
      <c r="B1066" s="367">
        <v>4</v>
      </c>
      <c r="C1066" s="633" t="s">
        <v>845</v>
      </c>
      <c r="D1066" s="367">
        <v>90</v>
      </c>
      <c r="E1066" s="367" t="s">
        <v>273</v>
      </c>
      <c r="F1066" s="677">
        <f>+G1066+H1066+I1066</f>
        <v>48.129999999999995</v>
      </c>
      <c r="G1066" s="677">
        <v>6.6</v>
      </c>
      <c r="H1066" s="677">
        <v>11.49</v>
      </c>
      <c r="I1066" s="677">
        <v>30.04</v>
      </c>
      <c r="J1066" s="652">
        <v>4437.58</v>
      </c>
      <c r="K1066" s="677">
        <v>30.04</v>
      </c>
      <c r="L1066" s="652">
        <v>4437.58</v>
      </c>
      <c r="M1066" s="679">
        <f>K1066/L1066</f>
        <v>0.006769455423902217</v>
      </c>
      <c r="N1066" s="678">
        <v>276.9</v>
      </c>
      <c r="O1066" s="678">
        <f>M1066*N1066</f>
        <v>1.8744622068785237</v>
      </c>
      <c r="P1066" s="678">
        <f>M1066*60*1000</f>
        <v>406.16732543413303</v>
      </c>
      <c r="Q1066" s="680">
        <f>P1066*N1066/1000</f>
        <v>112.46773241271143</v>
      </c>
      <c r="S1066" s="97"/>
      <c r="T1066" s="97"/>
    </row>
    <row r="1067" spans="1:20" ht="13.5" customHeight="1">
      <c r="A1067" s="694"/>
      <c r="B1067" s="367"/>
      <c r="C1067" s="633"/>
      <c r="D1067" s="367"/>
      <c r="E1067" s="367"/>
      <c r="F1067" s="677"/>
      <c r="G1067" s="677"/>
      <c r="H1067" s="677"/>
      <c r="I1067" s="677"/>
      <c r="J1067" s="652"/>
      <c r="K1067" s="677"/>
      <c r="L1067" s="652"/>
      <c r="M1067" s="679"/>
      <c r="N1067" s="678"/>
      <c r="O1067" s="678"/>
      <c r="P1067" s="678"/>
      <c r="Q1067" s="680"/>
      <c r="S1067" s="97"/>
      <c r="T1067" s="97"/>
    </row>
    <row r="1068" spans="1:20" ht="13.5" customHeight="1">
      <c r="A1068" s="694"/>
      <c r="B1068" s="367"/>
      <c r="C1068" s="633"/>
      <c r="D1068" s="367"/>
      <c r="E1068" s="367"/>
      <c r="F1068" s="677"/>
      <c r="G1068" s="677"/>
      <c r="H1068" s="677"/>
      <c r="I1068" s="677"/>
      <c r="J1068" s="652"/>
      <c r="K1068" s="677"/>
      <c r="L1068" s="652"/>
      <c r="M1068" s="679"/>
      <c r="N1068" s="678"/>
      <c r="O1068" s="678"/>
      <c r="P1068" s="678"/>
      <c r="Q1068" s="680"/>
      <c r="S1068" s="97"/>
      <c r="T1068" s="97"/>
    </row>
    <row r="1069" spans="1:20" ht="13.5" customHeight="1">
      <c r="A1069" s="694"/>
      <c r="B1069" s="367"/>
      <c r="C1069" s="633"/>
      <c r="D1069" s="367"/>
      <c r="E1069" s="367"/>
      <c r="F1069" s="677"/>
      <c r="G1069" s="677"/>
      <c r="H1069" s="677"/>
      <c r="I1069" s="677"/>
      <c r="J1069" s="652"/>
      <c r="K1069" s="677"/>
      <c r="L1069" s="652"/>
      <c r="M1069" s="679"/>
      <c r="N1069" s="678"/>
      <c r="O1069" s="678"/>
      <c r="P1069" s="678"/>
      <c r="Q1069" s="680"/>
      <c r="S1069" s="97"/>
      <c r="T1069" s="97"/>
    </row>
    <row r="1070" spans="1:20" ht="13.5" customHeight="1" thickBot="1">
      <c r="A1070" s="695"/>
      <c r="B1070" s="535"/>
      <c r="C1070" s="640"/>
      <c r="D1070" s="535"/>
      <c r="E1070" s="535"/>
      <c r="F1070" s="681"/>
      <c r="G1070" s="681"/>
      <c r="H1070" s="681"/>
      <c r="I1070" s="681"/>
      <c r="J1070" s="658"/>
      <c r="K1070" s="681"/>
      <c r="L1070" s="658"/>
      <c r="M1070" s="684"/>
      <c r="N1070" s="683"/>
      <c r="O1070" s="683"/>
      <c r="P1070" s="683"/>
      <c r="Q1070" s="685"/>
      <c r="S1070" s="97"/>
      <c r="T1070" s="97"/>
    </row>
    <row r="1071" spans="1:20" ht="13.5" customHeight="1">
      <c r="A1071" s="816" t="s">
        <v>850</v>
      </c>
      <c r="B1071" s="88">
        <v>1</v>
      </c>
      <c r="C1071" s="725" t="s">
        <v>846</v>
      </c>
      <c r="D1071" s="88">
        <v>22</v>
      </c>
      <c r="E1071" s="88" t="s">
        <v>273</v>
      </c>
      <c r="F1071" s="726">
        <f>+G1071+H1071+I1071</f>
        <v>11.48</v>
      </c>
      <c r="G1071" s="726">
        <v>0</v>
      </c>
      <c r="H1071" s="726">
        <v>0</v>
      </c>
      <c r="I1071" s="726">
        <v>11.48</v>
      </c>
      <c r="J1071" s="922">
        <v>867.78</v>
      </c>
      <c r="K1071" s="726">
        <v>11.48</v>
      </c>
      <c r="L1071" s="922">
        <v>867.78</v>
      </c>
      <c r="M1071" s="714">
        <f>K1071/L1071</f>
        <v>0.013229159464380373</v>
      </c>
      <c r="N1071" s="715">
        <v>276.9</v>
      </c>
      <c r="O1071" s="715">
        <f>M1071*N1071</f>
        <v>3.663154255686925</v>
      </c>
      <c r="P1071" s="715">
        <f>M1071*60*1000</f>
        <v>793.7495678628223</v>
      </c>
      <c r="Q1071" s="716">
        <f>P1071*N1071/1000</f>
        <v>219.7892553412155</v>
      </c>
      <c r="S1071" s="97"/>
      <c r="T1071" s="97"/>
    </row>
    <row r="1072" spans="1:20" ht="13.5" customHeight="1">
      <c r="A1072" s="407"/>
      <c r="B1072" s="42">
        <v>2</v>
      </c>
      <c r="C1072" s="52" t="s">
        <v>847</v>
      </c>
      <c r="D1072" s="42">
        <v>12</v>
      </c>
      <c r="E1072" s="42" t="s">
        <v>273</v>
      </c>
      <c r="F1072" s="727">
        <f>+G1072+H1072+I1072</f>
        <v>8.55399</v>
      </c>
      <c r="G1072" s="727">
        <v>0.43</v>
      </c>
      <c r="H1072" s="727">
        <v>1.04</v>
      </c>
      <c r="I1072" s="727">
        <v>7.08399</v>
      </c>
      <c r="J1072" s="751">
        <v>529.87</v>
      </c>
      <c r="K1072" s="727">
        <v>7.08399</v>
      </c>
      <c r="L1072" s="751">
        <v>529.87</v>
      </c>
      <c r="M1072" s="721">
        <f>K1072/L1072</f>
        <v>0.013369298129729933</v>
      </c>
      <c r="N1072" s="722">
        <v>276.9</v>
      </c>
      <c r="O1072" s="722">
        <f>M1072*N1072</f>
        <v>3.7019586521222183</v>
      </c>
      <c r="P1072" s="722">
        <f>M1072*60*1000</f>
        <v>802.157887783796</v>
      </c>
      <c r="Q1072" s="723">
        <f>P1072*N1072/1000</f>
        <v>222.1175191273331</v>
      </c>
      <c r="S1072" s="97"/>
      <c r="T1072" s="97"/>
    </row>
    <row r="1073" spans="1:20" ht="13.5" customHeight="1">
      <c r="A1073" s="407"/>
      <c r="B1073" s="42">
        <v>3</v>
      </c>
      <c r="C1073" s="52" t="s">
        <v>848</v>
      </c>
      <c r="D1073" s="42">
        <v>12</v>
      </c>
      <c r="E1073" s="42" t="s">
        <v>273</v>
      </c>
      <c r="F1073" s="727">
        <f>+G1073+H1073+I1073</f>
        <v>7.092882</v>
      </c>
      <c r="G1073" s="727">
        <v>0</v>
      </c>
      <c r="H1073" s="727">
        <v>0</v>
      </c>
      <c r="I1073" s="727">
        <v>7.092882</v>
      </c>
      <c r="J1073" s="751">
        <v>478.7</v>
      </c>
      <c r="K1073" s="727">
        <v>7.092882</v>
      </c>
      <c r="L1073" s="751">
        <v>478.7</v>
      </c>
      <c r="M1073" s="721">
        <f>K1073/L1073</f>
        <v>0.014816966785042825</v>
      </c>
      <c r="N1073" s="722">
        <v>276.9</v>
      </c>
      <c r="O1073" s="722">
        <f>M1073*N1073</f>
        <v>4.102818102778358</v>
      </c>
      <c r="P1073" s="722">
        <f>M1073*60*1000</f>
        <v>889.0180071025695</v>
      </c>
      <c r="Q1073" s="723">
        <f>P1073*N1073/1000</f>
        <v>246.16908616670148</v>
      </c>
      <c r="S1073" s="97"/>
      <c r="T1073" s="97"/>
    </row>
    <row r="1074" spans="1:20" ht="13.5" customHeight="1">
      <c r="A1074" s="407"/>
      <c r="B1074" s="42">
        <v>4</v>
      </c>
      <c r="C1074" s="52" t="s">
        <v>849</v>
      </c>
      <c r="D1074" s="42">
        <v>8</v>
      </c>
      <c r="E1074" s="42" t="s">
        <v>273</v>
      </c>
      <c r="F1074" s="727">
        <f>+G1074+H1074+I1074</f>
        <v>6.4670000000000005</v>
      </c>
      <c r="G1074" s="727">
        <v>0.36166</v>
      </c>
      <c r="H1074" s="727">
        <v>0.88</v>
      </c>
      <c r="I1074" s="727">
        <v>5.22534</v>
      </c>
      <c r="J1074" s="751">
        <v>347.21</v>
      </c>
      <c r="K1074" s="727">
        <v>5.22534</v>
      </c>
      <c r="L1074" s="751">
        <v>347.21</v>
      </c>
      <c r="M1074" s="721">
        <f>K1074/L1074</f>
        <v>0.015049508942714784</v>
      </c>
      <c r="N1074" s="722">
        <v>276.9</v>
      </c>
      <c r="O1074" s="722">
        <f>M1074*N1074</f>
        <v>4.167209026237724</v>
      </c>
      <c r="P1074" s="722">
        <f>M1074*60*1000</f>
        <v>902.9705365628871</v>
      </c>
      <c r="Q1074" s="723">
        <f>P1074*N1074/1000</f>
        <v>250.03254157426343</v>
      </c>
      <c r="S1074" s="97"/>
      <c r="T1074" s="97"/>
    </row>
    <row r="1075" spans="1:20" ht="13.5" customHeight="1">
      <c r="A1075" s="407"/>
      <c r="B1075" s="42"/>
      <c r="C1075" s="52"/>
      <c r="D1075" s="42"/>
      <c r="E1075" s="42"/>
      <c r="F1075" s="60"/>
      <c r="G1075" s="60"/>
      <c r="H1075" s="60"/>
      <c r="I1075" s="60"/>
      <c r="J1075" s="61"/>
      <c r="K1075" s="53"/>
      <c r="L1075" s="61"/>
      <c r="M1075" s="62"/>
      <c r="N1075" s="60"/>
      <c r="O1075" s="43"/>
      <c r="P1075" s="43"/>
      <c r="Q1075" s="46"/>
      <c r="S1075" s="97"/>
      <c r="T1075" s="97"/>
    </row>
    <row r="1076" spans="1:20" ht="13.5" customHeight="1">
      <c r="A1076" s="407"/>
      <c r="B1076" s="42"/>
      <c r="C1076" s="52"/>
      <c r="D1076" s="42"/>
      <c r="E1076" s="42"/>
      <c r="F1076" s="60"/>
      <c r="G1076" s="60"/>
      <c r="H1076" s="60"/>
      <c r="I1076" s="60"/>
      <c r="J1076" s="61"/>
      <c r="K1076" s="53"/>
      <c r="L1076" s="61"/>
      <c r="M1076" s="62"/>
      <c r="N1076" s="60"/>
      <c r="O1076" s="43"/>
      <c r="P1076" s="43"/>
      <c r="Q1076" s="46"/>
      <c r="S1076" s="97"/>
      <c r="T1076" s="97"/>
    </row>
    <row r="1077" spans="1:20" ht="13.5" customHeight="1">
      <c r="A1077" s="407"/>
      <c r="B1077" s="42"/>
      <c r="C1077" s="52"/>
      <c r="D1077" s="42"/>
      <c r="E1077" s="42"/>
      <c r="F1077" s="60"/>
      <c r="G1077" s="60"/>
      <c r="H1077" s="60"/>
      <c r="I1077" s="60"/>
      <c r="J1077" s="61"/>
      <c r="K1077" s="53"/>
      <c r="L1077" s="61"/>
      <c r="M1077" s="62"/>
      <c r="N1077" s="60"/>
      <c r="O1077" s="43"/>
      <c r="P1077" s="43"/>
      <c r="Q1077" s="46"/>
      <c r="S1077" s="97"/>
      <c r="T1077" s="97"/>
    </row>
    <row r="1078" spans="1:20" ht="13.5" customHeight="1" thickBot="1">
      <c r="A1078" s="408"/>
      <c r="B1078" s="47"/>
      <c r="C1078" s="56"/>
      <c r="D1078" s="47"/>
      <c r="E1078" s="47"/>
      <c r="F1078" s="63"/>
      <c r="G1078" s="63"/>
      <c r="H1078" s="63"/>
      <c r="I1078" s="63"/>
      <c r="J1078" s="64"/>
      <c r="K1078" s="57"/>
      <c r="L1078" s="64"/>
      <c r="M1078" s="89"/>
      <c r="N1078" s="63"/>
      <c r="O1078" s="48"/>
      <c r="P1078" s="48"/>
      <c r="Q1078" s="51"/>
      <c r="S1078" s="97"/>
      <c r="T1078" s="97"/>
    </row>
    <row r="1079" spans="19:20" ht="12.75">
      <c r="S1079" s="97"/>
      <c r="T1079" s="97"/>
    </row>
    <row r="1080" spans="19:20" ht="12.75">
      <c r="S1080" s="97"/>
      <c r="T1080" s="97"/>
    </row>
    <row r="1081" spans="19:20" ht="12.75">
      <c r="S1081" s="97"/>
      <c r="T1081" s="97"/>
    </row>
    <row r="1082" spans="19:20" ht="12.75">
      <c r="S1082" s="97"/>
      <c r="T1082" s="97"/>
    </row>
    <row r="1083" spans="1:20" ht="15">
      <c r="A1083" s="419" t="s">
        <v>131</v>
      </c>
      <c r="B1083" s="419"/>
      <c r="C1083" s="419"/>
      <c r="D1083" s="419"/>
      <c r="E1083" s="419"/>
      <c r="F1083" s="419"/>
      <c r="G1083" s="419"/>
      <c r="H1083" s="419"/>
      <c r="I1083" s="419"/>
      <c r="J1083" s="419"/>
      <c r="K1083" s="419"/>
      <c r="L1083" s="419"/>
      <c r="M1083" s="419"/>
      <c r="N1083" s="419"/>
      <c r="O1083" s="419"/>
      <c r="P1083" s="419"/>
      <c r="Q1083" s="419"/>
      <c r="S1083" s="97"/>
      <c r="T1083" s="97"/>
    </row>
    <row r="1084" spans="1:20" ht="13.5" thickBot="1">
      <c r="A1084" s="420" t="s">
        <v>851</v>
      </c>
      <c r="B1084" s="420"/>
      <c r="C1084" s="420"/>
      <c r="D1084" s="420"/>
      <c r="E1084" s="420"/>
      <c r="F1084" s="420"/>
      <c r="G1084" s="420"/>
      <c r="H1084" s="420"/>
      <c r="I1084" s="420"/>
      <c r="J1084" s="420"/>
      <c r="K1084" s="420"/>
      <c r="L1084" s="420"/>
      <c r="M1084" s="420"/>
      <c r="N1084" s="420"/>
      <c r="O1084" s="420"/>
      <c r="P1084" s="420"/>
      <c r="Q1084" s="420"/>
      <c r="S1084" s="97"/>
      <c r="T1084" s="97"/>
    </row>
    <row r="1085" spans="1:20" ht="12.75" customHeight="1">
      <c r="A1085" s="395" t="s">
        <v>1</v>
      </c>
      <c r="B1085" s="397" t="s">
        <v>0</v>
      </c>
      <c r="C1085" s="384" t="s">
        <v>2</v>
      </c>
      <c r="D1085" s="384" t="s">
        <v>3</v>
      </c>
      <c r="E1085" s="384" t="s">
        <v>13</v>
      </c>
      <c r="F1085" s="386" t="s">
        <v>14</v>
      </c>
      <c r="G1085" s="387"/>
      <c r="H1085" s="387"/>
      <c r="I1085" s="388"/>
      <c r="J1085" s="384" t="s">
        <v>4</v>
      </c>
      <c r="K1085" s="384" t="s">
        <v>15</v>
      </c>
      <c r="L1085" s="384" t="s">
        <v>5</v>
      </c>
      <c r="M1085" s="384" t="s">
        <v>6</v>
      </c>
      <c r="N1085" s="384" t="s">
        <v>16</v>
      </c>
      <c r="O1085" s="389" t="s">
        <v>17</v>
      </c>
      <c r="P1085" s="384" t="s">
        <v>25</v>
      </c>
      <c r="Q1085" s="391" t="s">
        <v>26</v>
      </c>
      <c r="S1085" s="97"/>
      <c r="T1085" s="97"/>
    </row>
    <row r="1086" spans="1:20" s="2" customFormat="1" ht="33.75">
      <c r="A1086" s="396"/>
      <c r="B1086" s="398"/>
      <c r="C1086" s="399"/>
      <c r="D1086" s="385"/>
      <c r="E1086" s="385"/>
      <c r="F1086" s="37" t="s">
        <v>18</v>
      </c>
      <c r="G1086" s="37" t="s">
        <v>19</v>
      </c>
      <c r="H1086" s="37" t="s">
        <v>20</v>
      </c>
      <c r="I1086" s="37" t="s">
        <v>21</v>
      </c>
      <c r="J1086" s="385"/>
      <c r="K1086" s="385"/>
      <c r="L1086" s="385"/>
      <c r="M1086" s="385"/>
      <c r="N1086" s="385"/>
      <c r="O1086" s="390"/>
      <c r="P1086" s="385"/>
      <c r="Q1086" s="392"/>
      <c r="S1086" s="97"/>
      <c r="T1086" s="97"/>
    </row>
    <row r="1087" spans="1:20" s="3" customFormat="1" ht="13.5" customHeight="1" thickBot="1">
      <c r="A1087" s="414"/>
      <c r="B1087" s="415"/>
      <c r="C1087" s="416"/>
      <c r="D1087" s="65" t="s">
        <v>7</v>
      </c>
      <c r="E1087" s="65" t="s">
        <v>8</v>
      </c>
      <c r="F1087" s="65" t="s">
        <v>9</v>
      </c>
      <c r="G1087" s="65" t="s">
        <v>9</v>
      </c>
      <c r="H1087" s="65" t="s">
        <v>9</v>
      </c>
      <c r="I1087" s="65" t="s">
        <v>9</v>
      </c>
      <c r="J1087" s="65" t="s">
        <v>22</v>
      </c>
      <c r="K1087" s="65" t="s">
        <v>9</v>
      </c>
      <c r="L1087" s="65" t="s">
        <v>22</v>
      </c>
      <c r="M1087" s="65" t="s">
        <v>136</v>
      </c>
      <c r="N1087" s="65" t="s">
        <v>10</v>
      </c>
      <c r="O1087" s="65" t="s">
        <v>151</v>
      </c>
      <c r="P1087" s="66" t="s">
        <v>27</v>
      </c>
      <c r="Q1087" s="67" t="s">
        <v>28</v>
      </c>
      <c r="S1087" s="97"/>
      <c r="T1087" s="97"/>
    </row>
    <row r="1088" spans="1:20" ht="11.25" customHeight="1">
      <c r="A1088" s="411" t="s">
        <v>29</v>
      </c>
      <c r="B1088" s="34">
        <v>1</v>
      </c>
      <c r="C1088" s="99" t="s">
        <v>852</v>
      </c>
      <c r="D1088" s="801">
        <v>22</v>
      </c>
      <c r="E1088" s="801">
        <v>1983</v>
      </c>
      <c r="F1088" s="930">
        <v>9.7</v>
      </c>
      <c r="G1088" s="930">
        <v>3.964</v>
      </c>
      <c r="H1088" s="930">
        <v>3.36</v>
      </c>
      <c r="I1088" s="930">
        <v>1.525</v>
      </c>
      <c r="J1088" s="856" t="s">
        <v>853</v>
      </c>
      <c r="K1088" s="930">
        <v>1.525</v>
      </c>
      <c r="L1088" s="947">
        <v>1178.53</v>
      </c>
      <c r="M1088" s="857">
        <f>K1088/L1088</f>
        <v>0.0012939848794684904</v>
      </c>
      <c r="N1088" s="802">
        <v>354.25</v>
      </c>
      <c r="O1088" s="802">
        <f>M1088*N1088</f>
        <v>0.4583941435517127</v>
      </c>
      <c r="P1088" s="802">
        <f>M1088*60*1000</f>
        <v>77.63909276810944</v>
      </c>
      <c r="Q1088" s="167">
        <f>P1088*N1088/1000</f>
        <v>27.503648613102765</v>
      </c>
      <c r="S1088" s="97"/>
      <c r="T1088" s="97"/>
    </row>
    <row r="1089" spans="1:20" ht="12.75" customHeight="1">
      <c r="A1089" s="412"/>
      <c r="B1089" s="36">
        <v>2</v>
      </c>
      <c r="C1089" s="35" t="s">
        <v>854</v>
      </c>
      <c r="D1089" s="168">
        <v>10</v>
      </c>
      <c r="E1089" s="168" t="s">
        <v>73</v>
      </c>
      <c r="F1089" s="876">
        <v>2.929</v>
      </c>
      <c r="G1089" s="876">
        <v>2.152</v>
      </c>
      <c r="H1089" s="876">
        <v>0.1</v>
      </c>
      <c r="I1089" s="876">
        <v>0.676</v>
      </c>
      <c r="J1089" s="623" t="s">
        <v>853</v>
      </c>
      <c r="K1089" s="876">
        <v>0.676</v>
      </c>
      <c r="L1089" s="890">
        <v>381.36</v>
      </c>
      <c r="M1089" s="170">
        <f>K1089/L1089</f>
        <v>0.0017726033144535348</v>
      </c>
      <c r="N1089" s="169">
        <v>354.25</v>
      </c>
      <c r="O1089" s="169">
        <f>M1089*N1089</f>
        <v>0.6279447241451647</v>
      </c>
      <c r="P1089" s="169">
        <f>M1089*60*1000</f>
        <v>106.35619886721209</v>
      </c>
      <c r="Q1089" s="171">
        <f>P1089*N1089/1000</f>
        <v>37.67668344870988</v>
      </c>
      <c r="S1089" s="97"/>
      <c r="T1089" s="97"/>
    </row>
    <row r="1090" spans="1:20" ht="12.75" customHeight="1">
      <c r="A1090" s="412"/>
      <c r="B1090" s="36">
        <v>3</v>
      </c>
      <c r="C1090" s="35" t="s">
        <v>855</v>
      </c>
      <c r="D1090" s="168">
        <v>12</v>
      </c>
      <c r="E1090" s="168">
        <v>1986</v>
      </c>
      <c r="F1090" s="876">
        <v>3.857</v>
      </c>
      <c r="G1090" s="876">
        <v>1.076</v>
      </c>
      <c r="H1090" s="876">
        <v>1.28</v>
      </c>
      <c r="I1090" s="876">
        <v>1.5</v>
      </c>
      <c r="J1090" s="623" t="s">
        <v>853</v>
      </c>
      <c r="K1090" s="876">
        <v>1.5</v>
      </c>
      <c r="L1090" s="890">
        <v>682.92</v>
      </c>
      <c r="M1090" s="170">
        <f>K1090/L1090</f>
        <v>0.002196450535933931</v>
      </c>
      <c r="N1090" s="169">
        <v>354.25</v>
      </c>
      <c r="O1090" s="169">
        <f>M1090*N1090</f>
        <v>0.778092602354595</v>
      </c>
      <c r="P1090" s="169">
        <f>M1090*60*1000</f>
        <v>131.78703215603585</v>
      </c>
      <c r="Q1090" s="171">
        <f>P1090*N1090/1000</f>
        <v>46.685556141275704</v>
      </c>
      <c r="S1090" s="97"/>
      <c r="T1090" s="97"/>
    </row>
    <row r="1091" spans="1:20" ht="12.75" customHeight="1">
      <c r="A1091" s="412"/>
      <c r="B1091" s="36">
        <v>4</v>
      </c>
      <c r="C1091" s="35" t="s">
        <v>856</v>
      </c>
      <c r="D1091" s="168">
        <v>22</v>
      </c>
      <c r="E1091" s="168">
        <v>1981</v>
      </c>
      <c r="F1091" s="876">
        <v>13.445</v>
      </c>
      <c r="G1091" s="876">
        <v>6.723</v>
      </c>
      <c r="H1091" s="876">
        <v>3.52</v>
      </c>
      <c r="I1091" s="876">
        <v>3.201</v>
      </c>
      <c r="J1091" s="623" t="s">
        <v>853</v>
      </c>
      <c r="K1091" s="876">
        <v>3.201</v>
      </c>
      <c r="L1091" s="890">
        <v>1220.59</v>
      </c>
      <c r="M1091" s="170">
        <f>K1091/L1091</f>
        <v>0.002622502232526893</v>
      </c>
      <c r="N1091" s="169">
        <v>354.25</v>
      </c>
      <c r="O1091" s="169">
        <f>M1091*N1091</f>
        <v>0.9290214158726517</v>
      </c>
      <c r="P1091" s="169">
        <f>M1091*60*1000</f>
        <v>157.35013395161357</v>
      </c>
      <c r="Q1091" s="171">
        <f>P1091*N1091/1000</f>
        <v>55.74128495235911</v>
      </c>
      <c r="S1091" s="97"/>
      <c r="T1091" s="97"/>
    </row>
    <row r="1092" spans="1:20" ht="12.75" customHeight="1">
      <c r="A1092" s="412"/>
      <c r="B1092" s="36">
        <v>5</v>
      </c>
      <c r="C1092" s="35" t="s">
        <v>857</v>
      </c>
      <c r="D1092" s="168">
        <v>24</v>
      </c>
      <c r="E1092" s="168">
        <v>1967</v>
      </c>
      <c r="F1092" s="876">
        <v>5.5</v>
      </c>
      <c r="G1092" s="876">
        <v>2.435</v>
      </c>
      <c r="H1092" s="876">
        <v>0.24</v>
      </c>
      <c r="I1092" s="876">
        <v>2.824</v>
      </c>
      <c r="J1092" s="623" t="s">
        <v>853</v>
      </c>
      <c r="K1092" s="876">
        <v>2.824</v>
      </c>
      <c r="L1092" s="890">
        <v>908.47</v>
      </c>
      <c r="M1092" s="170">
        <f>K1092/L1092</f>
        <v>0.003108523121291842</v>
      </c>
      <c r="N1092" s="169">
        <v>354.25</v>
      </c>
      <c r="O1092" s="169">
        <f>M1092*N1092</f>
        <v>1.1011943157176352</v>
      </c>
      <c r="P1092" s="169">
        <f>M1092*60*1000</f>
        <v>186.51138727751055</v>
      </c>
      <c r="Q1092" s="171">
        <f>P1092*N1092/1000</f>
        <v>66.07165894305811</v>
      </c>
      <c r="S1092" s="97"/>
      <c r="T1092" s="97"/>
    </row>
    <row r="1093" spans="1:20" s="110" customFormat="1" ht="12.75" customHeight="1">
      <c r="A1093" s="412"/>
      <c r="B1093" s="120">
        <v>6</v>
      </c>
      <c r="C1093" s="35" t="s">
        <v>858</v>
      </c>
      <c r="D1093" s="168">
        <v>50</v>
      </c>
      <c r="E1093" s="168">
        <v>1976</v>
      </c>
      <c r="F1093" s="876">
        <v>21.1</v>
      </c>
      <c r="G1093" s="876">
        <v>7.306</v>
      </c>
      <c r="H1093" s="876">
        <v>7.84</v>
      </c>
      <c r="I1093" s="876">
        <v>5.953</v>
      </c>
      <c r="J1093" s="623" t="s">
        <v>853</v>
      </c>
      <c r="K1093" s="876">
        <v>5.953</v>
      </c>
      <c r="L1093" s="890">
        <v>1816.22</v>
      </c>
      <c r="M1093" s="170">
        <f>K1093/L1093</f>
        <v>0.003277686623867153</v>
      </c>
      <c r="N1093" s="169">
        <v>354.25</v>
      </c>
      <c r="O1093" s="169">
        <f>M1093*N1093</f>
        <v>1.161120486504939</v>
      </c>
      <c r="P1093" s="169">
        <f>M1093*60*1000</f>
        <v>196.66119743202918</v>
      </c>
      <c r="Q1093" s="171">
        <f>P1093*N1093/1000</f>
        <v>69.66722919029634</v>
      </c>
      <c r="S1093" s="97"/>
      <c r="T1093" s="97"/>
    </row>
    <row r="1094" spans="1:20" ht="12.75" customHeight="1">
      <c r="A1094" s="412"/>
      <c r="B1094" s="36">
        <v>7</v>
      </c>
      <c r="C1094" s="35" t="s">
        <v>859</v>
      </c>
      <c r="D1094" s="168">
        <v>16</v>
      </c>
      <c r="E1094" s="168">
        <v>1983</v>
      </c>
      <c r="F1094" s="876">
        <v>16</v>
      </c>
      <c r="G1094" s="876">
        <v>2.689</v>
      </c>
      <c r="H1094" s="876">
        <v>5.6</v>
      </c>
      <c r="I1094" s="876">
        <v>7.71</v>
      </c>
      <c r="J1094" s="623" t="s">
        <v>853</v>
      </c>
      <c r="K1094" s="876">
        <v>7.71</v>
      </c>
      <c r="L1094" s="890">
        <v>2236.29</v>
      </c>
      <c r="M1094" s="170">
        <f>K1094/L1094</f>
        <v>0.003447674496599278</v>
      </c>
      <c r="N1094" s="169">
        <v>354.25</v>
      </c>
      <c r="O1094" s="169">
        <f>M1094*N1094</f>
        <v>1.2213386904202943</v>
      </c>
      <c r="P1094" s="169">
        <f>M1094*60*1000</f>
        <v>206.86046979595667</v>
      </c>
      <c r="Q1094" s="171">
        <f>P1094*N1094/1000</f>
        <v>73.28032142521765</v>
      </c>
      <c r="S1094" s="97"/>
      <c r="T1094" s="97"/>
    </row>
    <row r="1095" spans="1:20" ht="12.75" customHeight="1">
      <c r="A1095" s="412"/>
      <c r="B1095" s="36">
        <v>8</v>
      </c>
      <c r="C1095" s="35" t="s">
        <v>860</v>
      </c>
      <c r="D1095" s="168">
        <v>45</v>
      </c>
      <c r="E1095" s="168">
        <v>1984</v>
      </c>
      <c r="F1095" s="876">
        <v>21</v>
      </c>
      <c r="G1095" s="876">
        <v>5.721</v>
      </c>
      <c r="H1095" s="876">
        <v>7.12</v>
      </c>
      <c r="I1095" s="876">
        <v>8.159</v>
      </c>
      <c r="J1095" s="623" t="s">
        <v>861</v>
      </c>
      <c r="K1095" s="876">
        <v>8.159</v>
      </c>
      <c r="L1095" s="890">
        <v>2323</v>
      </c>
      <c r="M1095" s="170">
        <f>K1095/L1095</f>
        <v>0.0035122686181661648</v>
      </c>
      <c r="N1095" s="169">
        <v>354.25</v>
      </c>
      <c r="O1095" s="169">
        <f>M1095*N1095</f>
        <v>1.244221157985364</v>
      </c>
      <c r="P1095" s="169">
        <f>M1095*60*1000</f>
        <v>210.7361170899699</v>
      </c>
      <c r="Q1095" s="171">
        <f>P1095*N1095/1000</f>
        <v>74.65326947912183</v>
      </c>
      <c r="S1095" s="97"/>
      <c r="T1095" s="97"/>
    </row>
    <row r="1096" spans="1:20" ht="13.5" customHeight="1">
      <c r="A1096" s="412"/>
      <c r="B1096" s="36">
        <v>9</v>
      </c>
      <c r="C1096" s="35" t="s">
        <v>862</v>
      </c>
      <c r="D1096" s="168">
        <v>10</v>
      </c>
      <c r="E1096" s="168">
        <v>1978</v>
      </c>
      <c r="F1096" s="876">
        <v>4.434</v>
      </c>
      <c r="G1096" s="876">
        <v>0.821</v>
      </c>
      <c r="H1096" s="876">
        <v>1.6</v>
      </c>
      <c r="I1096" s="876">
        <v>2.012</v>
      </c>
      <c r="J1096" s="623" t="s">
        <v>853</v>
      </c>
      <c r="K1096" s="876">
        <v>2.012</v>
      </c>
      <c r="L1096" s="890">
        <v>556.73</v>
      </c>
      <c r="M1096" s="170">
        <f>K1096/L1096</f>
        <v>0.003613960088373179</v>
      </c>
      <c r="N1096" s="169">
        <v>354.25</v>
      </c>
      <c r="O1096" s="169">
        <f>M1096*N1096</f>
        <v>1.2802453613061986</v>
      </c>
      <c r="P1096" s="169">
        <f>M1096*60*1000</f>
        <v>216.83760530239073</v>
      </c>
      <c r="Q1096" s="171">
        <f>P1096*N1096/1000</f>
        <v>76.81472167837192</v>
      </c>
      <c r="S1096" s="97"/>
      <c r="T1096" s="97"/>
    </row>
    <row r="1097" spans="1:20" ht="13.5" customHeight="1" thickBot="1">
      <c r="A1097" s="413"/>
      <c r="B1097" s="103">
        <v>10</v>
      </c>
      <c r="C1097" s="91" t="s">
        <v>863</v>
      </c>
      <c r="D1097" s="589">
        <v>20</v>
      </c>
      <c r="E1097" s="589">
        <v>1976</v>
      </c>
      <c r="F1097" s="877">
        <v>8.69</v>
      </c>
      <c r="G1097" s="877">
        <v>1.982</v>
      </c>
      <c r="H1097" s="877">
        <v>2.56</v>
      </c>
      <c r="I1097" s="877">
        <v>4.147</v>
      </c>
      <c r="J1097" s="860" t="s">
        <v>853</v>
      </c>
      <c r="K1097" s="877">
        <v>4.147</v>
      </c>
      <c r="L1097" s="891">
        <v>1064.72</v>
      </c>
      <c r="M1097" s="591">
        <f>K1097/L1097</f>
        <v>0.0038949207303328576</v>
      </c>
      <c r="N1097" s="590">
        <v>354.25</v>
      </c>
      <c r="O1097" s="590">
        <f>M1097*N1097</f>
        <v>1.3797756687204148</v>
      </c>
      <c r="P1097" s="590">
        <f>M1097*60*1000</f>
        <v>233.69524381997144</v>
      </c>
      <c r="Q1097" s="592">
        <f>P1097*N1097/1000</f>
        <v>82.78654012322488</v>
      </c>
      <c r="S1097" s="97"/>
      <c r="T1097" s="97"/>
    </row>
    <row r="1098" spans="1:20" ht="12.75">
      <c r="A1098" s="528" t="s">
        <v>30</v>
      </c>
      <c r="B1098" s="366">
        <v>1</v>
      </c>
      <c r="C1098" s="698" t="s">
        <v>864</v>
      </c>
      <c r="D1098" s="804">
        <v>22</v>
      </c>
      <c r="E1098" s="804">
        <v>1981</v>
      </c>
      <c r="F1098" s="931">
        <v>10.48</v>
      </c>
      <c r="G1098" s="931">
        <v>2.095</v>
      </c>
      <c r="H1098" s="931">
        <v>3.52</v>
      </c>
      <c r="I1098" s="931">
        <v>4.864</v>
      </c>
      <c r="J1098" s="858" t="s">
        <v>853</v>
      </c>
      <c r="K1098" s="931">
        <v>4.864</v>
      </c>
      <c r="L1098" s="1269">
        <v>1177.79</v>
      </c>
      <c r="M1098" s="805">
        <f>K1098/L1098</f>
        <v>0.004129768464666876</v>
      </c>
      <c r="N1098" s="806">
        <v>354.25</v>
      </c>
      <c r="O1098" s="806">
        <f>M1098*N1098</f>
        <v>1.462970478608241</v>
      </c>
      <c r="P1098" s="806">
        <f>M1098*60*1000</f>
        <v>247.78610788001257</v>
      </c>
      <c r="Q1098" s="859">
        <f>P1098*N1098/1000</f>
        <v>87.77822871649445</v>
      </c>
      <c r="S1098" s="97"/>
      <c r="T1098" s="97"/>
    </row>
    <row r="1099" spans="1:20" ht="12.75">
      <c r="A1099" s="530"/>
      <c r="B1099" s="367">
        <v>2</v>
      </c>
      <c r="C1099" s="633" t="s">
        <v>865</v>
      </c>
      <c r="D1099" s="634">
        <v>12</v>
      </c>
      <c r="E1099" s="634">
        <v>1963</v>
      </c>
      <c r="F1099" s="879">
        <v>5.423</v>
      </c>
      <c r="G1099" s="879">
        <v>1.387</v>
      </c>
      <c r="H1099" s="879">
        <v>1.92</v>
      </c>
      <c r="I1099" s="879">
        <v>2.115</v>
      </c>
      <c r="J1099" s="710" t="s">
        <v>861</v>
      </c>
      <c r="K1099" s="879">
        <v>2.115</v>
      </c>
      <c r="L1099" s="893">
        <v>495.63</v>
      </c>
      <c r="M1099" s="636">
        <f>K1099/L1099</f>
        <v>0.004267296168512802</v>
      </c>
      <c r="N1099" s="635">
        <v>354.25</v>
      </c>
      <c r="O1099" s="635">
        <f>M1099*N1099</f>
        <v>1.5116896676956602</v>
      </c>
      <c r="P1099" s="635">
        <f>M1099*60*1000</f>
        <v>256.0377701107681</v>
      </c>
      <c r="Q1099" s="637">
        <f>P1099*N1099/1000</f>
        <v>90.7013800617396</v>
      </c>
      <c r="S1099" s="97"/>
      <c r="T1099" s="97"/>
    </row>
    <row r="1100" spans="1:20" ht="12.75">
      <c r="A1100" s="530"/>
      <c r="B1100" s="367">
        <v>3</v>
      </c>
      <c r="C1100" s="633" t="s">
        <v>866</v>
      </c>
      <c r="D1100" s="634">
        <v>40</v>
      </c>
      <c r="E1100" s="634">
        <v>1974</v>
      </c>
      <c r="F1100" s="879">
        <v>20.2</v>
      </c>
      <c r="G1100" s="879">
        <v>3.504</v>
      </c>
      <c r="H1100" s="879">
        <v>5.94</v>
      </c>
      <c r="I1100" s="879">
        <v>10.755</v>
      </c>
      <c r="J1100" s="710" t="s">
        <v>861</v>
      </c>
      <c r="K1100" s="879">
        <v>10.755</v>
      </c>
      <c r="L1100" s="893">
        <v>2255.44</v>
      </c>
      <c r="M1100" s="636">
        <f>K1100/L1100</f>
        <v>0.004768470897031178</v>
      </c>
      <c r="N1100" s="635">
        <v>354.25</v>
      </c>
      <c r="O1100" s="635">
        <f>M1100*N1100</f>
        <v>1.6892308152732949</v>
      </c>
      <c r="P1100" s="635">
        <f>M1100*60*1000</f>
        <v>286.1082538218707</v>
      </c>
      <c r="Q1100" s="637">
        <f>P1100*N1100/1000</f>
        <v>101.3538489163977</v>
      </c>
      <c r="S1100" s="97"/>
      <c r="T1100" s="97"/>
    </row>
    <row r="1101" spans="1:20" ht="12.75">
      <c r="A1101" s="530"/>
      <c r="B1101" s="367">
        <v>4</v>
      </c>
      <c r="C1101" s="633" t="s">
        <v>867</v>
      </c>
      <c r="D1101" s="634">
        <v>20</v>
      </c>
      <c r="E1101" s="634">
        <v>1983</v>
      </c>
      <c r="F1101" s="879">
        <v>11.51</v>
      </c>
      <c r="G1101" s="879">
        <v>2.378</v>
      </c>
      <c r="H1101" s="879">
        <v>3.2</v>
      </c>
      <c r="I1101" s="879">
        <v>5.931</v>
      </c>
      <c r="J1101" s="710" t="s">
        <v>861</v>
      </c>
      <c r="K1101" s="879">
        <v>5.931</v>
      </c>
      <c r="L1101" s="893">
        <v>1070.76</v>
      </c>
      <c r="M1101" s="636">
        <f>K1101/L1101</f>
        <v>0.005539056371175613</v>
      </c>
      <c r="N1101" s="635">
        <v>354.25</v>
      </c>
      <c r="O1101" s="635">
        <f>M1101*N1101</f>
        <v>1.962210719488961</v>
      </c>
      <c r="P1101" s="635">
        <f>M1101*60*1000</f>
        <v>332.3433822705368</v>
      </c>
      <c r="Q1101" s="637">
        <f>P1101*N1101/1000</f>
        <v>117.73264316933765</v>
      </c>
      <c r="S1101" s="97"/>
      <c r="T1101" s="97"/>
    </row>
    <row r="1102" spans="1:20" ht="12.75">
      <c r="A1102" s="530"/>
      <c r="B1102" s="367">
        <v>5</v>
      </c>
      <c r="C1102" s="633" t="s">
        <v>868</v>
      </c>
      <c r="D1102" s="634">
        <v>40</v>
      </c>
      <c r="E1102" s="634">
        <v>1981</v>
      </c>
      <c r="F1102" s="879">
        <v>23</v>
      </c>
      <c r="G1102" s="879">
        <v>4.078</v>
      </c>
      <c r="H1102" s="879">
        <v>6.4</v>
      </c>
      <c r="I1102" s="879">
        <v>12.521</v>
      </c>
      <c r="J1102" s="710" t="s">
        <v>861</v>
      </c>
      <c r="K1102" s="879">
        <v>12.521</v>
      </c>
      <c r="L1102" s="893">
        <v>2259.15</v>
      </c>
      <c r="M1102" s="636">
        <f>K1102/L1102</f>
        <v>0.005542349998893389</v>
      </c>
      <c r="N1102" s="635">
        <v>354.25</v>
      </c>
      <c r="O1102" s="635">
        <f>M1102*N1102</f>
        <v>1.9633774871079832</v>
      </c>
      <c r="P1102" s="635">
        <f>M1102*60*1000</f>
        <v>332.54099993360336</v>
      </c>
      <c r="Q1102" s="637">
        <f>P1102*N1102/1000</f>
        <v>117.80264922647899</v>
      </c>
      <c r="S1102" s="97"/>
      <c r="T1102" s="97"/>
    </row>
    <row r="1103" spans="1:20" s="110" customFormat="1" ht="12.75">
      <c r="A1103" s="530"/>
      <c r="B1103" s="651">
        <v>6</v>
      </c>
      <c r="C1103" s="633" t="s">
        <v>869</v>
      </c>
      <c r="D1103" s="634">
        <v>22</v>
      </c>
      <c r="E1103" s="634">
        <v>1983</v>
      </c>
      <c r="F1103" s="879">
        <v>13</v>
      </c>
      <c r="G1103" s="879">
        <v>2.775</v>
      </c>
      <c r="H1103" s="879">
        <v>3.52</v>
      </c>
      <c r="I1103" s="879">
        <v>6.705</v>
      </c>
      <c r="J1103" s="710" t="s">
        <v>861</v>
      </c>
      <c r="K1103" s="879">
        <v>6.705</v>
      </c>
      <c r="L1103" s="893">
        <v>1182.51</v>
      </c>
      <c r="M1103" s="636">
        <f>K1103/L1103</f>
        <v>0.005670142324377806</v>
      </c>
      <c r="N1103" s="635">
        <v>354.25</v>
      </c>
      <c r="O1103" s="635">
        <f>M1103*N1103</f>
        <v>2.008647918410838</v>
      </c>
      <c r="P1103" s="635">
        <f>M1103*60*1000</f>
        <v>340.2085394626684</v>
      </c>
      <c r="Q1103" s="637">
        <f>P1103*N1103/1000</f>
        <v>120.51887510465028</v>
      </c>
      <c r="S1103" s="97"/>
      <c r="T1103" s="97"/>
    </row>
    <row r="1104" spans="1:20" ht="12.75">
      <c r="A1104" s="530"/>
      <c r="B1104" s="367">
        <v>7</v>
      </c>
      <c r="C1104" s="633" t="s">
        <v>870</v>
      </c>
      <c r="D1104" s="634">
        <v>27</v>
      </c>
      <c r="E1104" s="634">
        <v>1987</v>
      </c>
      <c r="F1104" s="879">
        <v>14.8</v>
      </c>
      <c r="G1104" s="879">
        <v>2.804</v>
      </c>
      <c r="H1104" s="879">
        <v>3.52</v>
      </c>
      <c r="I1104" s="879">
        <v>8.476</v>
      </c>
      <c r="J1104" s="710" t="s">
        <v>861</v>
      </c>
      <c r="K1104" s="879">
        <v>6.342</v>
      </c>
      <c r="L1104" s="893">
        <v>1110.15</v>
      </c>
      <c r="M1104" s="636">
        <f>K1104/L1104</f>
        <v>0.005712741521416024</v>
      </c>
      <c r="N1104" s="635">
        <v>354.25</v>
      </c>
      <c r="O1104" s="635">
        <f>M1104*N1104</f>
        <v>2.0237386839616267</v>
      </c>
      <c r="P1104" s="635">
        <f>M1104*60*1000</f>
        <v>342.7644912849614</v>
      </c>
      <c r="Q1104" s="637">
        <f>P1104*N1104/1000</f>
        <v>121.4243210376976</v>
      </c>
      <c r="S1104" s="97"/>
      <c r="T1104" s="97"/>
    </row>
    <row r="1105" spans="1:20" ht="12.75">
      <c r="A1105" s="530"/>
      <c r="B1105" s="367">
        <v>8</v>
      </c>
      <c r="C1105" s="633" t="s">
        <v>871</v>
      </c>
      <c r="D1105" s="634">
        <v>40</v>
      </c>
      <c r="E1105" s="634">
        <v>1981</v>
      </c>
      <c r="F1105" s="879">
        <v>25.2</v>
      </c>
      <c r="G1105" s="879">
        <v>3.058</v>
      </c>
      <c r="H1105" s="879">
        <v>6.4</v>
      </c>
      <c r="I1105" s="879">
        <v>15.741</v>
      </c>
      <c r="J1105" s="710" t="s">
        <v>872</v>
      </c>
      <c r="K1105" s="879">
        <v>12.934</v>
      </c>
      <c r="L1105" s="893">
        <v>2263.97</v>
      </c>
      <c r="M1105" s="636">
        <f>K1105/L1105</f>
        <v>0.00571297322844384</v>
      </c>
      <c r="N1105" s="635">
        <v>354.25</v>
      </c>
      <c r="O1105" s="635">
        <f>M1105*N1105</f>
        <v>2.02382076617623</v>
      </c>
      <c r="P1105" s="635">
        <f>M1105*60*1000</f>
        <v>342.77839370663037</v>
      </c>
      <c r="Q1105" s="637">
        <f>P1105*N1105/1000</f>
        <v>121.42924597057382</v>
      </c>
      <c r="S1105" s="97"/>
      <c r="T1105" s="97"/>
    </row>
    <row r="1106" spans="1:20" ht="12.75">
      <c r="A1106" s="532"/>
      <c r="B1106" s="533">
        <v>9</v>
      </c>
      <c r="C1106" s="633" t="s">
        <v>873</v>
      </c>
      <c r="D1106" s="634">
        <v>55</v>
      </c>
      <c r="E1106" s="634">
        <v>1966</v>
      </c>
      <c r="F1106" s="879">
        <v>29.5</v>
      </c>
      <c r="G1106" s="879">
        <v>3.543</v>
      </c>
      <c r="H1106" s="879">
        <v>8.8</v>
      </c>
      <c r="I1106" s="879">
        <v>17.156</v>
      </c>
      <c r="J1106" s="710" t="s">
        <v>872</v>
      </c>
      <c r="K1106" s="879">
        <v>14.352</v>
      </c>
      <c r="L1106" s="893">
        <v>2512.12</v>
      </c>
      <c r="M1106" s="636">
        <f>K1106/L1106</f>
        <v>0.005713102877251087</v>
      </c>
      <c r="N1106" s="635">
        <v>354.25</v>
      </c>
      <c r="O1106" s="635">
        <f>M1106*N1106</f>
        <v>2.023866694266198</v>
      </c>
      <c r="P1106" s="635">
        <f>M1106*60*1000</f>
        <v>342.7861726350652</v>
      </c>
      <c r="Q1106" s="637">
        <f>P1106*N1106/1000</f>
        <v>121.43200165597185</v>
      </c>
      <c r="S1106" s="97"/>
      <c r="T1106" s="97"/>
    </row>
    <row r="1107" spans="1:20" ht="13.5" thickBot="1">
      <c r="A1107" s="534"/>
      <c r="B1107" s="535">
        <v>10</v>
      </c>
      <c r="C1107" s="640" t="s">
        <v>874</v>
      </c>
      <c r="D1107" s="641">
        <v>40</v>
      </c>
      <c r="E1107" s="641">
        <v>1973</v>
      </c>
      <c r="F1107" s="880">
        <v>21.4</v>
      </c>
      <c r="G1107" s="880">
        <v>3.398</v>
      </c>
      <c r="H1107" s="880">
        <v>6.4</v>
      </c>
      <c r="I1107" s="880">
        <v>11.602</v>
      </c>
      <c r="J1107" s="866" t="s">
        <v>861</v>
      </c>
      <c r="K1107" s="880">
        <v>11.602</v>
      </c>
      <c r="L1107" s="894">
        <v>1939.5</v>
      </c>
      <c r="M1107" s="643">
        <f>K1107/L1107</f>
        <v>0.005981954111884506</v>
      </c>
      <c r="N1107" s="642">
        <v>354.25</v>
      </c>
      <c r="O1107" s="642">
        <f>M1107*N1107</f>
        <v>2.1191072441350864</v>
      </c>
      <c r="P1107" s="642">
        <f>M1107*60*1000</f>
        <v>358.91724671307037</v>
      </c>
      <c r="Q1107" s="644">
        <f>P1107*N1107/1000</f>
        <v>127.14643464810517</v>
      </c>
      <c r="S1107" s="97"/>
      <c r="T1107" s="97"/>
    </row>
    <row r="1108" spans="1:20" ht="12.75">
      <c r="A1108" s="406" t="s">
        <v>12</v>
      </c>
      <c r="B1108" s="88">
        <v>1</v>
      </c>
      <c r="C1108" s="725" t="s">
        <v>875</v>
      </c>
      <c r="D1108" s="861">
        <v>50</v>
      </c>
      <c r="E1108" s="861">
        <v>1976</v>
      </c>
      <c r="F1108" s="932">
        <v>24.3</v>
      </c>
      <c r="G1108" s="932">
        <v>4.854</v>
      </c>
      <c r="H1108" s="932">
        <v>8</v>
      </c>
      <c r="I1108" s="932">
        <v>11.445</v>
      </c>
      <c r="J1108" s="862" t="s">
        <v>861</v>
      </c>
      <c r="K1108" s="932">
        <v>11.445</v>
      </c>
      <c r="L1108" s="1270">
        <v>1816.52</v>
      </c>
      <c r="M1108" s="863">
        <f>K1108/L1108</f>
        <v>0.006300508664919737</v>
      </c>
      <c r="N1108" s="864">
        <v>354.25</v>
      </c>
      <c r="O1108" s="864">
        <f>M1108*N1108</f>
        <v>2.2319551945478167</v>
      </c>
      <c r="P1108" s="864">
        <f>M1108*60*1000</f>
        <v>378.0305198951842</v>
      </c>
      <c r="Q1108" s="865">
        <f>P1108*N1108/1000</f>
        <v>133.91731167286903</v>
      </c>
      <c r="S1108" s="97"/>
      <c r="T1108" s="97"/>
    </row>
    <row r="1109" spans="1:20" ht="12.75">
      <c r="A1109" s="407"/>
      <c r="B1109" s="42">
        <v>2</v>
      </c>
      <c r="C1109" s="52" t="s">
        <v>876</v>
      </c>
      <c r="D1109" s="175">
        <v>12</v>
      </c>
      <c r="E1109" s="175">
        <v>1977</v>
      </c>
      <c r="F1109" s="882">
        <v>6.4</v>
      </c>
      <c r="G1109" s="882">
        <v>1.2</v>
      </c>
      <c r="H1109" s="882">
        <v>1.9</v>
      </c>
      <c r="I1109" s="882">
        <v>3.3</v>
      </c>
      <c r="J1109" s="257" t="s">
        <v>861</v>
      </c>
      <c r="K1109" s="882">
        <v>3.3</v>
      </c>
      <c r="L1109" s="896">
        <v>514.6</v>
      </c>
      <c r="M1109" s="177">
        <f>K1109/L1109</f>
        <v>0.006412747765254566</v>
      </c>
      <c r="N1109" s="176">
        <v>354.25</v>
      </c>
      <c r="O1109" s="176">
        <f>M1109*N1109</f>
        <v>2.2717158958414303</v>
      </c>
      <c r="P1109" s="176">
        <f>M1109*60*1000</f>
        <v>384.76486591527396</v>
      </c>
      <c r="Q1109" s="178">
        <f>P1109*N1109/1000</f>
        <v>136.30295375048578</v>
      </c>
      <c r="S1109" s="97"/>
      <c r="T1109" s="97"/>
    </row>
    <row r="1110" spans="1:20" s="110" customFormat="1" ht="12.75">
      <c r="A1110" s="407"/>
      <c r="B1110" s="122">
        <v>3</v>
      </c>
      <c r="C1110" s="52" t="s">
        <v>877</v>
      </c>
      <c r="D1110" s="175">
        <v>22</v>
      </c>
      <c r="E1110" s="175">
        <v>1977</v>
      </c>
      <c r="F1110" s="882">
        <v>13.405</v>
      </c>
      <c r="G1110" s="882">
        <v>2.095</v>
      </c>
      <c r="H1110" s="882">
        <v>3.52</v>
      </c>
      <c r="I1110" s="882">
        <v>7.789</v>
      </c>
      <c r="J1110" s="257" t="s">
        <v>872</v>
      </c>
      <c r="K1110" s="882">
        <v>7.789</v>
      </c>
      <c r="L1110" s="896">
        <v>1130.15</v>
      </c>
      <c r="M1110" s="177">
        <f>K1110/L1110</f>
        <v>0.006892005485997433</v>
      </c>
      <c r="N1110" s="176">
        <v>354.25</v>
      </c>
      <c r="O1110" s="176">
        <f>M1110*N1110</f>
        <v>2.4414929434145907</v>
      </c>
      <c r="P1110" s="176">
        <f>M1110*60*1000</f>
        <v>413.52032915984597</v>
      </c>
      <c r="Q1110" s="178">
        <f>P1110*N1110/1000</f>
        <v>146.48957660487545</v>
      </c>
      <c r="S1110" s="97"/>
      <c r="T1110" s="97"/>
    </row>
    <row r="1111" spans="1:20" s="110" customFormat="1" ht="12.75">
      <c r="A1111" s="407"/>
      <c r="B1111" s="122">
        <v>4</v>
      </c>
      <c r="C1111" s="52" t="s">
        <v>878</v>
      </c>
      <c r="D1111" s="175">
        <v>8</v>
      </c>
      <c r="E1111" s="175">
        <v>1977</v>
      </c>
      <c r="F1111" s="882">
        <v>6.039</v>
      </c>
      <c r="G1111" s="882">
        <v>1.076</v>
      </c>
      <c r="H1111" s="882">
        <v>1.28</v>
      </c>
      <c r="I1111" s="882">
        <v>3.682</v>
      </c>
      <c r="J1111" s="257" t="s">
        <v>872</v>
      </c>
      <c r="K1111" s="882">
        <v>3.682</v>
      </c>
      <c r="L1111" s="896">
        <v>530.1</v>
      </c>
      <c r="M1111" s="177">
        <f>K1111/L1111</f>
        <v>0.006945859271835502</v>
      </c>
      <c r="N1111" s="176">
        <v>354.25</v>
      </c>
      <c r="O1111" s="176">
        <f>M1111*N1111</f>
        <v>2.4605706470477267</v>
      </c>
      <c r="P1111" s="176">
        <f>M1111*60*1000</f>
        <v>416.7515563101302</v>
      </c>
      <c r="Q1111" s="178">
        <f>P1111*N1111/1000</f>
        <v>147.6342388228636</v>
      </c>
      <c r="S1111" s="97"/>
      <c r="T1111" s="97"/>
    </row>
    <row r="1112" spans="1:20" ht="12.75">
      <c r="A1112" s="407"/>
      <c r="B1112" s="42">
        <v>5</v>
      </c>
      <c r="C1112" s="52" t="s">
        <v>879</v>
      </c>
      <c r="D1112" s="175">
        <v>20</v>
      </c>
      <c r="E1112" s="175">
        <v>1973</v>
      </c>
      <c r="F1112" s="882">
        <v>11.57</v>
      </c>
      <c r="G1112" s="882">
        <v>1.812</v>
      </c>
      <c r="H1112" s="882">
        <v>3.12</v>
      </c>
      <c r="I1112" s="882">
        <v>6.637</v>
      </c>
      <c r="J1112" s="257" t="s">
        <v>872</v>
      </c>
      <c r="K1112" s="882">
        <v>6.637</v>
      </c>
      <c r="L1112" s="896">
        <v>948.15</v>
      </c>
      <c r="M1112" s="177">
        <f>K1112/L1112</f>
        <v>0.006999947265727996</v>
      </c>
      <c r="N1112" s="176">
        <v>354.25</v>
      </c>
      <c r="O1112" s="176">
        <f>M1112*N1112</f>
        <v>2.4797313188841428</v>
      </c>
      <c r="P1112" s="176">
        <f>M1112*60*1000</f>
        <v>419.99683594367974</v>
      </c>
      <c r="Q1112" s="178">
        <f>P1112*N1112/1000</f>
        <v>148.78387913304854</v>
      </c>
      <c r="S1112" s="97"/>
      <c r="T1112" s="97"/>
    </row>
    <row r="1113" spans="1:20" ht="12.75">
      <c r="A1113" s="407"/>
      <c r="B1113" s="42">
        <v>6</v>
      </c>
      <c r="C1113" s="52" t="s">
        <v>880</v>
      </c>
      <c r="D1113" s="175">
        <v>40</v>
      </c>
      <c r="E1113" s="175" t="s">
        <v>73</v>
      </c>
      <c r="F1113" s="882">
        <v>29.1</v>
      </c>
      <c r="G1113" s="882">
        <v>5.779</v>
      </c>
      <c r="H1113" s="882">
        <v>6.4</v>
      </c>
      <c r="I1113" s="882">
        <v>16.92</v>
      </c>
      <c r="J1113" s="257" t="s">
        <v>872</v>
      </c>
      <c r="K1113" s="882">
        <v>16.92</v>
      </c>
      <c r="L1113" s="896">
        <v>2168.68</v>
      </c>
      <c r="M1113" s="177">
        <f>K1113/L1113</f>
        <v>0.007801980928491065</v>
      </c>
      <c r="N1113" s="176">
        <v>354.25</v>
      </c>
      <c r="O1113" s="176">
        <f>M1113*N1113</f>
        <v>2.76385174391796</v>
      </c>
      <c r="P1113" s="176">
        <f>M1113*60*1000</f>
        <v>468.11885570946396</v>
      </c>
      <c r="Q1113" s="178">
        <f>P1113*N1113/1000</f>
        <v>165.83110463507762</v>
      </c>
      <c r="S1113" s="97"/>
      <c r="T1113" s="97"/>
    </row>
    <row r="1114" spans="1:20" ht="12.75">
      <c r="A1114" s="407"/>
      <c r="B1114" s="42">
        <v>7</v>
      </c>
      <c r="C1114" s="52" t="s">
        <v>881</v>
      </c>
      <c r="D1114" s="175">
        <v>18</v>
      </c>
      <c r="E1114" s="175">
        <v>1981</v>
      </c>
      <c r="F1114" s="882">
        <v>12.042</v>
      </c>
      <c r="G1114" s="882">
        <v>1.642</v>
      </c>
      <c r="H1114" s="882">
        <v>2.88</v>
      </c>
      <c r="I1114" s="882">
        <v>7.519</v>
      </c>
      <c r="J1114" s="257" t="s">
        <v>872</v>
      </c>
      <c r="K1114" s="882">
        <v>7.519</v>
      </c>
      <c r="L1114" s="896">
        <v>955.32</v>
      </c>
      <c r="M1114" s="177">
        <f>K1114/L1114</f>
        <v>0.007870661139722816</v>
      </c>
      <c r="N1114" s="176">
        <v>354.25</v>
      </c>
      <c r="O1114" s="176">
        <f>M1114*N1114</f>
        <v>2.7881817087468077</v>
      </c>
      <c r="P1114" s="176">
        <f>M1114*60*1000</f>
        <v>472.23966838336895</v>
      </c>
      <c r="Q1114" s="178">
        <f>P1114*N1114/1000</f>
        <v>167.29090252480844</v>
      </c>
      <c r="S1114" s="97"/>
      <c r="T1114" s="97"/>
    </row>
    <row r="1115" spans="1:20" ht="12.75">
      <c r="A1115" s="407"/>
      <c r="B1115" s="42">
        <v>8</v>
      </c>
      <c r="C1115" s="90" t="s">
        <v>882</v>
      </c>
      <c r="D1115" s="175">
        <v>12</v>
      </c>
      <c r="E1115" s="175">
        <v>1960</v>
      </c>
      <c r="F1115" s="882">
        <v>5.8</v>
      </c>
      <c r="G1115" s="882">
        <v>1.189</v>
      </c>
      <c r="H1115" s="882">
        <v>0.09</v>
      </c>
      <c r="I1115" s="882">
        <v>4.52</v>
      </c>
      <c r="J1115" s="257" t="s">
        <v>872</v>
      </c>
      <c r="K1115" s="882">
        <v>4.52</v>
      </c>
      <c r="L1115" s="896">
        <v>550.28</v>
      </c>
      <c r="M1115" s="177">
        <f>K1115/L1115</f>
        <v>0.008214000145380533</v>
      </c>
      <c r="N1115" s="175">
        <v>354.25</v>
      </c>
      <c r="O1115" s="176">
        <f>M1115*N1115</f>
        <v>2.909809551501054</v>
      </c>
      <c r="P1115" s="176">
        <f>M1115*60*1000</f>
        <v>492.84000872283195</v>
      </c>
      <c r="Q1115" s="178">
        <f>P1115*N1115/1000</f>
        <v>174.58857309006322</v>
      </c>
      <c r="S1115" s="97"/>
      <c r="T1115" s="97"/>
    </row>
    <row r="1116" spans="1:20" ht="12.75">
      <c r="A1116" s="407"/>
      <c r="B1116" s="42">
        <v>9</v>
      </c>
      <c r="C1116" s="52" t="s">
        <v>883</v>
      </c>
      <c r="D1116" s="175">
        <v>9</v>
      </c>
      <c r="E1116" s="175">
        <v>1979</v>
      </c>
      <c r="F1116" s="882">
        <v>6.4</v>
      </c>
      <c r="G1116" s="882">
        <v>0.651</v>
      </c>
      <c r="H1116" s="882">
        <v>1.44</v>
      </c>
      <c r="I1116" s="882">
        <v>4.308</v>
      </c>
      <c r="J1116" s="257" t="s">
        <v>872</v>
      </c>
      <c r="K1116" s="882">
        <v>4.308</v>
      </c>
      <c r="L1116" s="896">
        <v>513.1</v>
      </c>
      <c r="M1116" s="177">
        <f>K1116/L1116</f>
        <v>0.008396024166829077</v>
      </c>
      <c r="N1116" s="176">
        <v>354.25</v>
      </c>
      <c r="O1116" s="176">
        <f>M1116*N1116</f>
        <v>2.9742915610992005</v>
      </c>
      <c r="P1116" s="176">
        <f>M1116*60*1000</f>
        <v>503.7614500097446</v>
      </c>
      <c r="Q1116" s="178">
        <f>P1116*N1116/1000</f>
        <v>178.457493665952</v>
      </c>
      <c r="S1116" s="97"/>
      <c r="T1116" s="97"/>
    </row>
    <row r="1117" spans="1:20" ht="13.5" thickBot="1">
      <c r="A1117" s="408"/>
      <c r="B1117" s="47">
        <v>10</v>
      </c>
      <c r="C1117" s="87" t="s">
        <v>884</v>
      </c>
      <c r="D1117" s="179">
        <v>12</v>
      </c>
      <c r="E1117" s="179">
        <v>1961</v>
      </c>
      <c r="F1117" s="883">
        <v>7.967</v>
      </c>
      <c r="G1117" s="883">
        <v>1.132</v>
      </c>
      <c r="H1117" s="883">
        <v>1.77</v>
      </c>
      <c r="I1117" s="883">
        <v>5.064</v>
      </c>
      <c r="J1117" s="867" t="s">
        <v>872</v>
      </c>
      <c r="K1117" s="883">
        <v>5.064</v>
      </c>
      <c r="L1117" s="897">
        <v>554.42</v>
      </c>
      <c r="M1117" s="181">
        <f>K1117/L1117</f>
        <v>0.009133869629522746</v>
      </c>
      <c r="N1117" s="179">
        <v>354.25</v>
      </c>
      <c r="O1117" s="180">
        <f>M1117*N1117</f>
        <v>3.2356733162584326</v>
      </c>
      <c r="P1117" s="180">
        <f>M1117*60*1000</f>
        <v>548.0321777713647</v>
      </c>
      <c r="Q1117" s="182">
        <f>P1117*N1117/1000</f>
        <v>194.14039897550592</v>
      </c>
      <c r="S1117" s="97"/>
      <c r="T1117" s="97"/>
    </row>
    <row r="1118" spans="19:20" ht="12.75">
      <c r="S1118" s="97"/>
      <c r="T1118" s="97"/>
    </row>
    <row r="1119" spans="19:20" ht="12.75">
      <c r="S1119" s="97"/>
      <c r="T1119" s="97"/>
    </row>
    <row r="1120" spans="19:20" ht="12.75">
      <c r="S1120" s="97"/>
      <c r="T1120" s="97"/>
    </row>
    <row r="1121" spans="19:20" ht="12.75">
      <c r="S1121" s="97"/>
      <c r="T1121" s="97"/>
    </row>
    <row r="1122" spans="19:20" ht="12.75">
      <c r="S1122" s="97"/>
      <c r="T1122" s="97"/>
    </row>
    <row r="1123" spans="1:20" ht="15">
      <c r="A1123" s="419" t="s">
        <v>932</v>
      </c>
      <c r="B1123" s="419"/>
      <c r="C1123" s="419"/>
      <c r="D1123" s="419"/>
      <c r="E1123" s="419"/>
      <c r="F1123" s="419"/>
      <c r="G1123" s="419"/>
      <c r="H1123" s="419"/>
      <c r="I1123" s="419"/>
      <c r="J1123" s="419"/>
      <c r="K1123" s="419"/>
      <c r="L1123" s="419"/>
      <c r="M1123" s="419"/>
      <c r="N1123" s="419"/>
      <c r="O1123" s="419"/>
      <c r="P1123" s="419"/>
      <c r="Q1123" s="419"/>
      <c r="S1123" s="97"/>
      <c r="T1123" s="97"/>
    </row>
    <row r="1124" spans="1:20" ht="13.5" thickBot="1">
      <c r="A1124" s="420" t="s">
        <v>933</v>
      </c>
      <c r="B1124" s="420"/>
      <c r="C1124" s="420"/>
      <c r="D1124" s="420"/>
      <c r="E1124" s="420"/>
      <c r="F1124" s="420"/>
      <c r="G1124" s="420"/>
      <c r="H1124" s="420"/>
      <c r="I1124" s="420"/>
      <c r="J1124" s="420"/>
      <c r="K1124" s="420"/>
      <c r="L1124" s="420"/>
      <c r="M1124" s="420"/>
      <c r="N1124" s="420"/>
      <c r="O1124" s="420"/>
      <c r="P1124" s="420"/>
      <c r="Q1124" s="420"/>
      <c r="S1124" s="97"/>
      <c r="T1124" s="97"/>
    </row>
    <row r="1125" spans="1:20" ht="12.75" customHeight="1">
      <c r="A1125" s="395" t="s">
        <v>1</v>
      </c>
      <c r="B1125" s="397" t="s">
        <v>0</v>
      </c>
      <c r="C1125" s="384" t="s">
        <v>2</v>
      </c>
      <c r="D1125" s="384" t="s">
        <v>3</v>
      </c>
      <c r="E1125" s="384" t="s">
        <v>13</v>
      </c>
      <c r="F1125" s="386" t="s">
        <v>14</v>
      </c>
      <c r="G1125" s="387"/>
      <c r="H1125" s="387"/>
      <c r="I1125" s="388"/>
      <c r="J1125" s="384" t="s">
        <v>4</v>
      </c>
      <c r="K1125" s="384" t="s">
        <v>15</v>
      </c>
      <c r="L1125" s="384" t="s">
        <v>5</v>
      </c>
      <c r="M1125" s="384" t="s">
        <v>6</v>
      </c>
      <c r="N1125" s="384" t="s">
        <v>16</v>
      </c>
      <c r="O1125" s="389" t="s">
        <v>17</v>
      </c>
      <c r="P1125" s="384" t="s">
        <v>25</v>
      </c>
      <c r="Q1125" s="391" t="s">
        <v>26</v>
      </c>
      <c r="S1125" s="97"/>
      <c r="T1125" s="97"/>
    </row>
    <row r="1126" spans="1:20" s="2" customFormat="1" ht="33.75">
      <c r="A1126" s="396"/>
      <c r="B1126" s="398"/>
      <c r="C1126" s="399"/>
      <c r="D1126" s="385"/>
      <c r="E1126" s="385"/>
      <c r="F1126" s="37" t="s">
        <v>18</v>
      </c>
      <c r="G1126" s="37" t="s">
        <v>19</v>
      </c>
      <c r="H1126" s="37" t="s">
        <v>20</v>
      </c>
      <c r="I1126" s="37" t="s">
        <v>21</v>
      </c>
      <c r="J1126" s="385"/>
      <c r="K1126" s="385"/>
      <c r="L1126" s="385"/>
      <c r="M1126" s="385"/>
      <c r="N1126" s="385"/>
      <c r="O1126" s="390"/>
      <c r="P1126" s="385"/>
      <c r="Q1126" s="392"/>
      <c r="S1126" s="97"/>
      <c r="T1126" s="97"/>
    </row>
    <row r="1127" spans="1:20" s="3" customFormat="1" ht="13.5" customHeight="1" thickBot="1">
      <c r="A1127" s="414"/>
      <c r="B1127" s="415"/>
      <c r="C1127" s="416"/>
      <c r="D1127" s="65" t="s">
        <v>7</v>
      </c>
      <c r="E1127" s="65" t="s">
        <v>8</v>
      </c>
      <c r="F1127" s="65" t="s">
        <v>9</v>
      </c>
      <c r="G1127" s="65" t="s">
        <v>9</v>
      </c>
      <c r="H1127" s="65" t="s">
        <v>9</v>
      </c>
      <c r="I1127" s="65" t="s">
        <v>9</v>
      </c>
      <c r="J1127" s="65" t="s">
        <v>22</v>
      </c>
      <c r="K1127" s="65" t="s">
        <v>9</v>
      </c>
      <c r="L1127" s="65" t="s">
        <v>22</v>
      </c>
      <c r="M1127" s="65" t="s">
        <v>23</v>
      </c>
      <c r="N1127" s="65" t="s">
        <v>10</v>
      </c>
      <c r="O1127" s="65" t="s">
        <v>24</v>
      </c>
      <c r="P1127" s="66" t="s">
        <v>27</v>
      </c>
      <c r="Q1127" s="67" t="s">
        <v>28</v>
      </c>
      <c r="S1127" s="97"/>
      <c r="T1127" s="97"/>
    </row>
    <row r="1128" spans="1:20" ht="11.25" customHeight="1">
      <c r="A1128" s="411" t="s">
        <v>29</v>
      </c>
      <c r="B1128" s="34">
        <v>1</v>
      </c>
      <c r="C1128" s="35" t="s">
        <v>934</v>
      </c>
      <c r="D1128" s="36">
        <v>39</v>
      </c>
      <c r="E1128" s="36">
        <v>1992</v>
      </c>
      <c r="F1128" s="609">
        <f>SUM(G1128+H1128+I1128)</f>
        <v>17.1</v>
      </c>
      <c r="G1128" s="609">
        <v>4.4</v>
      </c>
      <c r="H1128" s="609">
        <v>6.2</v>
      </c>
      <c r="I1128" s="609">
        <v>6.5</v>
      </c>
      <c r="J1128" s="135">
        <v>2279.7</v>
      </c>
      <c r="K1128" s="609">
        <v>6.5</v>
      </c>
      <c r="L1128" s="135">
        <v>2279.7</v>
      </c>
      <c r="M1128" s="164">
        <f>SUM(K1128/L1128)</f>
        <v>0.002851252357766373</v>
      </c>
      <c r="N1128" s="163">
        <v>214.3</v>
      </c>
      <c r="O1128" s="163">
        <f>SUM(M1128*N1128)</f>
        <v>0.6110233802693338</v>
      </c>
      <c r="P1128" s="1271">
        <f>M1128*60*1000</f>
        <v>171.07514146598237</v>
      </c>
      <c r="Q1128" s="1272">
        <f>SUM(O1128*60)</f>
        <v>36.66140281616003</v>
      </c>
      <c r="R1128" s="6"/>
      <c r="S1128" s="97"/>
      <c r="T1128" s="97"/>
    </row>
    <row r="1129" spans="1:20" ht="12.75" customHeight="1">
      <c r="A1129" s="412"/>
      <c r="B1129" s="36">
        <v>2</v>
      </c>
      <c r="C1129" s="35" t="s">
        <v>935</v>
      </c>
      <c r="D1129" s="36">
        <v>50</v>
      </c>
      <c r="E1129" s="36">
        <v>1978</v>
      </c>
      <c r="F1129" s="609">
        <f>SUM(G1129+H1129+I1129)</f>
        <v>19.6</v>
      </c>
      <c r="G1129" s="609">
        <v>3.4</v>
      </c>
      <c r="H1129" s="609">
        <v>8</v>
      </c>
      <c r="I1129" s="609">
        <v>8.2</v>
      </c>
      <c r="J1129" s="135">
        <v>2609.15</v>
      </c>
      <c r="K1129" s="609">
        <v>8.2</v>
      </c>
      <c r="L1129" s="135">
        <v>2537.29</v>
      </c>
      <c r="M1129" s="164">
        <f>SUM(K1129/L1129)</f>
        <v>0.0032317945524555722</v>
      </c>
      <c r="N1129" s="163">
        <v>214.3</v>
      </c>
      <c r="O1129" s="163">
        <f>SUM(M1129*N1129)</f>
        <v>0.6925735725912292</v>
      </c>
      <c r="P1129" s="1271">
        <f>M1129*60*1000</f>
        <v>193.90767314733435</v>
      </c>
      <c r="Q1129" s="1272">
        <f>SUM(O1129*60)</f>
        <v>41.55441435547375</v>
      </c>
      <c r="R1129" s="6"/>
      <c r="S1129" s="97"/>
      <c r="T1129" s="97"/>
    </row>
    <row r="1130" spans="1:20" ht="12.75" customHeight="1">
      <c r="A1130" s="412"/>
      <c r="B1130" s="36">
        <v>3</v>
      </c>
      <c r="C1130" s="35" t="s">
        <v>936</v>
      </c>
      <c r="D1130" s="36">
        <v>40</v>
      </c>
      <c r="E1130" s="36">
        <v>1986</v>
      </c>
      <c r="F1130" s="609">
        <f>SUM(G1130+H1130+I1130)</f>
        <v>19.2</v>
      </c>
      <c r="G1130" s="609">
        <v>4.8</v>
      </c>
      <c r="H1130" s="609">
        <v>6.4</v>
      </c>
      <c r="I1130" s="609">
        <v>8</v>
      </c>
      <c r="J1130" s="135">
        <v>2246.36</v>
      </c>
      <c r="K1130" s="609">
        <v>8</v>
      </c>
      <c r="L1130" s="135">
        <v>2246.4</v>
      </c>
      <c r="M1130" s="164">
        <f>SUM(K1130/L1130)</f>
        <v>0.0035612535612535613</v>
      </c>
      <c r="N1130" s="163">
        <v>214.3</v>
      </c>
      <c r="O1130" s="163">
        <f>SUM(M1130*N1130)</f>
        <v>0.7631766381766383</v>
      </c>
      <c r="P1130" s="1271">
        <f>M1130*60*1000</f>
        <v>213.67521367521368</v>
      </c>
      <c r="Q1130" s="1272">
        <f>SUM(O1130*60)</f>
        <v>45.7905982905983</v>
      </c>
      <c r="R1130" s="6"/>
      <c r="S1130" s="97"/>
      <c r="T1130" s="97"/>
    </row>
    <row r="1131" spans="1:20" ht="12.75" customHeight="1">
      <c r="A1131" s="412"/>
      <c r="B1131" s="36">
        <v>4</v>
      </c>
      <c r="C1131" s="35" t="s">
        <v>937</v>
      </c>
      <c r="D1131" s="36">
        <v>40</v>
      </c>
      <c r="E1131" s="36">
        <v>1998</v>
      </c>
      <c r="F1131" s="622">
        <f>SUM(G1131+H1131+I1131)</f>
        <v>18.1</v>
      </c>
      <c r="G1131" s="609">
        <v>4</v>
      </c>
      <c r="H1131" s="609">
        <v>6.4</v>
      </c>
      <c r="I1131" s="609">
        <v>7.7</v>
      </c>
      <c r="J1131" s="135">
        <v>2183.72</v>
      </c>
      <c r="K1131" s="609">
        <v>7.6</v>
      </c>
      <c r="L1131" s="135">
        <v>2133.76</v>
      </c>
      <c r="M1131" s="184">
        <f>SUM(K1131/L1131)</f>
        <v>0.003561787642471505</v>
      </c>
      <c r="N1131" s="1208">
        <v>214.3</v>
      </c>
      <c r="O1131" s="163">
        <f>SUM(M1131*N1131)</f>
        <v>0.7632910917816436</v>
      </c>
      <c r="P1131" s="1271">
        <f>M1131*60*1000</f>
        <v>213.70725854829033</v>
      </c>
      <c r="Q1131" s="1273">
        <f>SUM(O1131*60)</f>
        <v>45.79746550689861</v>
      </c>
      <c r="R1131" s="6"/>
      <c r="S1131" s="97"/>
      <c r="T1131" s="97"/>
    </row>
    <row r="1132" spans="1:20" ht="12.75" customHeight="1">
      <c r="A1132" s="412"/>
      <c r="B1132" s="36">
        <v>5</v>
      </c>
      <c r="C1132" s="35" t="s">
        <v>938</v>
      </c>
      <c r="D1132" s="36">
        <v>16</v>
      </c>
      <c r="E1132" s="36">
        <v>1991</v>
      </c>
      <c r="F1132" s="609">
        <f>SUM(G1132+H1132+I1132)</f>
        <v>10.4</v>
      </c>
      <c r="G1132" s="609">
        <v>2.2</v>
      </c>
      <c r="H1132" s="609">
        <v>2.6</v>
      </c>
      <c r="I1132" s="609">
        <v>5.6</v>
      </c>
      <c r="J1132" s="135">
        <v>1070.04</v>
      </c>
      <c r="K1132" s="609">
        <v>5.6</v>
      </c>
      <c r="L1132" s="135">
        <v>1070.04</v>
      </c>
      <c r="M1132" s="164">
        <f>SUM(K1132/L1132)</f>
        <v>0.005233449216851706</v>
      </c>
      <c r="N1132" s="163">
        <v>214.3</v>
      </c>
      <c r="O1132" s="163">
        <f>SUM(M1132*N1132)</f>
        <v>1.1215281671713206</v>
      </c>
      <c r="P1132" s="163">
        <f>M1132*60*1000</f>
        <v>314.0069530111024</v>
      </c>
      <c r="Q1132" s="251">
        <f>SUM(O1132*60)</f>
        <v>67.29169003027924</v>
      </c>
      <c r="R1132" s="6"/>
      <c r="S1132" s="97"/>
      <c r="T1132" s="97"/>
    </row>
    <row r="1133" spans="1:20" ht="12.75" customHeight="1">
      <c r="A1133" s="412"/>
      <c r="B1133" s="36">
        <v>6</v>
      </c>
      <c r="C1133" s="35" t="s">
        <v>939</v>
      </c>
      <c r="D1133" s="36">
        <v>40</v>
      </c>
      <c r="E1133" s="36">
        <v>1980</v>
      </c>
      <c r="F1133" s="609">
        <f>SUM(G1133+H1133+I1133)</f>
        <v>21.700000000000003</v>
      </c>
      <c r="G1133" s="609">
        <v>2.7</v>
      </c>
      <c r="H1133" s="609">
        <v>6.4</v>
      </c>
      <c r="I1133" s="609">
        <v>12.6</v>
      </c>
      <c r="J1133" s="135">
        <v>2313.6</v>
      </c>
      <c r="K1133" s="609">
        <v>12.6</v>
      </c>
      <c r="L1133" s="135">
        <v>2313.6</v>
      </c>
      <c r="M1133" s="164">
        <f>SUM(K1133/L1133)</f>
        <v>0.005446058091286307</v>
      </c>
      <c r="N1133" s="163">
        <v>214.3</v>
      </c>
      <c r="O1133" s="163">
        <f>SUM(M1133*N1133)</f>
        <v>1.1670902489626556</v>
      </c>
      <c r="P1133" s="163">
        <f>M1133*60*1000</f>
        <v>326.76348547717845</v>
      </c>
      <c r="Q1133" s="251">
        <f>SUM(O1133*60)</f>
        <v>70.02541493775934</v>
      </c>
      <c r="R1133" s="6"/>
      <c r="S1133" s="97"/>
      <c r="T1133" s="97"/>
    </row>
    <row r="1134" spans="1:20" ht="12.75" customHeight="1">
      <c r="A1134" s="412"/>
      <c r="B1134" s="36">
        <v>7</v>
      </c>
      <c r="C1134" s="35" t="s">
        <v>940</v>
      </c>
      <c r="D1134" s="36">
        <v>20</v>
      </c>
      <c r="E1134" s="36">
        <v>1979</v>
      </c>
      <c r="F1134" s="609">
        <f>SUM(G1134+H1134+I1134)</f>
        <v>11.2</v>
      </c>
      <c r="G1134" s="609">
        <v>1.7</v>
      </c>
      <c r="H1134" s="609">
        <v>3.1</v>
      </c>
      <c r="I1134" s="609">
        <v>6.4</v>
      </c>
      <c r="J1134" s="135">
        <v>1073.91</v>
      </c>
      <c r="K1134" s="609">
        <v>6.4</v>
      </c>
      <c r="L1134" s="135">
        <v>1073.9</v>
      </c>
      <c r="M1134" s="164">
        <f>SUM(K1134/L1134)</f>
        <v>0.005959586553682838</v>
      </c>
      <c r="N1134" s="163">
        <v>214.3</v>
      </c>
      <c r="O1134" s="163">
        <f>SUM(M1134*N1134)</f>
        <v>1.277139398454232</v>
      </c>
      <c r="P1134" s="163">
        <f>M1134*60*1000</f>
        <v>357.5751932209703</v>
      </c>
      <c r="Q1134" s="251">
        <f>SUM(O1134*60)</f>
        <v>76.62836390725393</v>
      </c>
      <c r="R1134" s="6"/>
      <c r="S1134" s="97"/>
      <c r="T1134" s="97"/>
    </row>
    <row r="1135" spans="1:20" ht="12.75" customHeight="1">
      <c r="A1135" s="412"/>
      <c r="B1135" s="36">
        <v>8</v>
      </c>
      <c r="C1135" s="281"/>
      <c r="D1135" s="197"/>
      <c r="E1135" s="197"/>
      <c r="F1135" s="301"/>
      <c r="G1135" s="301"/>
      <c r="H1135" s="301"/>
      <c r="I1135" s="301"/>
      <c r="J1135" s="1039"/>
      <c r="K1135" s="301"/>
      <c r="L1135" s="1039"/>
      <c r="M1135" s="220"/>
      <c r="N1135" s="221"/>
      <c r="O1135" s="222"/>
      <c r="P1135" s="222"/>
      <c r="Q1135" s="223"/>
      <c r="R1135" s="6"/>
      <c r="S1135" s="97"/>
      <c r="T1135" s="97"/>
    </row>
    <row r="1136" spans="1:20" ht="13.5" customHeight="1">
      <c r="A1136" s="412"/>
      <c r="B1136" s="36">
        <v>9</v>
      </c>
      <c r="C1136" s="281"/>
      <c r="D1136" s="197"/>
      <c r="E1136" s="197"/>
      <c r="F1136" s="301"/>
      <c r="G1136" s="301"/>
      <c r="H1136" s="301"/>
      <c r="I1136" s="301"/>
      <c r="J1136" s="1039"/>
      <c r="K1136" s="301"/>
      <c r="L1136" s="1039"/>
      <c r="M1136" s="220"/>
      <c r="N1136" s="221"/>
      <c r="O1136" s="222"/>
      <c r="P1136" s="222"/>
      <c r="Q1136" s="223"/>
      <c r="R1136" s="6"/>
      <c r="S1136" s="97"/>
      <c r="T1136" s="97"/>
    </row>
    <row r="1137" spans="1:20" ht="13.5" customHeight="1" thickBot="1">
      <c r="A1137" s="413"/>
      <c r="B1137" s="103"/>
      <c r="C1137" s="296"/>
      <c r="D1137" s="198"/>
      <c r="E1137" s="198"/>
      <c r="F1137" s="303"/>
      <c r="G1137" s="303"/>
      <c r="H1137" s="303"/>
      <c r="I1137" s="303"/>
      <c r="J1137" s="1040"/>
      <c r="K1137" s="303"/>
      <c r="L1137" s="1040"/>
      <c r="M1137" s="289"/>
      <c r="N1137" s="304"/>
      <c r="O1137" s="291"/>
      <c r="P1137" s="291"/>
      <c r="Q1137" s="292"/>
      <c r="R1137" s="6"/>
      <c r="S1137" s="97"/>
      <c r="T1137" s="97"/>
    </row>
    <row r="1138" spans="1:20" ht="12.75">
      <c r="A1138" s="528" t="s">
        <v>30</v>
      </c>
      <c r="B1138" s="366">
        <v>1</v>
      </c>
      <c r="C1138" s="698" t="s">
        <v>941</v>
      </c>
      <c r="D1138" s="653">
        <v>40</v>
      </c>
      <c r="E1138" s="653">
        <v>1980</v>
      </c>
      <c r="F1138" s="850">
        <f>SUM(G1138+H1138+I1138)</f>
        <v>22.900000000000002</v>
      </c>
      <c r="G1138" s="850">
        <v>3.2</v>
      </c>
      <c r="H1138" s="850">
        <v>6.4</v>
      </c>
      <c r="I1138" s="850">
        <v>13.3</v>
      </c>
      <c r="J1138" s="918">
        <v>2208.76</v>
      </c>
      <c r="K1138" s="850">
        <v>13.3</v>
      </c>
      <c r="L1138" s="918">
        <v>2208.8</v>
      </c>
      <c r="M1138" s="675">
        <f>SUM(K1138/L1138)</f>
        <v>0.006021369069177834</v>
      </c>
      <c r="N1138" s="674">
        <v>214.3</v>
      </c>
      <c r="O1138" s="674">
        <f>SUM(M1138*N1138)</f>
        <v>1.2903793915248098</v>
      </c>
      <c r="P1138" s="674">
        <f>M1138*60*1000</f>
        <v>361.28214415067004</v>
      </c>
      <c r="Q1138" s="676">
        <f>SUM(O1138*60)</f>
        <v>77.4227634914886</v>
      </c>
      <c r="R1138" s="6"/>
      <c r="S1138" s="97"/>
      <c r="T1138" s="97"/>
    </row>
    <row r="1139" spans="1:20" ht="12.75">
      <c r="A1139" s="530"/>
      <c r="B1139" s="367">
        <v>2</v>
      </c>
      <c r="C1139" s="633" t="s">
        <v>942</v>
      </c>
      <c r="D1139" s="367">
        <v>10</v>
      </c>
      <c r="E1139" s="367">
        <v>1968</v>
      </c>
      <c r="F1139" s="677">
        <f>SUM(G1139+H1139+I1139)</f>
        <v>6.6000000000000005</v>
      </c>
      <c r="G1139" s="677">
        <v>0.8</v>
      </c>
      <c r="H1139" s="677">
        <v>1.6</v>
      </c>
      <c r="I1139" s="677">
        <v>4.2</v>
      </c>
      <c r="J1139" s="652">
        <v>662.08</v>
      </c>
      <c r="K1139" s="677">
        <v>4.2</v>
      </c>
      <c r="L1139" s="652">
        <v>665.81</v>
      </c>
      <c r="M1139" s="679">
        <f>SUM(K1139/L1139)</f>
        <v>0.006308105916102192</v>
      </c>
      <c r="N1139" s="678">
        <v>214.3</v>
      </c>
      <c r="O1139" s="678">
        <f>SUM(M1139*N1139)</f>
        <v>1.3518270978206999</v>
      </c>
      <c r="P1139" s="678">
        <f>M1139*60*1000</f>
        <v>378.48635496613156</v>
      </c>
      <c r="Q1139" s="680">
        <f>SUM(O1139*60)</f>
        <v>81.109625869242</v>
      </c>
      <c r="R1139" s="6"/>
      <c r="S1139" s="97"/>
      <c r="T1139" s="97"/>
    </row>
    <row r="1140" spans="1:20" ht="12.75">
      <c r="A1140" s="530"/>
      <c r="B1140" s="367">
        <v>3</v>
      </c>
      <c r="C1140" s="633" t="s">
        <v>943</v>
      </c>
      <c r="D1140" s="367">
        <v>50</v>
      </c>
      <c r="E1140" s="367">
        <v>1973</v>
      </c>
      <c r="F1140" s="677">
        <f>SUM(G1140+H1140+I1140)</f>
        <v>28.1</v>
      </c>
      <c r="G1140" s="677">
        <v>2.7</v>
      </c>
      <c r="H1140" s="677">
        <v>7.8</v>
      </c>
      <c r="I1140" s="677">
        <v>17.6</v>
      </c>
      <c r="J1140" s="652">
        <v>2510.26</v>
      </c>
      <c r="K1140" s="677">
        <v>17.6</v>
      </c>
      <c r="L1140" s="652">
        <v>2510.3</v>
      </c>
      <c r="M1140" s="679">
        <f>SUM(K1140/L1140)</f>
        <v>0.007011114209457037</v>
      </c>
      <c r="N1140" s="678">
        <v>214.3</v>
      </c>
      <c r="O1140" s="678">
        <f>SUM(M1140*N1140)</f>
        <v>1.5024817750866433</v>
      </c>
      <c r="P1140" s="678">
        <f>M1140*60*1000</f>
        <v>420.66685256742227</v>
      </c>
      <c r="Q1140" s="680">
        <f>SUM(O1140*60)</f>
        <v>90.1489065051986</v>
      </c>
      <c r="R1140" s="6"/>
      <c r="S1140" s="97"/>
      <c r="T1140" s="97"/>
    </row>
    <row r="1141" spans="1:20" ht="12.75">
      <c r="A1141" s="530"/>
      <c r="B1141" s="367">
        <v>4</v>
      </c>
      <c r="C1141" s="633" t="s">
        <v>944</v>
      </c>
      <c r="D1141" s="367">
        <v>35</v>
      </c>
      <c r="E1141" s="367">
        <v>1993</v>
      </c>
      <c r="F1141" s="677">
        <f>SUM(G1141+H1141+I1141)</f>
        <v>25.7</v>
      </c>
      <c r="G1141" s="677">
        <v>2.8</v>
      </c>
      <c r="H1141" s="677">
        <v>5.6</v>
      </c>
      <c r="I1141" s="677">
        <v>17.3</v>
      </c>
      <c r="J1141" s="652">
        <v>2275.2</v>
      </c>
      <c r="K1141" s="677">
        <v>17.3</v>
      </c>
      <c r="L1141" s="652">
        <v>2275.2</v>
      </c>
      <c r="M1141" s="679">
        <f>SUM(K1141/L1141)</f>
        <v>0.0076037271448663865</v>
      </c>
      <c r="N1141" s="678">
        <v>214.3</v>
      </c>
      <c r="O1141" s="678">
        <f>SUM(M1141*N1141)</f>
        <v>1.6294787271448667</v>
      </c>
      <c r="P1141" s="678">
        <f>M1141*60*1000</f>
        <v>456.2236286919832</v>
      </c>
      <c r="Q1141" s="680">
        <f>SUM(O1141*60)</f>
        <v>97.768723628692</v>
      </c>
      <c r="R1141" s="6"/>
      <c r="S1141" s="97"/>
      <c r="T1141" s="97"/>
    </row>
    <row r="1142" spans="1:20" ht="12.75">
      <c r="A1142" s="530"/>
      <c r="B1142" s="367">
        <v>5</v>
      </c>
      <c r="C1142" s="633" t="s">
        <v>945</v>
      </c>
      <c r="D1142" s="367">
        <v>50</v>
      </c>
      <c r="E1142" s="367">
        <v>1969</v>
      </c>
      <c r="F1142" s="677">
        <f>SUM(G1142+H1142+I1142)</f>
        <v>32.9</v>
      </c>
      <c r="G1142" s="677">
        <v>4</v>
      </c>
      <c r="H1142" s="677">
        <v>7.9</v>
      </c>
      <c r="I1142" s="677">
        <v>21</v>
      </c>
      <c r="J1142" s="652">
        <v>2573.06</v>
      </c>
      <c r="K1142" s="677">
        <v>21</v>
      </c>
      <c r="L1142" s="652">
        <v>2573.1</v>
      </c>
      <c r="M1142" s="679">
        <f>SUM(K1142/L1142)</f>
        <v>0.008161361781508687</v>
      </c>
      <c r="N1142" s="678">
        <v>214.3</v>
      </c>
      <c r="O1142" s="678">
        <f>SUM(M1142*N1142)</f>
        <v>1.7489798297773116</v>
      </c>
      <c r="P1142" s="678">
        <f>M1142*60*1000</f>
        <v>489.6817068905212</v>
      </c>
      <c r="Q1142" s="680">
        <f>SUM(O1142*60)</f>
        <v>104.9387897866387</v>
      </c>
      <c r="R1142" s="6"/>
      <c r="S1142" s="97"/>
      <c r="T1142" s="97"/>
    </row>
    <row r="1143" spans="1:20" ht="12.75">
      <c r="A1143" s="530"/>
      <c r="B1143" s="367">
        <v>6</v>
      </c>
      <c r="C1143" s="633" t="s">
        <v>946</v>
      </c>
      <c r="D1143" s="367">
        <v>20</v>
      </c>
      <c r="E1143" s="367">
        <v>1997</v>
      </c>
      <c r="F1143" s="677">
        <f>SUM(G1143+H1143+I1143)</f>
        <v>14.600000000000001</v>
      </c>
      <c r="G1143" s="677">
        <v>1.6</v>
      </c>
      <c r="H1143" s="677">
        <v>3.2</v>
      </c>
      <c r="I1143" s="677">
        <v>9.8</v>
      </c>
      <c r="J1143" s="652">
        <v>1186.4</v>
      </c>
      <c r="K1143" s="677">
        <v>9.8</v>
      </c>
      <c r="L1143" s="652">
        <v>1186.4</v>
      </c>
      <c r="M1143" s="679">
        <f>SUM(K1143/L1143)</f>
        <v>0.008260283209710046</v>
      </c>
      <c r="N1143" s="678">
        <v>214.3</v>
      </c>
      <c r="O1143" s="678">
        <f>SUM(M1143*N1143)</f>
        <v>1.770178691840863</v>
      </c>
      <c r="P1143" s="678">
        <f>M1143*60*1000</f>
        <v>495.6169925826028</v>
      </c>
      <c r="Q1143" s="680">
        <f>SUM(O1143*60)</f>
        <v>106.21072151045179</v>
      </c>
      <c r="R1143" s="6"/>
      <c r="S1143" s="97"/>
      <c r="T1143" s="97"/>
    </row>
    <row r="1144" spans="1:20" ht="12.75">
      <c r="A1144" s="530"/>
      <c r="B1144" s="367">
        <v>7</v>
      </c>
      <c r="C1144" s="633" t="s">
        <v>947</v>
      </c>
      <c r="D1144" s="367">
        <v>40</v>
      </c>
      <c r="E1144" s="367">
        <v>1975</v>
      </c>
      <c r="F1144" s="677">
        <f>SUM(G1144+H1144+I1144)</f>
        <v>28.6</v>
      </c>
      <c r="G1144" s="677">
        <v>2.2</v>
      </c>
      <c r="H1144" s="677">
        <v>6.4</v>
      </c>
      <c r="I1144" s="677">
        <v>20</v>
      </c>
      <c r="J1144" s="652">
        <v>2260.93</v>
      </c>
      <c r="K1144" s="677">
        <v>20</v>
      </c>
      <c r="L1144" s="652">
        <v>2260.9</v>
      </c>
      <c r="M1144" s="679">
        <f>SUM(K1144/L1144)</f>
        <v>0.008846034764916626</v>
      </c>
      <c r="N1144" s="678">
        <v>214.3</v>
      </c>
      <c r="O1144" s="678">
        <f>SUM(M1144*N1144)</f>
        <v>1.895705250121633</v>
      </c>
      <c r="P1144" s="678">
        <f>M1144*60*1000</f>
        <v>530.7620858949975</v>
      </c>
      <c r="Q1144" s="680">
        <f>SUM(O1144*60)</f>
        <v>113.74231500729798</v>
      </c>
      <c r="R1144" s="6"/>
      <c r="S1144" s="97"/>
      <c r="T1144" s="97"/>
    </row>
    <row r="1145" spans="1:20" ht="12.75">
      <c r="A1145" s="530"/>
      <c r="B1145" s="367">
        <v>8</v>
      </c>
      <c r="C1145" s="633" t="s">
        <v>948</v>
      </c>
      <c r="D1145" s="367">
        <v>28</v>
      </c>
      <c r="E1145" s="367">
        <v>1969</v>
      </c>
      <c r="F1145" s="677">
        <f>SUM(G1145+H1145+I1145)</f>
        <v>10.5</v>
      </c>
      <c r="G1145" s="677">
        <v>1.8</v>
      </c>
      <c r="H1145" s="677">
        <v>0.3</v>
      </c>
      <c r="I1145" s="677">
        <v>8.4</v>
      </c>
      <c r="J1145" s="652">
        <v>917.1</v>
      </c>
      <c r="K1145" s="677">
        <v>8.4</v>
      </c>
      <c r="L1145" s="652">
        <v>917.1</v>
      </c>
      <c r="M1145" s="679">
        <f>SUM(K1145/L1145)</f>
        <v>0.009159306509649984</v>
      </c>
      <c r="N1145" s="678">
        <v>214.3</v>
      </c>
      <c r="O1145" s="678">
        <f>SUM(M1145*N1145)</f>
        <v>1.9628393850179917</v>
      </c>
      <c r="P1145" s="678">
        <f>M1145*60*1000</f>
        <v>549.558390578999</v>
      </c>
      <c r="Q1145" s="680">
        <f>SUM(O1145*60)</f>
        <v>117.7703631010795</v>
      </c>
      <c r="R1145" s="6"/>
      <c r="S1145" s="97"/>
      <c r="T1145" s="97"/>
    </row>
    <row r="1146" spans="1:20" ht="12.75">
      <c r="A1146" s="532"/>
      <c r="B1146" s="533">
        <v>9</v>
      </c>
      <c r="C1146" s="633" t="s">
        <v>949</v>
      </c>
      <c r="D1146" s="367">
        <v>12</v>
      </c>
      <c r="E1146" s="367">
        <v>1963</v>
      </c>
      <c r="F1146" s="677">
        <f>SUM(G1146+H1146+I1146)</f>
        <v>7.4</v>
      </c>
      <c r="G1146" s="677">
        <v>0.8</v>
      </c>
      <c r="H1146" s="677">
        <v>1.7</v>
      </c>
      <c r="I1146" s="677">
        <v>4.9</v>
      </c>
      <c r="J1146" s="652">
        <v>533.92</v>
      </c>
      <c r="K1146" s="677">
        <v>4.9</v>
      </c>
      <c r="L1146" s="652">
        <v>533.9</v>
      </c>
      <c r="M1146" s="679">
        <f>SUM(K1146/L1146)</f>
        <v>0.009177748642067805</v>
      </c>
      <c r="N1146" s="678">
        <v>214.3</v>
      </c>
      <c r="O1146" s="678">
        <f>SUM(M1146*N1146)</f>
        <v>1.9667915339951307</v>
      </c>
      <c r="P1146" s="678">
        <f>M1146*60*1000</f>
        <v>550.6649185240683</v>
      </c>
      <c r="Q1146" s="680">
        <f>SUM(O1146*60)</f>
        <v>118.00749203970784</v>
      </c>
      <c r="R1146" s="6"/>
      <c r="S1146" s="97"/>
      <c r="T1146" s="97"/>
    </row>
    <row r="1147" spans="1:20" ht="13.5" thickBot="1">
      <c r="A1147" s="534"/>
      <c r="B1147" s="535">
        <v>10</v>
      </c>
      <c r="C1147" s="640"/>
      <c r="D1147" s="535"/>
      <c r="E1147" s="535"/>
      <c r="F1147" s="681"/>
      <c r="G1147" s="681"/>
      <c r="H1147" s="681"/>
      <c r="I1147" s="681"/>
      <c r="J1147" s="658"/>
      <c r="K1147" s="681"/>
      <c r="L1147" s="658"/>
      <c r="M1147" s="684"/>
      <c r="N1147" s="683"/>
      <c r="O1147" s="683"/>
      <c r="P1147" s="683"/>
      <c r="Q1147" s="685"/>
      <c r="R1147" s="6"/>
      <c r="S1147" s="97"/>
      <c r="T1147" s="97"/>
    </row>
    <row r="1148" spans="1:20" ht="12.75">
      <c r="A1148" s="418" t="s">
        <v>12</v>
      </c>
      <c r="B1148" s="40">
        <v>1</v>
      </c>
      <c r="C1148" s="725" t="s">
        <v>950</v>
      </c>
      <c r="D1148" s="88">
        <v>12</v>
      </c>
      <c r="E1148" s="88">
        <v>1962</v>
      </c>
      <c r="F1148" s="726">
        <f>SUM(G1148+H1148+I1148)</f>
        <v>7.6</v>
      </c>
      <c r="G1148" s="726">
        <v>0.7</v>
      </c>
      <c r="H1148" s="726">
        <v>1.8</v>
      </c>
      <c r="I1148" s="726">
        <v>5.1</v>
      </c>
      <c r="J1148" s="922">
        <v>538</v>
      </c>
      <c r="K1148" s="726">
        <v>4.3</v>
      </c>
      <c r="L1148" s="922">
        <v>451.7</v>
      </c>
      <c r="M1148" s="714">
        <f>SUM(K1148/L1148)</f>
        <v>0.009519592649988931</v>
      </c>
      <c r="N1148" s="715">
        <v>214.3</v>
      </c>
      <c r="O1148" s="715">
        <f>SUM(M1148*N1148)</f>
        <v>2.040048704892628</v>
      </c>
      <c r="P1148" s="715">
        <f>M1148*60*1000</f>
        <v>571.1755589993359</v>
      </c>
      <c r="Q1148" s="716">
        <f>SUM(O1148*60)</f>
        <v>122.40292229355768</v>
      </c>
      <c r="R1148" s="6"/>
      <c r="S1148" s="97"/>
      <c r="T1148" s="97"/>
    </row>
    <row r="1149" spans="1:20" ht="12.75">
      <c r="A1149" s="382"/>
      <c r="B1149" s="42">
        <v>2</v>
      </c>
      <c r="C1149" s="52" t="s">
        <v>951</v>
      </c>
      <c r="D1149" s="42">
        <v>28</v>
      </c>
      <c r="E1149" s="42">
        <v>1998</v>
      </c>
      <c r="F1149" s="727">
        <f>SUM(G1149+H1149+I1149)</f>
        <v>18.4</v>
      </c>
      <c r="G1149" s="727">
        <v>2.1</v>
      </c>
      <c r="H1149" s="727">
        <v>4.4</v>
      </c>
      <c r="I1149" s="727">
        <v>11.9</v>
      </c>
      <c r="J1149" s="751">
        <v>1228.24</v>
      </c>
      <c r="K1149" s="727">
        <v>11.9</v>
      </c>
      <c r="L1149" s="751">
        <v>1228.2</v>
      </c>
      <c r="M1149" s="721">
        <f>SUM(K1149/L1149)</f>
        <v>0.009688975736850675</v>
      </c>
      <c r="N1149" s="722">
        <v>214.3</v>
      </c>
      <c r="O1149" s="722">
        <f>SUM(M1149*N1149)</f>
        <v>2.0763475004071</v>
      </c>
      <c r="P1149" s="722">
        <f>M1149*60*1000</f>
        <v>581.3385442110405</v>
      </c>
      <c r="Q1149" s="723">
        <f>SUM(O1149*60)</f>
        <v>124.580850024426</v>
      </c>
      <c r="R1149" s="6"/>
      <c r="S1149" s="97"/>
      <c r="T1149" s="97"/>
    </row>
    <row r="1150" spans="1:20" ht="12.75">
      <c r="A1150" s="382"/>
      <c r="B1150" s="42">
        <v>3</v>
      </c>
      <c r="C1150" s="52" t="s">
        <v>952</v>
      </c>
      <c r="D1150" s="42">
        <v>8</v>
      </c>
      <c r="E1150" s="42">
        <v>1962</v>
      </c>
      <c r="F1150" s="727">
        <f>SUM(G1150+H1150+I1150)</f>
        <v>5.4</v>
      </c>
      <c r="G1150" s="727">
        <v>0.4</v>
      </c>
      <c r="H1150" s="727">
        <v>1.3</v>
      </c>
      <c r="I1150" s="727">
        <v>3.7</v>
      </c>
      <c r="J1150" s="751">
        <v>349.3</v>
      </c>
      <c r="K1150" s="727">
        <v>3.2</v>
      </c>
      <c r="L1150" s="751">
        <v>305.787</v>
      </c>
      <c r="M1150" s="721">
        <f>SUM(K1150/L1150)</f>
        <v>0.010464800661898643</v>
      </c>
      <c r="N1150" s="722">
        <v>214.3</v>
      </c>
      <c r="O1150" s="722">
        <f>SUM(M1150*N1150)</f>
        <v>2.2426067818448794</v>
      </c>
      <c r="P1150" s="722">
        <f>M1150*60*1000</f>
        <v>627.8880397139186</v>
      </c>
      <c r="Q1150" s="723">
        <f>SUM(O1150*60)</f>
        <v>134.55640691069277</v>
      </c>
      <c r="R1150" s="6"/>
      <c r="S1150" s="97"/>
      <c r="T1150" s="97"/>
    </row>
    <row r="1151" spans="1:20" ht="12.75">
      <c r="A1151" s="382"/>
      <c r="B1151" s="42">
        <v>4</v>
      </c>
      <c r="C1151" s="52" t="s">
        <v>953</v>
      </c>
      <c r="D1151" s="42">
        <v>8</v>
      </c>
      <c r="E1151" s="42">
        <v>1959</v>
      </c>
      <c r="F1151" s="727">
        <f>SUM(G1151+H1151+I1151)</f>
        <v>3.4</v>
      </c>
      <c r="G1151" s="727">
        <v>0</v>
      </c>
      <c r="H1151" s="727">
        <v>0</v>
      </c>
      <c r="I1151" s="727">
        <v>3.4</v>
      </c>
      <c r="J1151" s="751">
        <v>303.83</v>
      </c>
      <c r="K1151" s="727">
        <v>2.9</v>
      </c>
      <c r="L1151" s="751">
        <v>256.9</v>
      </c>
      <c r="M1151" s="721">
        <f>SUM(K1151/L1151)</f>
        <v>0.011288439081354613</v>
      </c>
      <c r="N1151" s="722">
        <v>214.3</v>
      </c>
      <c r="O1151" s="722">
        <f>SUM(M1151*N1151)</f>
        <v>2.4191124951342937</v>
      </c>
      <c r="P1151" s="722">
        <f>M1151*60*1000</f>
        <v>677.3063448812768</v>
      </c>
      <c r="Q1151" s="723">
        <f>SUM(O1151*60)</f>
        <v>145.14674970805763</v>
      </c>
      <c r="R1151" s="6"/>
      <c r="S1151" s="97"/>
      <c r="T1151" s="97"/>
    </row>
    <row r="1152" spans="1:20" ht="12.75">
      <c r="A1152" s="382"/>
      <c r="B1152" s="42">
        <v>5</v>
      </c>
      <c r="C1152" s="52" t="s">
        <v>954</v>
      </c>
      <c r="D1152" s="42">
        <v>34</v>
      </c>
      <c r="E1152" s="42">
        <v>1964</v>
      </c>
      <c r="F1152" s="727">
        <f>SUM(G1152+H1152+I1152)</f>
        <v>16.2</v>
      </c>
      <c r="G1152" s="727">
        <v>1.5</v>
      </c>
      <c r="H1152" s="727">
        <v>0.2</v>
      </c>
      <c r="I1152" s="727">
        <v>14.5</v>
      </c>
      <c r="J1152" s="751">
        <v>1101.75</v>
      </c>
      <c r="K1152" s="727">
        <v>14.5</v>
      </c>
      <c r="L1152" s="751">
        <v>1101.8</v>
      </c>
      <c r="M1152" s="721">
        <f>SUM(K1152/L1152)</f>
        <v>0.013160283172989654</v>
      </c>
      <c r="N1152" s="722">
        <v>214.3</v>
      </c>
      <c r="O1152" s="722">
        <f>SUM(M1152*N1152)</f>
        <v>2.820248683971683</v>
      </c>
      <c r="P1152" s="722">
        <f>M1152*60*1000</f>
        <v>789.6169903793792</v>
      </c>
      <c r="Q1152" s="723">
        <f>SUM(O1152*60)</f>
        <v>169.214921038301</v>
      </c>
      <c r="R1152" s="6"/>
      <c r="S1152" s="97"/>
      <c r="T1152" s="97"/>
    </row>
    <row r="1153" spans="1:20" ht="12.75">
      <c r="A1153" s="382"/>
      <c r="B1153" s="42">
        <v>6</v>
      </c>
      <c r="C1153" s="52" t="s">
        <v>955</v>
      </c>
      <c r="D1153" s="42">
        <v>6</v>
      </c>
      <c r="E1153" s="42" t="s">
        <v>956</v>
      </c>
      <c r="F1153" s="727">
        <f>SUM(G1153+H1153+I1153)</f>
        <v>4.8</v>
      </c>
      <c r="G1153" s="727">
        <v>0.3</v>
      </c>
      <c r="H1153" s="727">
        <v>0.9</v>
      </c>
      <c r="I1153" s="727">
        <v>3.6</v>
      </c>
      <c r="J1153" s="751">
        <v>252.5</v>
      </c>
      <c r="K1153" s="727">
        <v>3.6</v>
      </c>
      <c r="L1153" s="751">
        <v>252.5</v>
      </c>
      <c r="M1153" s="721">
        <f>SUM(K1153/L1153)</f>
        <v>0.014257425742574258</v>
      </c>
      <c r="N1153" s="722">
        <v>214.3</v>
      </c>
      <c r="O1153" s="722">
        <f>SUM(M1153*N1153)</f>
        <v>3.055366336633664</v>
      </c>
      <c r="P1153" s="722">
        <f>M1153*60*1000</f>
        <v>855.4455445544554</v>
      </c>
      <c r="Q1153" s="723">
        <f>SUM(O1153*60)</f>
        <v>183.32198019801984</v>
      </c>
      <c r="R1153" s="6"/>
      <c r="S1153" s="97"/>
      <c r="T1153" s="97"/>
    </row>
    <row r="1154" spans="1:20" ht="12.75">
      <c r="A1154" s="382"/>
      <c r="B1154" s="42">
        <v>7</v>
      </c>
      <c r="C1154" s="52" t="s">
        <v>957</v>
      </c>
      <c r="D1154" s="42">
        <v>12</v>
      </c>
      <c r="E1154" s="42">
        <v>1960</v>
      </c>
      <c r="F1154" s="727">
        <f>SUM(G1154+H1154+I1154)</f>
        <v>10.5</v>
      </c>
      <c r="G1154" s="727">
        <v>0.4</v>
      </c>
      <c r="H1154" s="727">
        <v>1.9</v>
      </c>
      <c r="I1154" s="727">
        <v>8.2</v>
      </c>
      <c r="J1154" s="751">
        <v>531.53</v>
      </c>
      <c r="K1154" s="727">
        <v>7.5</v>
      </c>
      <c r="L1154" s="751">
        <v>488.5</v>
      </c>
      <c r="M1154" s="721">
        <f>SUM(K1154/L1154)</f>
        <v>0.015353121801432957</v>
      </c>
      <c r="N1154" s="722">
        <v>214.3</v>
      </c>
      <c r="O1154" s="722">
        <f>SUM(M1154*N1154)</f>
        <v>3.290174002047083</v>
      </c>
      <c r="P1154" s="722">
        <f>M1154*60*1000</f>
        <v>921.1873080859775</v>
      </c>
      <c r="Q1154" s="723">
        <f>SUM(O1154*60)</f>
        <v>197.41044012282498</v>
      </c>
      <c r="R1154" s="6"/>
      <c r="S1154" s="97"/>
      <c r="T1154" s="97"/>
    </row>
    <row r="1155" spans="1:20" ht="12.75">
      <c r="A1155" s="382"/>
      <c r="B1155" s="42">
        <v>8</v>
      </c>
      <c r="C1155" s="52" t="s">
        <v>958</v>
      </c>
      <c r="D1155" s="42">
        <v>9</v>
      </c>
      <c r="E1155" s="42" t="s">
        <v>956</v>
      </c>
      <c r="F1155" s="727">
        <f>SUM(G1155+H1155+I1155)</f>
        <v>4.1</v>
      </c>
      <c r="G1155" s="727">
        <v>0</v>
      </c>
      <c r="H1155" s="727">
        <v>0</v>
      </c>
      <c r="I1155" s="727">
        <v>4.1</v>
      </c>
      <c r="J1155" s="751">
        <v>255.12</v>
      </c>
      <c r="K1155" s="727">
        <v>4.1</v>
      </c>
      <c r="L1155" s="751">
        <v>255.1</v>
      </c>
      <c r="M1155" s="721">
        <f>SUM(K1155/L1155)</f>
        <v>0.016072128577028614</v>
      </c>
      <c r="N1155" s="722">
        <v>214.3</v>
      </c>
      <c r="O1155" s="722">
        <f>SUM(M1155*N1155)</f>
        <v>3.444257154057232</v>
      </c>
      <c r="P1155" s="722">
        <f>M1155*60*1000</f>
        <v>964.3277146217168</v>
      </c>
      <c r="Q1155" s="723">
        <f>SUM(O1155*60)</f>
        <v>206.65542924343393</v>
      </c>
      <c r="R1155" s="6"/>
      <c r="S1155" s="97"/>
      <c r="T1155" s="97"/>
    </row>
    <row r="1156" spans="1:20" ht="12.75">
      <c r="A1156" s="382"/>
      <c r="B1156" s="42">
        <v>9</v>
      </c>
      <c r="C1156" s="282"/>
      <c r="D1156" s="283"/>
      <c r="E1156" s="283"/>
      <c r="F1156" s="724"/>
      <c r="G1156" s="724"/>
      <c r="H1156" s="724"/>
      <c r="I1156" s="724"/>
      <c r="J1156" s="724"/>
      <c r="K1156" s="724"/>
      <c r="L1156" s="724"/>
      <c r="M1156" s="308"/>
      <c r="N1156" s="309"/>
      <c r="O1156" s="319"/>
      <c r="P1156" s="319"/>
      <c r="Q1156" s="318"/>
      <c r="R1156" s="6"/>
      <c r="S1156" s="97"/>
      <c r="T1156" s="97"/>
    </row>
    <row r="1157" spans="1:20" ht="13.5" thickBot="1">
      <c r="A1157" s="383"/>
      <c r="B1157" s="47">
        <v>10</v>
      </c>
      <c r="C1157" s="56"/>
      <c r="D1157" s="47"/>
      <c r="E1157" s="47"/>
      <c r="F1157" s="63"/>
      <c r="G1157" s="63"/>
      <c r="H1157" s="63"/>
      <c r="I1157" s="63"/>
      <c r="J1157" s="64"/>
      <c r="K1157" s="57"/>
      <c r="L1157" s="64"/>
      <c r="M1157" s="89"/>
      <c r="N1157" s="63"/>
      <c r="O1157" s="48"/>
      <c r="P1157" s="48"/>
      <c r="Q1157" s="51"/>
      <c r="S1157" s="97"/>
      <c r="T1157" s="97"/>
    </row>
    <row r="1158" spans="17:20" ht="12.75">
      <c r="Q1158" s="868"/>
      <c r="S1158" s="97"/>
      <c r="T1158" s="97"/>
    </row>
    <row r="1159" spans="19:20" ht="12.75">
      <c r="S1159" s="97"/>
      <c r="T1159" s="97"/>
    </row>
    <row r="1160" spans="19:20" ht="12.75">
      <c r="S1160" s="97"/>
      <c r="T1160" s="97"/>
    </row>
    <row r="1161" spans="19:20" ht="12.75">
      <c r="S1161" s="97"/>
      <c r="T1161" s="97"/>
    </row>
    <row r="1162" spans="1:20" ht="15">
      <c r="A1162" s="419" t="s">
        <v>50</v>
      </c>
      <c r="B1162" s="419"/>
      <c r="C1162" s="419"/>
      <c r="D1162" s="419"/>
      <c r="E1162" s="419"/>
      <c r="F1162" s="419"/>
      <c r="G1162" s="419"/>
      <c r="H1162" s="419"/>
      <c r="I1162" s="419"/>
      <c r="J1162" s="419"/>
      <c r="K1162" s="419"/>
      <c r="L1162" s="419"/>
      <c r="M1162" s="419"/>
      <c r="N1162" s="419"/>
      <c r="O1162" s="419"/>
      <c r="P1162" s="419"/>
      <c r="Q1162" s="419"/>
      <c r="S1162" s="97"/>
      <c r="T1162" s="97"/>
    </row>
    <row r="1163" spans="1:20" ht="13.5" thickBot="1">
      <c r="A1163" s="420" t="s">
        <v>885</v>
      </c>
      <c r="B1163" s="420"/>
      <c r="C1163" s="420"/>
      <c r="D1163" s="420"/>
      <c r="E1163" s="420"/>
      <c r="F1163" s="420"/>
      <c r="G1163" s="420"/>
      <c r="H1163" s="420"/>
      <c r="I1163" s="420"/>
      <c r="J1163" s="420"/>
      <c r="K1163" s="420"/>
      <c r="L1163" s="420"/>
      <c r="M1163" s="420"/>
      <c r="N1163" s="420"/>
      <c r="O1163" s="420"/>
      <c r="P1163" s="420"/>
      <c r="Q1163" s="420"/>
      <c r="S1163" s="97"/>
      <c r="T1163" s="97"/>
    </row>
    <row r="1164" spans="1:20" ht="12.75" customHeight="1">
      <c r="A1164" s="395" t="s">
        <v>1</v>
      </c>
      <c r="B1164" s="397" t="s">
        <v>0</v>
      </c>
      <c r="C1164" s="384" t="s">
        <v>2</v>
      </c>
      <c r="D1164" s="384" t="s">
        <v>3</v>
      </c>
      <c r="E1164" s="384" t="s">
        <v>13</v>
      </c>
      <c r="F1164" s="386" t="s">
        <v>14</v>
      </c>
      <c r="G1164" s="387"/>
      <c r="H1164" s="387"/>
      <c r="I1164" s="388"/>
      <c r="J1164" s="384" t="s">
        <v>4</v>
      </c>
      <c r="K1164" s="384" t="s">
        <v>15</v>
      </c>
      <c r="L1164" s="384" t="s">
        <v>5</v>
      </c>
      <c r="M1164" s="384" t="s">
        <v>6</v>
      </c>
      <c r="N1164" s="384" t="s">
        <v>16</v>
      </c>
      <c r="O1164" s="389" t="s">
        <v>17</v>
      </c>
      <c r="P1164" s="384" t="s">
        <v>25</v>
      </c>
      <c r="Q1164" s="391" t="s">
        <v>26</v>
      </c>
      <c r="S1164" s="97"/>
      <c r="T1164" s="97"/>
    </row>
    <row r="1165" spans="1:20" s="2" customFormat="1" ht="33.75">
      <c r="A1165" s="396"/>
      <c r="B1165" s="398"/>
      <c r="C1165" s="399"/>
      <c r="D1165" s="385"/>
      <c r="E1165" s="385"/>
      <c r="F1165" s="37" t="s">
        <v>18</v>
      </c>
      <c r="G1165" s="37" t="s">
        <v>19</v>
      </c>
      <c r="H1165" s="37" t="s">
        <v>20</v>
      </c>
      <c r="I1165" s="37" t="s">
        <v>21</v>
      </c>
      <c r="J1165" s="385"/>
      <c r="K1165" s="385"/>
      <c r="L1165" s="385"/>
      <c r="M1165" s="385"/>
      <c r="N1165" s="385"/>
      <c r="O1165" s="390"/>
      <c r="P1165" s="385"/>
      <c r="Q1165" s="392"/>
      <c r="S1165" s="97"/>
      <c r="T1165" s="97"/>
    </row>
    <row r="1166" spans="1:20" s="3" customFormat="1" ht="13.5" customHeight="1" thickBot="1">
      <c r="A1166" s="414"/>
      <c r="B1166" s="415"/>
      <c r="C1166" s="416"/>
      <c r="D1166" s="65" t="s">
        <v>7</v>
      </c>
      <c r="E1166" s="65" t="s">
        <v>8</v>
      </c>
      <c r="F1166" s="65" t="s">
        <v>9</v>
      </c>
      <c r="G1166" s="65" t="s">
        <v>9</v>
      </c>
      <c r="H1166" s="65" t="s">
        <v>9</v>
      </c>
      <c r="I1166" s="65" t="s">
        <v>9</v>
      </c>
      <c r="J1166" s="65" t="s">
        <v>22</v>
      </c>
      <c r="K1166" s="65" t="s">
        <v>9</v>
      </c>
      <c r="L1166" s="65" t="s">
        <v>22</v>
      </c>
      <c r="M1166" s="65" t="s">
        <v>23</v>
      </c>
      <c r="N1166" s="65" t="s">
        <v>10</v>
      </c>
      <c r="O1166" s="65" t="s">
        <v>24</v>
      </c>
      <c r="P1166" s="66" t="s">
        <v>27</v>
      </c>
      <c r="Q1166" s="67" t="s">
        <v>28</v>
      </c>
      <c r="S1166" s="97"/>
      <c r="T1166" s="97"/>
    </row>
    <row r="1167" spans="1:20" ht="12.75">
      <c r="A1167" s="693" t="s">
        <v>30</v>
      </c>
      <c r="B1167" s="653">
        <v>1</v>
      </c>
      <c r="C1167" s="698" t="s">
        <v>886</v>
      </c>
      <c r="D1167" s="653">
        <v>20</v>
      </c>
      <c r="E1167" s="653">
        <v>1982</v>
      </c>
      <c r="F1167" s="850">
        <v>16.156</v>
      </c>
      <c r="G1167" s="850">
        <v>1.9635</v>
      </c>
      <c r="H1167" s="850">
        <v>3.491</v>
      </c>
      <c r="I1167" s="850">
        <v>10.701502</v>
      </c>
      <c r="J1167" s="918">
        <v>1036.5</v>
      </c>
      <c r="K1167" s="850">
        <v>10.7</v>
      </c>
      <c r="L1167" s="918">
        <v>1036.5</v>
      </c>
      <c r="M1167" s="675">
        <f>K1167/L1167</f>
        <v>0.010323203087313073</v>
      </c>
      <c r="N1167" s="674">
        <v>230</v>
      </c>
      <c r="O1167" s="674">
        <v>2.36</v>
      </c>
      <c r="P1167" s="674">
        <f>M1167*60*1000</f>
        <v>619.3921852387844</v>
      </c>
      <c r="Q1167" s="676">
        <v>141.6</v>
      </c>
      <c r="R1167" s="6"/>
      <c r="S1167" s="97"/>
      <c r="T1167" s="97"/>
    </row>
    <row r="1168" spans="1:20" ht="12.75">
      <c r="A1168" s="694"/>
      <c r="B1168" s="367">
        <v>2</v>
      </c>
      <c r="C1168" s="633" t="s">
        <v>887</v>
      </c>
      <c r="D1168" s="367">
        <v>20</v>
      </c>
      <c r="E1168" s="367">
        <v>1978</v>
      </c>
      <c r="F1168" s="677">
        <v>12.451227</v>
      </c>
      <c r="G1168" s="677">
        <v>1.071</v>
      </c>
      <c r="H1168" s="677">
        <v>2.56</v>
      </c>
      <c r="I1168" s="677">
        <v>8.820226</v>
      </c>
      <c r="J1168" s="652">
        <v>841.82</v>
      </c>
      <c r="K1168" s="677">
        <v>8.8</v>
      </c>
      <c r="L1168" s="652">
        <v>841.8</v>
      </c>
      <c r="M1168" s="679">
        <f>K1168/L1168</f>
        <v>0.010453789498693277</v>
      </c>
      <c r="N1168" s="678">
        <v>230</v>
      </c>
      <c r="O1168" s="678">
        <v>2.39</v>
      </c>
      <c r="P1168" s="678">
        <f>M1168*60*1000</f>
        <v>627.2273699215966</v>
      </c>
      <c r="Q1168" s="680">
        <v>143.4</v>
      </c>
      <c r="R1168" s="6"/>
      <c r="S1168" s="97"/>
      <c r="T1168" s="97"/>
    </row>
    <row r="1169" spans="1:20" ht="12.75">
      <c r="A1169" s="694"/>
      <c r="B1169" s="367">
        <v>3</v>
      </c>
      <c r="C1169" s="633" t="s">
        <v>888</v>
      </c>
      <c r="D1169" s="367">
        <v>12</v>
      </c>
      <c r="E1169" s="367">
        <v>1989</v>
      </c>
      <c r="F1169" s="677">
        <v>11.05</v>
      </c>
      <c r="G1169" s="677">
        <v>1.326</v>
      </c>
      <c r="H1169" s="677">
        <v>1.92</v>
      </c>
      <c r="I1169" s="677">
        <v>7.804</v>
      </c>
      <c r="J1169" s="652">
        <v>704.6</v>
      </c>
      <c r="K1169" s="677">
        <v>7.8</v>
      </c>
      <c r="L1169" s="652">
        <v>704.6</v>
      </c>
      <c r="M1169" s="679">
        <f>K1169/L1169</f>
        <v>0.01107011070110701</v>
      </c>
      <c r="N1169" s="678">
        <v>230</v>
      </c>
      <c r="O1169" s="678">
        <v>2.53</v>
      </c>
      <c r="P1169" s="678">
        <f>M1169*60*1000</f>
        <v>664.2066420664206</v>
      </c>
      <c r="Q1169" s="680">
        <v>151.8</v>
      </c>
      <c r="R1169" s="6"/>
      <c r="S1169" s="97"/>
      <c r="T1169" s="97"/>
    </row>
    <row r="1170" spans="1:20" ht="12.75">
      <c r="A1170" s="694"/>
      <c r="B1170" s="367">
        <v>4</v>
      </c>
      <c r="C1170" s="633" t="s">
        <v>889</v>
      </c>
      <c r="D1170" s="367">
        <v>8</v>
      </c>
      <c r="E1170" s="367">
        <v>1966</v>
      </c>
      <c r="F1170" s="677">
        <v>6.3557</v>
      </c>
      <c r="G1170" s="677">
        <v>0.51</v>
      </c>
      <c r="H1170" s="677">
        <v>1.28</v>
      </c>
      <c r="I1170" s="677">
        <v>4.5657</v>
      </c>
      <c r="J1170" s="652">
        <v>393.63</v>
      </c>
      <c r="K1170" s="677">
        <v>4.6</v>
      </c>
      <c r="L1170" s="652">
        <v>393.6</v>
      </c>
      <c r="M1170" s="679">
        <f>K1170/L1170</f>
        <v>0.011686991869918697</v>
      </c>
      <c r="N1170" s="678">
        <v>230</v>
      </c>
      <c r="O1170" s="678">
        <v>2.65</v>
      </c>
      <c r="P1170" s="678">
        <f>M1170*60*1000</f>
        <v>701.2195121951218</v>
      </c>
      <c r="Q1170" s="680">
        <v>159</v>
      </c>
      <c r="R1170" s="6"/>
      <c r="S1170" s="97"/>
      <c r="T1170" s="97"/>
    </row>
    <row r="1171" spans="1:20" ht="12.75">
      <c r="A1171" s="694"/>
      <c r="B1171" s="367">
        <v>5</v>
      </c>
      <c r="C1171" s="633" t="s">
        <v>890</v>
      </c>
      <c r="D1171" s="367">
        <v>8</v>
      </c>
      <c r="E1171" s="367">
        <v>1968</v>
      </c>
      <c r="F1171" s="677">
        <v>6.568</v>
      </c>
      <c r="G1171" s="677">
        <v>0.663</v>
      </c>
      <c r="H1171" s="677">
        <v>1.28</v>
      </c>
      <c r="I1171" s="677">
        <v>4.625</v>
      </c>
      <c r="J1171" s="652">
        <v>390.08</v>
      </c>
      <c r="K1171" s="677">
        <v>4.625</v>
      </c>
      <c r="L1171" s="652">
        <v>390.08</v>
      </c>
      <c r="M1171" s="679">
        <f>K1171/L1171</f>
        <v>0.011856542247744052</v>
      </c>
      <c r="N1171" s="678">
        <v>230</v>
      </c>
      <c r="O1171" s="678">
        <v>2.71</v>
      </c>
      <c r="P1171" s="678">
        <f>M1171*60*1000</f>
        <v>711.3925348646432</v>
      </c>
      <c r="Q1171" s="680">
        <v>162.6</v>
      </c>
      <c r="R1171" s="6"/>
      <c r="S1171" s="97"/>
      <c r="T1171" s="97"/>
    </row>
    <row r="1172" spans="1:20" ht="13.5" thickBot="1">
      <c r="A1172" s="695"/>
      <c r="B1172" s="640"/>
      <c r="C1172" s="640"/>
      <c r="D1172" s="640"/>
      <c r="E1172" s="535"/>
      <c r="F1172" s="535"/>
      <c r="G1172" s="535"/>
      <c r="H1172" s="535"/>
      <c r="I1172" s="535"/>
      <c r="J1172" s="535"/>
      <c r="K1172" s="535"/>
      <c r="L1172" s="535"/>
      <c r="M1172" s="535"/>
      <c r="N1172" s="535"/>
      <c r="O1172" s="535"/>
      <c r="P1172" s="535"/>
      <c r="Q1172" s="1274"/>
      <c r="R1172" s="6"/>
      <c r="S1172" s="97"/>
      <c r="T1172" s="97"/>
    </row>
    <row r="1173" spans="1:20" ht="12.75" customHeight="1">
      <c r="A1173" s="406" t="s">
        <v>12</v>
      </c>
      <c r="B1173" s="88">
        <v>1</v>
      </c>
      <c r="C1173" s="336"/>
      <c r="D1173" s="202"/>
      <c r="E1173" s="202"/>
      <c r="F1173" s="339"/>
      <c r="G1173" s="339"/>
      <c r="H1173" s="339"/>
      <c r="I1173" s="339"/>
      <c r="J1173" s="339"/>
      <c r="K1173" s="339"/>
      <c r="L1173" s="339"/>
      <c r="M1173" s="246"/>
      <c r="N1173" s="244"/>
      <c r="O1173" s="247"/>
      <c r="P1173" s="247"/>
      <c r="Q1173" s="248"/>
      <c r="R1173" s="6"/>
      <c r="S1173" s="97"/>
      <c r="T1173" s="97"/>
    </row>
    <row r="1174" spans="1:20" ht="12.75">
      <c r="A1174" s="521"/>
      <c r="B1174" s="42">
        <v>2</v>
      </c>
      <c r="C1174" s="245"/>
      <c r="D1174" s="203"/>
      <c r="E1174" s="203"/>
      <c r="F1174" s="285"/>
      <c r="G1174" s="285"/>
      <c r="H1174" s="285"/>
      <c r="I1174" s="285"/>
      <c r="J1174" s="285"/>
      <c r="K1174" s="285"/>
      <c r="L1174" s="285"/>
      <c r="M1174" s="232"/>
      <c r="N1174" s="233"/>
      <c r="O1174" s="234"/>
      <c r="P1174" s="234"/>
      <c r="Q1174" s="235"/>
      <c r="R1174" s="6"/>
      <c r="S1174" s="97"/>
      <c r="T1174" s="97"/>
    </row>
    <row r="1175" spans="1:20" ht="12.75">
      <c r="A1175" s="521"/>
      <c r="B1175" s="42">
        <v>3</v>
      </c>
      <c r="C1175" s="245"/>
      <c r="D1175" s="203"/>
      <c r="E1175" s="203"/>
      <c r="F1175" s="285"/>
      <c r="G1175" s="285"/>
      <c r="H1175" s="285"/>
      <c r="I1175" s="285"/>
      <c r="J1175" s="285"/>
      <c r="K1175" s="285"/>
      <c r="L1175" s="285"/>
      <c r="M1175" s="232"/>
      <c r="N1175" s="233"/>
      <c r="O1175" s="234"/>
      <c r="P1175" s="234"/>
      <c r="Q1175" s="235"/>
      <c r="R1175" s="6"/>
      <c r="S1175" s="97"/>
      <c r="T1175" s="97"/>
    </row>
    <row r="1176" spans="1:20" ht="12.75">
      <c r="A1176" s="521"/>
      <c r="B1176" s="42">
        <v>4</v>
      </c>
      <c r="C1176" s="245"/>
      <c r="D1176" s="203"/>
      <c r="E1176" s="203"/>
      <c r="F1176" s="285"/>
      <c r="G1176" s="285"/>
      <c r="H1176" s="285"/>
      <c r="I1176" s="285"/>
      <c r="J1176" s="285"/>
      <c r="K1176" s="285"/>
      <c r="L1176" s="285"/>
      <c r="M1176" s="232"/>
      <c r="N1176" s="233"/>
      <c r="O1176" s="234"/>
      <c r="P1176" s="234"/>
      <c r="Q1176" s="235"/>
      <c r="S1176" s="97"/>
      <c r="T1176" s="97"/>
    </row>
    <row r="1177" spans="1:20" ht="12.75">
      <c r="A1177" s="521"/>
      <c r="B1177" s="42">
        <v>5</v>
      </c>
      <c r="C1177" s="245"/>
      <c r="D1177" s="203"/>
      <c r="E1177" s="203"/>
      <c r="F1177" s="285"/>
      <c r="G1177" s="285"/>
      <c r="H1177" s="285"/>
      <c r="I1177" s="285"/>
      <c r="J1177" s="285"/>
      <c r="K1177" s="285"/>
      <c r="L1177" s="285"/>
      <c r="M1177" s="232"/>
      <c r="N1177" s="233"/>
      <c r="O1177" s="234"/>
      <c r="P1177" s="234"/>
      <c r="Q1177" s="235"/>
      <c r="S1177" s="97"/>
      <c r="T1177" s="97"/>
    </row>
    <row r="1178" spans="1:20" ht="12.75">
      <c r="A1178" s="521"/>
      <c r="B1178" s="42">
        <v>6</v>
      </c>
      <c r="C1178" s="52"/>
      <c r="D1178" s="42"/>
      <c r="E1178" s="42"/>
      <c r="F1178" s="60"/>
      <c r="G1178" s="43"/>
      <c r="H1178" s="43"/>
      <c r="I1178" s="43"/>
      <c r="J1178" s="44"/>
      <c r="K1178" s="43"/>
      <c r="L1178" s="44"/>
      <c r="M1178" s="45"/>
      <c r="N1178" s="43"/>
      <c r="O1178" s="43"/>
      <c r="P1178" s="43"/>
      <c r="Q1178" s="46"/>
      <c r="S1178" s="97"/>
      <c r="T1178" s="97"/>
    </row>
    <row r="1179" spans="1:20" ht="13.5" thickBot="1">
      <c r="A1179" s="869"/>
      <c r="B1179" s="47">
        <v>7</v>
      </c>
      <c r="C1179" s="87"/>
      <c r="D1179" s="47"/>
      <c r="E1179" s="47"/>
      <c r="F1179" s="56"/>
      <c r="G1179" s="337"/>
      <c r="H1179" s="337"/>
      <c r="I1179" s="337"/>
      <c r="J1179" s="337"/>
      <c r="K1179" s="337"/>
      <c r="L1179" s="337"/>
      <c r="M1179" s="337"/>
      <c r="N1179" s="337"/>
      <c r="O1179" s="337"/>
      <c r="P1179" s="337"/>
      <c r="Q1179" s="338"/>
      <c r="S1179" s="97"/>
      <c r="T1179" s="97"/>
    </row>
    <row r="1180" spans="19:20" ht="12.75">
      <c r="S1180" s="97"/>
      <c r="T1180" s="97"/>
    </row>
    <row r="1181" spans="1:20" ht="15">
      <c r="A1181" s="419" t="s">
        <v>931</v>
      </c>
      <c r="B1181" s="419"/>
      <c r="C1181" s="419"/>
      <c r="D1181" s="419"/>
      <c r="E1181" s="419"/>
      <c r="F1181" s="419"/>
      <c r="G1181" s="419"/>
      <c r="H1181" s="419"/>
      <c r="I1181" s="419"/>
      <c r="J1181" s="419"/>
      <c r="K1181" s="419"/>
      <c r="L1181" s="419"/>
      <c r="M1181" s="419"/>
      <c r="N1181" s="419"/>
      <c r="O1181" s="419"/>
      <c r="P1181" s="419"/>
      <c r="Q1181" s="419"/>
      <c r="S1181" s="97"/>
      <c r="T1181" s="97"/>
    </row>
    <row r="1182" spans="1:20" ht="13.5" thickBot="1">
      <c r="A1182" s="420" t="s">
        <v>902</v>
      </c>
      <c r="B1182" s="420"/>
      <c r="C1182" s="420"/>
      <c r="D1182" s="420"/>
      <c r="E1182" s="420"/>
      <c r="F1182" s="420"/>
      <c r="G1182" s="420"/>
      <c r="H1182" s="420"/>
      <c r="I1182" s="420"/>
      <c r="J1182" s="420"/>
      <c r="K1182" s="420"/>
      <c r="L1182" s="420"/>
      <c r="M1182" s="420"/>
      <c r="N1182" s="420"/>
      <c r="O1182" s="420"/>
      <c r="P1182" s="420"/>
      <c r="Q1182" s="420"/>
      <c r="S1182" s="97"/>
      <c r="T1182" s="97"/>
    </row>
    <row r="1183" spans="1:20" ht="12.75" customHeight="1">
      <c r="A1183" s="395" t="s">
        <v>1</v>
      </c>
      <c r="B1183" s="397" t="s">
        <v>0</v>
      </c>
      <c r="C1183" s="384" t="s">
        <v>2</v>
      </c>
      <c r="D1183" s="384" t="s">
        <v>3</v>
      </c>
      <c r="E1183" s="384" t="s">
        <v>13</v>
      </c>
      <c r="F1183" s="386" t="s">
        <v>14</v>
      </c>
      <c r="G1183" s="387"/>
      <c r="H1183" s="387"/>
      <c r="I1183" s="388"/>
      <c r="J1183" s="384" t="s">
        <v>4</v>
      </c>
      <c r="K1183" s="384" t="s">
        <v>15</v>
      </c>
      <c r="L1183" s="384" t="s">
        <v>5</v>
      </c>
      <c r="M1183" s="384" t="s">
        <v>6</v>
      </c>
      <c r="N1183" s="384" t="s">
        <v>16</v>
      </c>
      <c r="O1183" s="389" t="s">
        <v>17</v>
      </c>
      <c r="P1183" s="384" t="s">
        <v>25</v>
      </c>
      <c r="Q1183" s="391" t="s">
        <v>26</v>
      </c>
      <c r="S1183" s="97"/>
      <c r="T1183" s="97"/>
    </row>
    <row r="1184" spans="1:20" s="2" customFormat="1" ht="33.75">
      <c r="A1184" s="396"/>
      <c r="B1184" s="398"/>
      <c r="C1184" s="399"/>
      <c r="D1184" s="385"/>
      <c r="E1184" s="385"/>
      <c r="F1184" s="37" t="s">
        <v>18</v>
      </c>
      <c r="G1184" s="37" t="s">
        <v>19</v>
      </c>
      <c r="H1184" s="37" t="s">
        <v>20</v>
      </c>
      <c r="I1184" s="37" t="s">
        <v>21</v>
      </c>
      <c r="J1184" s="385"/>
      <c r="K1184" s="385"/>
      <c r="L1184" s="385"/>
      <c r="M1184" s="385"/>
      <c r="N1184" s="385"/>
      <c r="O1184" s="390"/>
      <c r="P1184" s="385"/>
      <c r="Q1184" s="392"/>
      <c r="S1184" s="97"/>
      <c r="T1184" s="97"/>
    </row>
    <row r="1185" spans="1:20" s="3" customFormat="1" ht="13.5" customHeight="1" thickBot="1">
      <c r="A1185" s="414"/>
      <c r="B1185" s="415"/>
      <c r="C1185" s="416"/>
      <c r="D1185" s="65" t="s">
        <v>7</v>
      </c>
      <c r="E1185" s="65" t="s">
        <v>8</v>
      </c>
      <c r="F1185" s="65" t="s">
        <v>9</v>
      </c>
      <c r="G1185" s="65" t="s">
        <v>9</v>
      </c>
      <c r="H1185" s="65" t="s">
        <v>9</v>
      </c>
      <c r="I1185" s="65" t="s">
        <v>9</v>
      </c>
      <c r="J1185" s="65" t="s">
        <v>22</v>
      </c>
      <c r="K1185" s="65" t="s">
        <v>9</v>
      </c>
      <c r="L1185" s="65" t="s">
        <v>22</v>
      </c>
      <c r="M1185" s="65" t="s">
        <v>136</v>
      </c>
      <c r="N1185" s="65" t="s">
        <v>10</v>
      </c>
      <c r="O1185" s="65" t="s">
        <v>137</v>
      </c>
      <c r="P1185" s="66" t="s">
        <v>27</v>
      </c>
      <c r="Q1185" s="67" t="s">
        <v>28</v>
      </c>
      <c r="S1185" s="97"/>
      <c r="T1185" s="97"/>
    </row>
    <row r="1186" spans="1:20" ht="12.75">
      <c r="A1186" s="417" t="s">
        <v>11</v>
      </c>
      <c r="B1186" s="31">
        <v>1</v>
      </c>
      <c r="C1186" s="517" t="s">
        <v>903</v>
      </c>
      <c r="D1186" s="518">
        <v>20</v>
      </c>
      <c r="E1186" s="518">
        <v>2011</v>
      </c>
      <c r="F1186" s="277">
        <v>5.444</v>
      </c>
      <c r="G1186" s="277">
        <f>37.85*0.051</f>
        <v>1.93035</v>
      </c>
      <c r="H1186" s="277"/>
      <c r="I1186" s="277">
        <f>+F1186-G1186</f>
        <v>3.51365</v>
      </c>
      <c r="J1186" s="355"/>
      <c r="K1186" s="277">
        <f>+I1186</f>
        <v>3.51365</v>
      </c>
      <c r="L1186" s="1183">
        <v>1113.2</v>
      </c>
      <c r="M1186" s="356">
        <f>K1186/L1186</f>
        <v>0.0031563510600071867</v>
      </c>
      <c r="N1186" s="275">
        <v>347.8</v>
      </c>
      <c r="O1186" s="357">
        <f>M1186*N1186</f>
        <v>1.0977788986704995</v>
      </c>
      <c r="P1186" s="357">
        <f>M1186*60*1000</f>
        <v>189.3810636004312</v>
      </c>
      <c r="Q1186" s="358">
        <f>P1186*N1186/1000</f>
        <v>65.86673392022998</v>
      </c>
      <c r="R1186" s="6"/>
      <c r="S1186" s="97"/>
      <c r="T1186" s="97"/>
    </row>
    <row r="1187" spans="1:20" ht="12.75">
      <c r="A1187" s="376"/>
      <c r="B1187" s="32">
        <v>2</v>
      </c>
      <c r="C1187" s="315"/>
      <c r="D1187" s="313"/>
      <c r="E1187" s="313"/>
      <c r="F1187" s="1027"/>
      <c r="G1187" s="1028"/>
      <c r="H1187" s="1028"/>
      <c r="I1187" s="1028"/>
      <c r="J1187" s="314"/>
      <c r="K1187" s="1028"/>
      <c r="L1187" s="1036"/>
      <c r="M1187" s="212"/>
      <c r="N1187" s="213"/>
      <c r="O1187" s="316"/>
      <c r="P1187" s="279"/>
      <c r="Q1187" s="215"/>
      <c r="S1187" s="97"/>
      <c r="T1187" s="97"/>
    </row>
    <row r="1188" spans="1:20" ht="12.75">
      <c r="A1188" s="376"/>
      <c r="B1188" s="32">
        <v>3</v>
      </c>
      <c r="C1188" s="315"/>
      <c r="D1188" s="313"/>
      <c r="E1188" s="313"/>
      <c r="F1188" s="1027"/>
      <c r="G1188" s="1028"/>
      <c r="H1188" s="1028"/>
      <c r="I1188" s="1028"/>
      <c r="J1188" s="314"/>
      <c r="K1188" s="1028"/>
      <c r="L1188" s="1036"/>
      <c r="M1188" s="212"/>
      <c r="N1188" s="311"/>
      <c r="O1188" s="316"/>
      <c r="P1188" s="279"/>
      <c r="Q1188" s="215"/>
      <c r="S1188" s="97"/>
      <c r="T1188" s="97"/>
    </row>
    <row r="1189" spans="1:20" ht="12.75">
      <c r="A1189" s="376"/>
      <c r="B1189" s="32">
        <v>4</v>
      </c>
      <c r="C1189" s="315"/>
      <c r="D1189" s="313"/>
      <c r="E1189" s="313"/>
      <c r="F1189" s="1027"/>
      <c r="G1189" s="1028"/>
      <c r="H1189" s="1028"/>
      <c r="I1189" s="1028"/>
      <c r="J1189" s="213"/>
      <c r="K1189" s="1028"/>
      <c r="L1189" s="1036"/>
      <c r="M1189" s="212"/>
      <c r="N1189" s="213"/>
      <c r="O1189" s="316"/>
      <c r="P1189" s="279"/>
      <c r="Q1189" s="215"/>
      <c r="S1189" s="97"/>
      <c r="T1189" s="97"/>
    </row>
    <row r="1190" spans="1:20" ht="12.75">
      <c r="A1190" s="376"/>
      <c r="B1190" s="32">
        <v>5</v>
      </c>
      <c r="C1190" s="315"/>
      <c r="D1190" s="313"/>
      <c r="E1190" s="313"/>
      <c r="F1190" s="1028"/>
      <c r="G1190" s="1028"/>
      <c r="H1190" s="1028"/>
      <c r="I1190" s="1028"/>
      <c r="J1190" s="314"/>
      <c r="K1190" s="1028"/>
      <c r="L1190" s="1036"/>
      <c r="M1190" s="212"/>
      <c r="N1190" s="213"/>
      <c r="O1190" s="316"/>
      <c r="P1190" s="279"/>
      <c r="Q1190" s="215"/>
      <c r="S1190" s="97"/>
      <c r="T1190" s="97"/>
    </row>
    <row r="1191" spans="1:20" ht="12.75">
      <c r="A1191" s="376"/>
      <c r="B1191" s="32">
        <v>6</v>
      </c>
      <c r="C1191" s="315"/>
      <c r="D1191" s="313"/>
      <c r="E1191" s="313"/>
      <c r="F1191" s="1028"/>
      <c r="G1191" s="1028"/>
      <c r="H1191" s="1028"/>
      <c r="I1191" s="1028"/>
      <c r="J1191" s="314"/>
      <c r="K1191" s="1028"/>
      <c r="L1191" s="1036"/>
      <c r="M1191" s="212"/>
      <c r="N1191" s="213"/>
      <c r="O1191" s="316"/>
      <c r="P1191" s="279"/>
      <c r="Q1191" s="215"/>
      <c r="S1191" s="97"/>
      <c r="T1191" s="97"/>
    </row>
    <row r="1192" spans="1:20" ht="12.75">
      <c r="A1192" s="376"/>
      <c r="B1192" s="32">
        <v>7</v>
      </c>
      <c r="C1192" s="315"/>
      <c r="D1192" s="313"/>
      <c r="E1192" s="313"/>
      <c r="F1192" s="1028"/>
      <c r="G1192" s="1028"/>
      <c r="H1192" s="1028"/>
      <c r="I1192" s="1028"/>
      <c r="J1192" s="314"/>
      <c r="K1192" s="1028"/>
      <c r="L1192" s="1036"/>
      <c r="M1192" s="212"/>
      <c r="N1192" s="311"/>
      <c r="O1192" s="316"/>
      <c r="P1192" s="279"/>
      <c r="Q1192" s="215"/>
      <c r="S1192" s="97"/>
      <c r="T1192" s="97"/>
    </row>
    <row r="1193" spans="1:20" ht="12.75">
      <c r="A1193" s="376"/>
      <c r="B1193" s="32">
        <v>8</v>
      </c>
      <c r="C1193" s="315"/>
      <c r="D1193" s="313"/>
      <c r="E1193" s="313"/>
      <c r="F1193" s="1028"/>
      <c r="G1193" s="1028"/>
      <c r="H1193" s="1028"/>
      <c r="I1193" s="1028"/>
      <c r="J1193" s="314"/>
      <c r="K1193" s="1028"/>
      <c r="L1193" s="1036"/>
      <c r="M1193" s="212"/>
      <c r="N1193" s="311"/>
      <c r="O1193" s="316"/>
      <c r="P1193" s="279"/>
      <c r="Q1193" s="215"/>
      <c r="S1193" s="97"/>
      <c r="T1193" s="97"/>
    </row>
    <row r="1194" spans="1:20" ht="12.75">
      <c r="A1194" s="376"/>
      <c r="B1194" s="32">
        <v>9</v>
      </c>
      <c r="C1194" s="69"/>
      <c r="D1194" s="263"/>
      <c r="E1194" s="265"/>
      <c r="F1194" s="578"/>
      <c r="G1194" s="572"/>
      <c r="H1194" s="572"/>
      <c r="I1194" s="572"/>
      <c r="J1194" s="18"/>
      <c r="K1194" s="572"/>
      <c r="L1194" s="106"/>
      <c r="M1194" s="574"/>
      <c r="N1194" s="573"/>
      <c r="O1194" s="573"/>
      <c r="P1194" s="157"/>
      <c r="Q1194" s="159"/>
      <c r="S1194" s="97"/>
      <c r="T1194" s="97"/>
    </row>
    <row r="1195" spans="1:20" ht="13.5" thickBot="1">
      <c r="A1195" s="377"/>
      <c r="B1195" s="70" t="s">
        <v>44</v>
      </c>
      <c r="C1195" s="71"/>
      <c r="D1195" s="340"/>
      <c r="E1195" s="340"/>
      <c r="F1195" s="328"/>
      <c r="G1195" s="328"/>
      <c r="H1195" s="328"/>
      <c r="I1195" s="328"/>
      <c r="J1195" s="341"/>
      <c r="K1195" s="328"/>
      <c r="L1195" s="817"/>
      <c r="M1195" s="161"/>
      <c r="N1195" s="160"/>
      <c r="O1195" s="160"/>
      <c r="P1195" s="160"/>
      <c r="Q1195" s="162"/>
      <c r="S1195" s="97"/>
      <c r="T1195" s="97"/>
    </row>
    <row r="1196" spans="1:20" ht="11.25" customHeight="1">
      <c r="A1196" s="411" t="s">
        <v>29</v>
      </c>
      <c r="B1196" s="146">
        <v>1</v>
      </c>
      <c r="C1196" s="281" t="s">
        <v>904</v>
      </c>
      <c r="D1196" s="197">
        <v>65</v>
      </c>
      <c r="E1196" s="197" t="s">
        <v>73</v>
      </c>
      <c r="F1196" s="608">
        <v>16</v>
      </c>
      <c r="G1196" s="608">
        <f>90.5*0.051</f>
        <v>4.6155</v>
      </c>
      <c r="H1196" s="608">
        <f>65*0.16</f>
        <v>10.4</v>
      </c>
      <c r="I1196" s="609">
        <f>+F1196-G1196-H1196</f>
        <v>0.9844999999999988</v>
      </c>
      <c r="J1196" s="614"/>
      <c r="K1196" s="608">
        <f>+I1196</f>
        <v>0.9844999999999988</v>
      </c>
      <c r="L1196" s="951">
        <v>2338.13</v>
      </c>
      <c r="M1196" s="184">
        <f>K1196/L1196</f>
        <v>0.00042106298623258707</v>
      </c>
      <c r="N1196" s="185">
        <v>347.8</v>
      </c>
      <c r="O1196" s="185">
        <f>M1196*N1196</f>
        <v>0.1464457066116938</v>
      </c>
      <c r="P1196" s="185">
        <f>M1196*60*1000</f>
        <v>25.263779173955225</v>
      </c>
      <c r="Q1196" s="259">
        <f>P1196*N1196/1000</f>
        <v>8.786742396701628</v>
      </c>
      <c r="S1196" s="97"/>
      <c r="T1196" s="97"/>
    </row>
    <row r="1197" spans="1:20" ht="12.75" customHeight="1">
      <c r="A1197" s="412"/>
      <c r="B1197" s="147">
        <v>2</v>
      </c>
      <c r="C1197" s="281" t="s">
        <v>905</v>
      </c>
      <c r="D1197" s="36">
        <v>19</v>
      </c>
      <c r="E1197" s="36" t="s">
        <v>73</v>
      </c>
      <c r="F1197" s="609">
        <v>6</v>
      </c>
      <c r="G1197" s="609">
        <f>35*0.051</f>
        <v>1.785</v>
      </c>
      <c r="H1197" s="609">
        <f>19*0.16</f>
        <v>3.04</v>
      </c>
      <c r="I1197" s="609">
        <f>+F1197-G1197-H1197</f>
        <v>1.1749999999999998</v>
      </c>
      <c r="J1197" s="615"/>
      <c r="K1197" s="609">
        <f>+I1197</f>
        <v>1.1749999999999998</v>
      </c>
      <c r="L1197" s="135">
        <v>741.77</v>
      </c>
      <c r="M1197" s="184">
        <f>K1197/L1197</f>
        <v>0.001584048963964571</v>
      </c>
      <c r="N1197" s="185">
        <v>347.8</v>
      </c>
      <c r="O1197" s="185">
        <f>M1197*N1197</f>
        <v>0.5509322296668778</v>
      </c>
      <c r="P1197" s="185">
        <f>M1197*60*1000</f>
        <v>95.04293783787425</v>
      </c>
      <c r="Q1197" s="259">
        <f>P1197*N1197/1000</f>
        <v>33.055933780012666</v>
      </c>
      <c r="S1197" s="97"/>
      <c r="T1197" s="97"/>
    </row>
    <row r="1198" spans="1:20" ht="12.75" customHeight="1">
      <c r="A1198" s="412"/>
      <c r="B1198" s="147">
        <v>3</v>
      </c>
      <c r="C1198" s="281" t="s">
        <v>906</v>
      </c>
      <c r="D1198" s="197">
        <v>20</v>
      </c>
      <c r="E1198" s="197" t="s">
        <v>73</v>
      </c>
      <c r="F1198" s="609">
        <v>6.885</v>
      </c>
      <c r="G1198" s="609">
        <f>32*0.051</f>
        <v>1.632</v>
      </c>
      <c r="H1198" s="609">
        <f>20*0.16</f>
        <v>3.2</v>
      </c>
      <c r="I1198" s="609">
        <f>+F1198-G1198-H1198</f>
        <v>2.053</v>
      </c>
      <c r="J1198" s="615"/>
      <c r="K1198" s="609">
        <f>+I1198</f>
        <v>2.053</v>
      </c>
      <c r="L1198" s="135">
        <v>1276.41</v>
      </c>
      <c r="M1198" s="164">
        <f>K1198/L1198</f>
        <v>0.0016084173580589308</v>
      </c>
      <c r="N1198" s="185">
        <v>347.8</v>
      </c>
      <c r="O1198" s="185">
        <f>M1198*N1198</f>
        <v>0.5594075571328961</v>
      </c>
      <c r="P1198" s="185">
        <f>M1198*60*1000</f>
        <v>96.50504148353585</v>
      </c>
      <c r="Q1198" s="251">
        <f>P1198*N1198/1000</f>
        <v>33.564453427973774</v>
      </c>
      <c r="S1198" s="97"/>
      <c r="T1198" s="97"/>
    </row>
    <row r="1199" spans="1:20" ht="12.75" customHeight="1">
      <c r="A1199" s="412"/>
      <c r="B1199" s="147">
        <v>4</v>
      </c>
      <c r="C1199" s="35" t="s">
        <v>907</v>
      </c>
      <c r="D1199" s="36">
        <v>45</v>
      </c>
      <c r="E1199" s="36" t="s">
        <v>73</v>
      </c>
      <c r="F1199" s="609">
        <v>14.091</v>
      </c>
      <c r="G1199" s="609">
        <f>51*0.051</f>
        <v>2.601</v>
      </c>
      <c r="H1199" s="609">
        <f>45*0.16</f>
        <v>7.2</v>
      </c>
      <c r="I1199" s="609">
        <f>+F1199-G1199-H1199</f>
        <v>4.289999999999998</v>
      </c>
      <c r="J1199" s="615"/>
      <c r="K1199" s="609">
        <f>+I1199</f>
        <v>4.289999999999998</v>
      </c>
      <c r="L1199" s="135">
        <v>2347.81</v>
      </c>
      <c r="M1199" s="164">
        <f>K1199/L1199</f>
        <v>0.0018272347421639734</v>
      </c>
      <c r="N1199" s="185">
        <v>347.8</v>
      </c>
      <c r="O1199" s="163">
        <f>M1199*N1199</f>
        <v>0.63551224332463</v>
      </c>
      <c r="P1199" s="185">
        <f>M1199*60*1000</f>
        <v>109.6340845298384</v>
      </c>
      <c r="Q1199" s="251">
        <f>P1199*N1199/1000</f>
        <v>38.1307345994778</v>
      </c>
      <c r="S1199" s="97"/>
      <c r="T1199" s="97"/>
    </row>
    <row r="1200" spans="1:20" ht="12.75" customHeight="1">
      <c r="A1200" s="412"/>
      <c r="B1200" s="147">
        <v>5</v>
      </c>
      <c r="C1200" s="35" t="s">
        <v>908</v>
      </c>
      <c r="D1200" s="36">
        <v>8</v>
      </c>
      <c r="E1200" s="36" t="s">
        <v>73</v>
      </c>
      <c r="F1200" s="609">
        <v>2.893</v>
      </c>
      <c r="G1200" s="609">
        <f>16.75*0.051</f>
        <v>0.85425</v>
      </c>
      <c r="H1200" s="609">
        <f>8*0.16</f>
        <v>1.28</v>
      </c>
      <c r="I1200" s="609">
        <f>+F1200-G1200-H1200</f>
        <v>0.7587499999999998</v>
      </c>
      <c r="J1200" s="615"/>
      <c r="K1200" s="609">
        <f>+I1200</f>
        <v>0.7587499999999998</v>
      </c>
      <c r="L1200" s="135">
        <v>366.39</v>
      </c>
      <c r="M1200" s="164">
        <f>K1200/L1200</f>
        <v>0.002070880755479134</v>
      </c>
      <c r="N1200" s="185">
        <v>347.8</v>
      </c>
      <c r="O1200" s="163">
        <f>M1200*N1200</f>
        <v>0.7202523267556428</v>
      </c>
      <c r="P1200" s="185">
        <f>M1200*60*1000</f>
        <v>124.25284532874802</v>
      </c>
      <c r="Q1200" s="251">
        <f>P1200*N1200/1000</f>
        <v>43.215139605338564</v>
      </c>
      <c r="S1200" s="97"/>
      <c r="T1200" s="97"/>
    </row>
    <row r="1201" spans="1:20" ht="12.75" customHeight="1">
      <c r="A1201" s="412"/>
      <c r="B1201" s="147">
        <v>6</v>
      </c>
      <c r="C1201" s="305" t="s">
        <v>909</v>
      </c>
      <c r="D1201" s="196">
        <v>20</v>
      </c>
      <c r="E1201" s="196" t="s">
        <v>73</v>
      </c>
      <c r="F1201" s="609">
        <v>9</v>
      </c>
      <c r="G1201" s="609">
        <f>47.25*0.051</f>
        <v>2.40975</v>
      </c>
      <c r="H1201" s="609">
        <f>20*0.16</f>
        <v>3.2</v>
      </c>
      <c r="I1201" s="609">
        <f>+F1201-G1201-H1201</f>
        <v>3.39025</v>
      </c>
      <c r="J1201" s="615"/>
      <c r="K1201" s="609">
        <f>+I1201</f>
        <v>3.39025</v>
      </c>
      <c r="L1201" s="135">
        <v>1634.6</v>
      </c>
      <c r="M1201" s="164">
        <f>K1201/L1201</f>
        <v>0.0020740548146335495</v>
      </c>
      <c r="N1201" s="185">
        <v>347.8</v>
      </c>
      <c r="O1201" s="163">
        <f>M1201*N1201</f>
        <v>0.7213562645295486</v>
      </c>
      <c r="P1201" s="185">
        <f>M1201*60*1000</f>
        <v>124.44328887801296</v>
      </c>
      <c r="Q1201" s="251">
        <f>P1201*N1201/1000</f>
        <v>43.28137587177291</v>
      </c>
      <c r="S1201" s="97"/>
      <c r="T1201" s="97"/>
    </row>
    <row r="1202" spans="1:20" ht="12.75" customHeight="1">
      <c r="A1202" s="412"/>
      <c r="B1202" s="147">
        <v>7</v>
      </c>
      <c r="C1202" s="281" t="s">
        <v>910</v>
      </c>
      <c r="D1202" s="36">
        <v>31</v>
      </c>
      <c r="E1202" s="36" t="s">
        <v>73</v>
      </c>
      <c r="F1202" s="609">
        <v>12.636</v>
      </c>
      <c r="G1202" s="609">
        <f>70.9*0.051</f>
        <v>3.6159</v>
      </c>
      <c r="H1202" s="609">
        <f>31*0.16</f>
        <v>4.96</v>
      </c>
      <c r="I1202" s="609">
        <f>+F1202-G1202-H1202</f>
        <v>4.060099999999999</v>
      </c>
      <c r="J1202" s="615"/>
      <c r="K1202" s="609">
        <f>+I1202</f>
        <v>4.060099999999999</v>
      </c>
      <c r="L1202" s="135">
        <v>1742.32</v>
      </c>
      <c r="M1202" s="164">
        <f>K1202/L1202</f>
        <v>0.002330283759584921</v>
      </c>
      <c r="N1202" s="185">
        <v>347.8</v>
      </c>
      <c r="O1202" s="163">
        <f>M1202*N1202</f>
        <v>0.8104726915836354</v>
      </c>
      <c r="P1202" s="185">
        <f>M1202*60*1000</f>
        <v>139.81702557509527</v>
      </c>
      <c r="Q1202" s="251">
        <f>P1202*N1202/1000</f>
        <v>48.62836149501813</v>
      </c>
      <c r="S1202" s="97"/>
      <c r="T1202" s="97"/>
    </row>
    <row r="1203" spans="1:20" ht="12.75" customHeight="1">
      <c r="A1203" s="412"/>
      <c r="B1203" s="36">
        <v>8</v>
      </c>
      <c r="C1203" s="35" t="s">
        <v>911</v>
      </c>
      <c r="D1203" s="36">
        <v>19</v>
      </c>
      <c r="E1203" s="36" t="s">
        <v>73</v>
      </c>
      <c r="F1203" s="609">
        <v>6.311</v>
      </c>
      <c r="G1203" s="609">
        <f>21*0.051</f>
        <v>1.071</v>
      </c>
      <c r="H1203" s="609">
        <f>19*0.16</f>
        <v>3.04</v>
      </c>
      <c r="I1203" s="609">
        <f>+F1203-G1203-H1203</f>
        <v>2.2</v>
      </c>
      <c r="J1203" s="615"/>
      <c r="K1203" s="609">
        <f>+I1203</f>
        <v>2.2</v>
      </c>
      <c r="L1203" s="135">
        <v>888.3</v>
      </c>
      <c r="M1203" s="164">
        <f>K1203/L1203</f>
        <v>0.002476640774513115</v>
      </c>
      <c r="N1203" s="185">
        <v>347.8</v>
      </c>
      <c r="O1203" s="163">
        <f>M1203*N1203</f>
        <v>0.8613756613756615</v>
      </c>
      <c r="P1203" s="185">
        <f>M1203*60*1000</f>
        <v>148.5984464707869</v>
      </c>
      <c r="Q1203" s="251">
        <f>P1203*N1203/1000</f>
        <v>51.68253968253969</v>
      </c>
      <c r="S1203" s="97"/>
      <c r="T1203" s="97"/>
    </row>
    <row r="1204" spans="1:20" ht="12.75" customHeight="1">
      <c r="A1204" s="412"/>
      <c r="B1204" s="36">
        <v>9</v>
      </c>
      <c r="C1204" s="35" t="s">
        <v>912</v>
      </c>
      <c r="D1204" s="36">
        <v>20</v>
      </c>
      <c r="E1204" s="36" t="s">
        <v>73</v>
      </c>
      <c r="F1204" s="609">
        <v>6</v>
      </c>
      <c r="G1204" s="609">
        <f>33*0.051</f>
        <v>1.6829999999999998</v>
      </c>
      <c r="H1204" s="609">
        <f>20*0.01</f>
        <v>0.2</v>
      </c>
      <c r="I1204" s="609">
        <f>+F1204-G1204-H1204</f>
        <v>4.117</v>
      </c>
      <c r="J1204" s="615"/>
      <c r="K1204" s="609">
        <f>+I1204</f>
        <v>4.117</v>
      </c>
      <c r="L1204" s="135">
        <v>1568.18</v>
      </c>
      <c r="M1204" s="164">
        <f>K1204/L1204</f>
        <v>0.0026253363772015966</v>
      </c>
      <c r="N1204" s="185">
        <v>347.8</v>
      </c>
      <c r="O1204" s="163">
        <f>M1204*N1204</f>
        <v>0.9130919919907153</v>
      </c>
      <c r="P1204" s="185">
        <f>M1204*60*1000</f>
        <v>157.5201826320958</v>
      </c>
      <c r="Q1204" s="251">
        <f>P1204*N1204/1000</f>
        <v>54.78551951944293</v>
      </c>
      <c r="S1204" s="97"/>
      <c r="T1204" s="97"/>
    </row>
    <row r="1205" spans="1:20" ht="13.5" customHeight="1" thickBot="1">
      <c r="A1205" s="413"/>
      <c r="B1205" s="103"/>
      <c r="C1205" s="91"/>
      <c r="D1205" s="39"/>
      <c r="E1205" s="39"/>
      <c r="F1205" s="613"/>
      <c r="G1205" s="613"/>
      <c r="H1205" s="613"/>
      <c r="I1205" s="613"/>
      <c r="J1205" s="276"/>
      <c r="K1205" s="613"/>
      <c r="L1205" s="276"/>
      <c r="M1205" s="332"/>
      <c r="N1205" s="260"/>
      <c r="O1205" s="522"/>
      <c r="P1205" s="260"/>
      <c r="Q1205" s="261"/>
      <c r="S1205" s="97"/>
      <c r="T1205" s="97"/>
    </row>
    <row r="1206" spans="1:20" ht="12.75">
      <c r="A1206" s="693" t="s">
        <v>30</v>
      </c>
      <c r="B1206" s="653">
        <v>1</v>
      </c>
      <c r="C1206" s="698" t="s">
        <v>913</v>
      </c>
      <c r="D1206" s="653">
        <v>18</v>
      </c>
      <c r="E1206" s="653" t="s">
        <v>73</v>
      </c>
      <c r="F1206" s="850">
        <v>10.326</v>
      </c>
      <c r="G1206" s="850">
        <f>26*0.051</f>
        <v>1.3259999999999998</v>
      </c>
      <c r="H1206" s="850">
        <f>18*0.16</f>
        <v>2.88</v>
      </c>
      <c r="I1206" s="850">
        <f>+F1206-G1206-H1206</f>
        <v>6.12</v>
      </c>
      <c r="J1206" s="702"/>
      <c r="K1206" s="850">
        <f>+I1206</f>
        <v>6.12</v>
      </c>
      <c r="L1206" s="918">
        <v>967.9</v>
      </c>
      <c r="M1206" s="675">
        <f>K1206/L1206</f>
        <v>0.0063229672486827156</v>
      </c>
      <c r="N1206" s="674">
        <v>347.8</v>
      </c>
      <c r="O1206" s="674">
        <f>M1206*N1206</f>
        <v>2.1991280090918486</v>
      </c>
      <c r="P1206" s="674">
        <f>M1206*60*1000</f>
        <v>379.37803492096293</v>
      </c>
      <c r="Q1206" s="676">
        <f>P1206*N1206/1000</f>
        <v>131.9476805455109</v>
      </c>
      <c r="S1206" s="97"/>
      <c r="T1206" s="97"/>
    </row>
    <row r="1207" spans="1:20" ht="12.75">
      <c r="A1207" s="694"/>
      <c r="B1207" s="367">
        <v>2</v>
      </c>
      <c r="C1207" s="633" t="s">
        <v>914</v>
      </c>
      <c r="D1207" s="367">
        <v>20</v>
      </c>
      <c r="E1207" s="367" t="s">
        <v>73</v>
      </c>
      <c r="F1207" s="677">
        <v>11</v>
      </c>
      <c r="G1207" s="677">
        <f>21.5*0.051</f>
        <v>1.0965</v>
      </c>
      <c r="H1207" s="677">
        <f>20*0.16</f>
        <v>3.2</v>
      </c>
      <c r="I1207" s="677">
        <f>+F1207-G1207-H1207</f>
        <v>6.703499999999999</v>
      </c>
      <c r="J1207" s="704"/>
      <c r="K1207" s="677">
        <f>+I1207</f>
        <v>6.703499999999999</v>
      </c>
      <c r="L1207" s="652">
        <v>1046.02</v>
      </c>
      <c r="M1207" s="679">
        <f>K1207/L1207</f>
        <v>0.006408577273857095</v>
      </c>
      <c r="N1207" s="678">
        <v>347.8</v>
      </c>
      <c r="O1207" s="678">
        <f>M1207*N1207</f>
        <v>2.2289031758474978</v>
      </c>
      <c r="P1207" s="678">
        <f>M1207*60*1000</f>
        <v>384.5146364314257</v>
      </c>
      <c r="Q1207" s="680">
        <f>P1207*N1207/1000</f>
        <v>133.73419055084986</v>
      </c>
      <c r="S1207" s="97"/>
      <c r="T1207" s="97"/>
    </row>
    <row r="1208" spans="1:20" ht="12.75">
      <c r="A1208" s="694"/>
      <c r="B1208" s="367">
        <v>3</v>
      </c>
      <c r="C1208" s="633" t="s">
        <v>915</v>
      </c>
      <c r="D1208" s="367">
        <v>4</v>
      </c>
      <c r="E1208" s="367" t="s">
        <v>73</v>
      </c>
      <c r="F1208" s="677">
        <v>1.182</v>
      </c>
      <c r="G1208" s="677"/>
      <c r="H1208" s="677"/>
      <c r="I1208" s="677">
        <f>+F1208</f>
        <v>1.182</v>
      </c>
      <c r="J1208" s="704"/>
      <c r="K1208" s="677">
        <f>+I1208</f>
        <v>1.182</v>
      </c>
      <c r="L1208" s="652">
        <v>183.78</v>
      </c>
      <c r="M1208" s="679">
        <f>K1208/L1208</f>
        <v>0.00643160300359125</v>
      </c>
      <c r="N1208" s="678">
        <v>347.8</v>
      </c>
      <c r="O1208" s="678">
        <f>M1208*N1208</f>
        <v>2.2369115246490368</v>
      </c>
      <c r="P1208" s="678">
        <f>M1208*60*1000</f>
        <v>385.896180215475</v>
      </c>
      <c r="Q1208" s="680">
        <f>P1208*N1208/1000</f>
        <v>134.2146914789422</v>
      </c>
      <c r="S1208" s="97"/>
      <c r="T1208" s="97"/>
    </row>
    <row r="1209" spans="1:20" ht="12.75">
      <c r="A1209" s="694"/>
      <c r="B1209" s="367">
        <v>4</v>
      </c>
      <c r="C1209" s="633" t="s">
        <v>916</v>
      </c>
      <c r="D1209" s="367">
        <v>20</v>
      </c>
      <c r="E1209" s="367" t="s">
        <v>73</v>
      </c>
      <c r="F1209" s="677">
        <v>11.182</v>
      </c>
      <c r="G1209" s="677">
        <f>23.7*0.051</f>
        <v>1.2086999999999999</v>
      </c>
      <c r="H1209" s="677">
        <f>20*0.16</f>
        <v>3.2</v>
      </c>
      <c r="I1209" s="677">
        <f>+F1209-G1209-H1209</f>
        <v>6.7733</v>
      </c>
      <c r="J1209" s="704"/>
      <c r="K1209" s="677">
        <f>+I1209</f>
        <v>6.7733</v>
      </c>
      <c r="L1209" s="652">
        <v>1047.37</v>
      </c>
      <c r="M1209" s="679">
        <f>K1209/L1209</f>
        <v>0.006466960100060151</v>
      </c>
      <c r="N1209" s="678">
        <v>347.8</v>
      </c>
      <c r="O1209" s="678">
        <f>M1209*N1209</f>
        <v>2.2492087228009208</v>
      </c>
      <c r="P1209" s="678">
        <f>M1209*60*1000</f>
        <v>388.01760600360905</v>
      </c>
      <c r="Q1209" s="680">
        <f>P1209*N1209/1000</f>
        <v>134.95252336805524</v>
      </c>
      <c r="S1209" s="97"/>
      <c r="T1209" s="97"/>
    </row>
    <row r="1210" spans="1:20" ht="12.75">
      <c r="A1210" s="694"/>
      <c r="B1210" s="367">
        <v>5</v>
      </c>
      <c r="C1210" s="531" t="s">
        <v>917</v>
      </c>
      <c r="D1210" s="367">
        <v>6</v>
      </c>
      <c r="E1210" s="367" t="s">
        <v>73</v>
      </c>
      <c r="F1210" s="677">
        <v>1.2</v>
      </c>
      <c r="G1210" s="677"/>
      <c r="H1210" s="677"/>
      <c r="I1210" s="677">
        <f>+F1210</f>
        <v>1.2</v>
      </c>
      <c r="J1210" s="704"/>
      <c r="K1210" s="677">
        <f>+I1210</f>
        <v>1.2</v>
      </c>
      <c r="L1210" s="652">
        <v>183.02</v>
      </c>
      <c r="M1210" s="679">
        <f>K1210/L1210</f>
        <v>0.006556660474265107</v>
      </c>
      <c r="N1210" s="678">
        <v>347.8</v>
      </c>
      <c r="O1210" s="678">
        <f>M1210*N1210</f>
        <v>2.2804065129494044</v>
      </c>
      <c r="P1210" s="678">
        <f>M1210*60*1000</f>
        <v>393.39962845590645</v>
      </c>
      <c r="Q1210" s="680">
        <f>P1210*N1210/1000</f>
        <v>136.8243907769643</v>
      </c>
      <c r="S1210" s="97"/>
      <c r="T1210" s="97"/>
    </row>
    <row r="1211" spans="1:20" ht="12.75">
      <c r="A1211" s="694"/>
      <c r="B1211" s="367">
        <v>6</v>
      </c>
      <c r="C1211" s="531" t="s">
        <v>918</v>
      </c>
      <c r="D1211" s="368">
        <v>4</v>
      </c>
      <c r="E1211" s="368" t="s">
        <v>73</v>
      </c>
      <c r="F1211" s="677">
        <v>1.738</v>
      </c>
      <c r="G1211" s="677"/>
      <c r="H1211" s="677"/>
      <c r="I1211" s="677">
        <f>+F1211</f>
        <v>1.738</v>
      </c>
      <c r="J1211" s="704"/>
      <c r="K1211" s="677">
        <f>+I1211</f>
        <v>1.738</v>
      </c>
      <c r="L1211" s="652">
        <v>253.29</v>
      </c>
      <c r="M1211" s="679">
        <f>K1211/L1211</f>
        <v>0.0068617000276363065</v>
      </c>
      <c r="N1211" s="678">
        <v>347.8</v>
      </c>
      <c r="O1211" s="678">
        <f>M1211*N1211</f>
        <v>2.3864992696119076</v>
      </c>
      <c r="P1211" s="678">
        <f>M1211*60*1000</f>
        <v>411.7020016581784</v>
      </c>
      <c r="Q1211" s="680">
        <f>P1211*N1211/1000</f>
        <v>143.18995617671445</v>
      </c>
      <c r="S1211" s="97"/>
      <c r="T1211" s="97"/>
    </row>
    <row r="1212" spans="1:20" ht="12.75">
      <c r="A1212" s="694"/>
      <c r="B1212" s="367">
        <v>7</v>
      </c>
      <c r="C1212" s="633" t="s">
        <v>919</v>
      </c>
      <c r="D1212" s="367">
        <v>3</v>
      </c>
      <c r="E1212" s="367" t="s">
        <v>73</v>
      </c>
      <c r="F1212" s="677">
        <v>1.315</v>
      </c>
      <c r="G1212" s="677"/>
      <c r="H1212" s="677"/>
      <c r="I1212" s="677">
        <f>+F1212</f>
        <v>1.315</v>
      </c>
      <c r="J1212" s="704"/>
      <c r="K1212" s="677">
        <f>+I1212</f>
        <v>1.315</v>
      </c>
      <c r="L1212" s="652">
        <v>177.12</v>
      </c>
      <c r="M1212" s="679">
        <f>K1212/L1212</f>
        <v>0.0074243450767841005</v>
      </c>
      <c r="N1212" s="678">
        <v>347.8</v>
      </c>
      <c r="O1212" s="678">
        <f>M1212*N1212</f>
        <v>2.5821872177055103</v>
      </c>
      <c r="P1212" s="678">
        <f>M1212*60*1000</f>
        <v>445.460704607046</v>
      </c>
      <c r="Q1212" s="680">
        <f>P1212*N1212/1000</f>
        <v>154.9312330623306</v>
      </c>
      <c r="S1212" s="97"/>
      <c r="T1212" s="97"/>
    </row>
    <row r="1213" spans="1:20" ht="12.75">
      <c r="A1213" s="694"/>
      <c r="B1213" s="367">
        <v>8</v>
      </c>
      <c r="C1213" s="633" t="s">
        <v>920</v>
      </c>
      <c r="D1213" s="367">
        <v>30</v>
      </c>
      <c r="E1213" s="367" t="s">
        <v>73</v>
      </c>
      <c r="F1213" s="677">
        <v>19.084</v>
      </c>
      <c r="G1213" s="677">
        <f>43.93*0.051</f>
        <v>2.24043</v>
      </c>
      <c r="H1213" s="677">
        <f>30*0.16</f>
        <v>4.8</v>
      </c>
      <c r="I1213" s="677">
        <f>+F1213-G1213-H1213</f>
        <v>12.043569999999999</v>
      </c>
      <c r="J1213" s="704"/>
      <c r="K1213" s="677">
        <f>+I1213</f>
        <v>12.043569999999999</v>
      </c>
      <c r="L1213" s="652">
        <v>1602.12</v>
      </c>
      <c r="M1213" s="679">
        <f>K1213/L1213</f>
        <v>0.007517270866102414</v>
      </c>
      <c r="N1213" s="678">
        <v>347.8</v>
      </c>
      <c r="O1213" s="678">
        <f>M1213*N1213</f>
        <v>2.61450680723042</v>
      </c>
      <c r="P1213" s="678">
        <f>M1213*60*1000</f>
        <v>451.03625196614485</v>
      </c>
      <c r="Q1213" s="680">
        <f>P1213*N1213/1000</f>
        <v>156.8704084338252</v>
      </c>
      <c r="S1213" s="97"/>
      <c r="T1213" s="97"/>
    </row>
    <row r="1214" spans="1:20" ht="12.75">
      <c r="A1214" s="694"/>
      <c r="B1214" s="367">
        <v>9</v>
      </c>
      <c r="C1214" s="633" t="s">
        <v>921</v>
      </c>
      <c r="D1214" s="367">
        <v>8</v>
      </c>
      <c r="E1214" s="367" t="s">
        <v>73</v>
      </c>
      <c r="F1214" s="677">
        <v>4.69</v>
      </c>
      <c r="G1214" s="677">
        <f>10*0.051</f>
        <v>0.51</v>
      </c>
      <c r="H1214" s="677">
        <f>8*0.01</f>
        <v>0.08</v>
      </c>
      <c r="I1214" s="677">
        <f>+F1214-G1214-H1214</f>
        <v>4.1000000000000005</v>
      </c>
      <c r="J1214" s="704"/>
      <c r="K1214" s="677">
        <f>+I1214</f>
        <v>4.1000000000000005</v>
      </c>
      <c r="L1214" s="652">
        <v>509.62</v>
      </c>
      <c r="M1214" s="679">
        <f>K1214/L1214</f>
        <v>0.008045210156587263</v>
      </c>
      <c r="N1214" s="678">
        <v>347.8</v>
      </c>
      <c r="O1214" s="678">
        <f>M1214*N1214</f>
        <v>2.79812409246105</v>
      </c>
      <c r="P1214" s="678">
        <f>M1214*60*1000</f>
        <v>482.71260939523575</v>
      </c>
      <c r="Q1214" s="680">
        <f>P1214*N1214/1000</f>
        <v>167.887445547663</v>
      </c>
      <c r="S1214" s="97"/>
      <c r="T1214" s="97"/>
    </row>
    <row r="1215" spans="1:20" ht="13.5" thickBot="1">
      <c r="A1215" s="695"/>
      <c r="B1215" s="535">
        <v>10</v>
      </c>
      <c r="C1215" s="870"/>
      <c r="D1215" s="535"/>
      <c r="E1215" s="535"/>
      <c r="F1215" s="681"/>
      <c r="G1215" s="681"/>
      <c r="H1215" s="681"/>
      <c r="I1215" s="681"/>
      <c r="J1215" s="658"/>
      <c r="K1215" s="681"/>
      <c r="L1215" s="658"/>
      <c r="M1215" s="684"/>
      <c r="N1215" s="683"/>
      <c r="O1215" s="683"/>
      <c r="P1215" s="683"/>
      <c r="Q1215" s="685"/>
      <c r="S1215" s="97"/>
      <c r="T1215" s="97"/>
    </row>
    <row r="1216" spans="1:20" ht="12.75">
      <c r="A1216" s="406" t="s">
        <v>12</v>
      </c>
      <c r="B1216" s="88">
        <v>1</v>
      </c>
      <c r="C1216" s="349" t="s">
        <v>922</v>
      </c>
      <c r="D1216" s="346">
        <v>25</v>
      </c>
      <c r="E1216" s="346" t="s">
        <v>73</v>
      </c>
      <c r="F1216" s="726">
        <v>14.181</v>
      </c>
      <c r="G1216" s="726">
        <f>25*0.051</f>
        <v>1.275</v>
      </c>
      <c r="H1216" s="726">
        <f>22.75*0.16</f>
        <v>3.64</v>
      </c>
      <c r="I1216" s="726">
        <f>+F1216-G1216-H1216</f>
        <v>9.265999999999998</v>
      </c>
      <c r="J1216" s="713"/>
      <c r="K1216" s="726">
        <f>+I1216</f>
        <v>9.265999999999998</v>
      </c>
      <c r="L1216" s="922">
        <v>1133.69</v>
      </c>
      <c r="M1216" s="714">
        <f>K1216/L1216</f>
        <v>0.00817331016415422</v>
      </c>
      <c r="N1216" s="715">
        <v>347.8</v>
      </c>
      <c r="O1216" s="715">
        <f>M1216*N1216</f>
        <v>2.8426772750928375</v>
      </c>
      <c r="P1216" s="715">
        <f>M1216*60*1000</f>
        <v>490.39860984925315</v>
      </c>
      <c r="Q1216" s="716">
        <f>P1216*N1216/1000</f>
        <v>170.56063650557027</v>
      </c>
      <c r="S1216" s="97"/>
      <c r="T1216" s="97"/>
    </row>
    <row r="1217" spans="1:20" ht="12.75">
      <c r="A1217" s="407"/>
      <c r="B1217" s="42">
        <v>2</v>
      </c>
      <c r="C1217" s="282" t="s">
        <v>923</v>
      </c>
      <c r="D1217" s="42">
        <v>8</v>
      </c>
      <c r="E1217" s="42" t="s">
        <v>73</v>
      </c>
      <c r="F1217" s="727">
        <v>4.749</v>
      </c>
      <c r="G1217" s="727">
        <f>7*0.051</f>
        <v>0.357</v>
      </c>
      <c r="H1217" s="727">
        <f>7.5*0.16</f>
        <v>1.2</v>
      </c>
      <c r="I1217" s="727">
        <f>+F1217-G1217-H1217</f>
        <v>3.1919999999999993</v>
      </c>
      <c r="J1217" s="720"/>
      <c r="K1217" s="727">
        <f>+I1217</f>
        <v>3.1919999999999993</v>
      </c>
      <c r="L1217" s="751">
        <v>365.77</v>
      </c>
      <c r="M1217" s="721">
        <f>K1217/L1217</f>
        <v>0.008726795527243895</v>
      </c>
      <c r="N1217" s="722">
        <v>347.8</v>
      </c>
      <c r="O1217" s="722">
        <f>M1217*N1217</f>
        <v>3.0351794843754267</v>
      </c>
      <c r="P1217" s="722">
        <f>M1217*60*1000</f>
        <v>523.6077316346338</v>
      </c>
      <c r="Q1217" s="723">
        <f>P1217*N1217/1000</f>
        <v>182.11076906252563</v>
      </c>
      <c r="S1217" s="97"/>
      <c r="T1217" s="97"/>
    </row>
    <row r="1218" spans="1:20" ht="12.75">
      <c r="A1218" s="407"/>
      <c r="B1218" s="42">
        <v>3</v>
      </c>
      <c r="C1218" s="90" t="s">
        <v>924</v>
      </c>
      <c r="D1218" s="42">
        <v>14</v>
      </c>
      <c r="E1218" s="42" t="s">
        <v>73</v>
      </c>
      <c r="F1218" s="727">
        <v>6.655</v>
      </c>
      <c r="G1218" s="727">
        <f>18*0.051</f>
        <v>0.9179999999999999</v>
      </c>
      <c r="H1218" s="727">
        <f>14*0.01</f>
        <v>0.14</v>
      </c>
      <c r="I1218" s="727">
        <f>+F1218-G1218-H1218</f>
        <v>5.597</v>
      </c>
      <c r="J1218" s="42"/>
      <c r="K1218" s="727">
        <f>+I1218</f>
        <v>5.597</v>
      </c>
      <c r="L1218" s="751">
        <v>635.91</v>
      </c>
      <c r="M1218" s="721">
        <f>K1218/L1218</f>
        <v>0.00880155996917803</v>
      </c>
      <c r="N1218" s="722">
        <v>347.8</v>
      </c>
      <c r="O1218" s="722">
        <f>M1218*N1218</f>
        <v>3.061182557280119</v>
      </c>
      <c r="P1218" s="722">
        <f>M1218*60*1000</f>
        <v>528.0935981506818</v>
      </c>
      <c r="Q1218" s="723">
        <f>P1218*N1218/1000</f>
        <v>183.67095343680714</v>
      </c>
      <c r="S1218" s="97"/>
      <c r="T1218" s="97"/>
    </row>
    <row r="1219" spans="1:20" ht="12.75">
      <c r="A1219" s="407"/>
      <c r="B1219" s="42">
        <v>4</v>
      </c>
      <c r="C1219" s="282" t="s">
        <v>925</v>
      </c>
      <c r="D1219" s="42">
        <v>16</v>
      </c>
      <c r="E1219" s="283" t="s">
        <v>73</v>
      </c>
      <c r="F1219" s="727">
        <v>5.751</v>
      </c>
      <c r="G1219" s="727">
        <f>19.5*0.051</f>
        <v>0.9944999999999999</v>
      </c>
      <c r="H1219" s="727">
        <f>0.01*16</f>
        <v>0.16</v>
      </c>
      <c r="I1219" s="727">
        <f>+F1219-G1219-H1219</f>
        <v>4.596500000000001</v>
      </c>
      <c r="J1219" s="720"/>
      <c r="K1219" s="727">
        <f>+I1219</f>
        <v>4.596500000000001</v>
      </c>
      <c r="L1219" s="751">
        <v>507.62</v>
      </c>
      <c r="M1219" s="721">
        <f>K1219/L1219</f>
        <v>0.00905500177297979</v>
      </c>
      <c r="N1219" s="722">
        <v>347.8</v>
      </c>
      <c r="O1219" s="722">
        <f>M1219*N1219</f>
        <v>3.1493296166423708</v>
      </c>
      <c r="P1219" s="722">
        <f>M1219*60*1000</f>
        <v>543.3001063787873</v>
      </c>
      <c r="Q1219" s="723">
        <f>P1219*N1219/1000</f>
        <v>188.95977699854222</v>
      </c>
      <c r="S1219" s="97"/>
      <c r="T1219" s="97"/>
    </row>
    <row r="1220" spans="1:20" ht="12.75">
      <c r="A1220" s="407"/>
      <c r="B1220" s="42">
        <v>5</v>
      </c>
      <c r="C1220" s="282" t="s">
        <v>926</v>
      </c>
      <c r="D1220" s="283">
        <v>5</v>
      </c>
      <c r="E1220" s="283" t="s">
        <v>73</v>
      </c>
      <c r="F1220" s="727">
        <v>3.15</v>
      </c>
      <c r="G1220" s="727">
        <f>5.58*0.051</f>
        <v>0.28458</v>
      </c>
      <c r="H1220" s="727">
        <f>5*0.16</f>
        <v>0.8</v>
      </c>
      <c r="I1220" s="727">
        <f>+F1220-G1220-H1220</f>
        <v>2.0654199999999996</v>
      </c>
      <c r="J1220" s="720"/>
      <c r="K1220" s="727">
        <f>+I1220</f>
        <v>2.0654199999999996</v>
      </c>
      <c r="L1220" s="751">
        <v>220.11</v>
      </c>
      <c r="M1220" s="721">
        <f>K1220/L1220</f>
        <v>0.009383580936804322</v>
      </c>
      <c r="N1220" s="722">
        <v>347.8</v>
      </c>
      <c r="O1220" s="722">
        <f>M1220*N1220</f>
        <v>3.2636094498205432</v>
      </c>
      <c r="P1220" s="722">
        <f>M1220*60*1000</f>
        <v>563.0148562082593</v>
      </c>
      <c r="Q1220" s="723">
        <f>P1220*N1220/1000</f>
        <v>195.81656698923257</v>
      </c>
      <c r="S1220" s="97"/>
      <c r="T1220" s="97"/>
    </row>
    <row r="1221" spans="1:20" ht="12.75">
      <c r="A1221" s="407"/>
      <c r="B1221" s="42">
        <v>6</v>
      </c>
      <c r="C1221" s="282" t="s">
        <v>927</v>
      </c>
      <c r="D1221" s="42">
        <v>8</v>
      </c>
      <c r="E1221" s="42" t="s">
        <v>73</v>
      </c>
      <c r="F1221" s="727">
        <v>4.35</v>
      </c>
      <c r="G1221" s="727"/>
      <c r="H1221" s="727"/>
      <c r="I1221" s="727">
        <v>4.35</v>
      </c>
      <c r="J1221" s="720"/>
      <c r="K1221" s="727">
        <f>+I1221</f>
        <v>4.35</v>
      </c>
      <c r="L1221" s="751">
        <v>397.76</v>
      </c>
      <c r="M1221" s="721">
        <f>K1221/L1221</f>
        <v>0.010936242960579243</v>
      </c>
      <c r="N1221" s="722">
        <v>347.8</v>
      </c>
      <c r="O1221" s="722">
        <f>M1221*N1221</f>
        <v>3.803625301689461</v>
      </c>
      <c r="P1221" s="722">
        <f>M1221*60*1000</f>
        <v>656.1745776347547</v>
      </c>
      <c r="Q1221" s="723">
        <f>P1221*N1221/1000</f>
        <v>228.21751810136766</v>
      </c>
      <c r="S1221" s="97"/>
      <c r="T1221" s="97"/>
    </row>
    <row r="1222" spans="1:20" ht="12.75">
      <c r="A1222" s="407"/>
      <c r="B1222" s="42">
        <v>7</v>
      </c>
      <c r="C1222" s="282" t="s">
        <v>928</v>
      </c>
      <c r="D1222" s="283">
        <v>4</v>
      </c>
      <c r="E1222" s="283" t="s">
        <v>73</v>
      </c>
      <c r="F1222" s="727">
        <v>2.691</v>
      </c>
      <c r="G1222" s="727">
        <f>7.75*0.051</f>
        <v>0.39525</v>
      </c>
      <c r="H1222" s="727">
        <f>2*0.16</f>
        <v>0.32</v>
      </c>
      <c r="I1222" s="727">
        <f>+F1222-G1222-H1222</f>
        <v>1.97575</v>
      </c>
      <c r="J1222" s="720"/>
      <c r="K1222" s="727">
        <f>+I1222</f>
        <v>1.97575</v>
      </c>
      <c r="L1222" s="751">
        <v>151.85</v>
      </c>
      <c r="M1222" s="721">
        <f>K1222/L1222</f>
        <v>0.013011195258478762</v>
      </c>
      <c r="N1222" s="722">
        <v>347.8</v>
      </c>
      <c r="O1222" s="722">
        <f>M1222*N1222</f>
        <v>4.5252937108989135</v>
      </c>
      <c r="P1222" s="722">
        <f>M1222*60*1000</f>
        <v>780.6717155087257</v>
      </c>
      <c r="Q1222" s="723">
        <f>P1222*N1222/1000</f>
        <v>271.51762265393484</v>
      </c>
      <c r="S1222" s="97"/>
      <c r="T1222" s="97"/>
    </row>
    <row r="1223" spans="1:20" ht="12.75">
      <c r="A1223" s="407"/>
      <c r="B1223" s="42">
        <v>8</v>
      </c>
      <c r="C1223" s="52" t="s">
        <v>929</v>
      </c>
      <c r="D1223" s="42">
        <v>6</v>
      </c>
      <c r="E1223" s="42" t="s">
        <v>73</v>
      </c>
      <c r="F1223" s="727">
        <v>3.499</v>
      </c>
      <c r="G1223" s="727"/>
      <c r="H1223" s="727"/>
      <c r="I1223" s="727">
        <f>+F1223</f>
        <v>3.499</v>
      </c>
      <c r="J1223" s="720"/>
      <c r="K1223" s="727">
        <f>+I1223</f>
        <v>3.499</v>
      </c>
      <c r="L1223" s="751">
        <v>234.73</v>
      </c>
      <c r="M1223" s="721">
        <f>K1223/L1223</f>
        <v>0.014906488305712949</v>
      </c>
      <c r="N1223" s="722">
        <v>347.8</v>
      </c>
      <c r="O1223" s="722">
        <f>M1223*N1223</f>
        <v>5.184476632726963</v>
      </c>
      <c r="P1223" s="722">
        <f>M1223*60*1000</f>
        <v>894.3892983427769</v>
      </c>
      <c r="Q1223" s="723">
        <f>P1223*N1223/1000</f>
        <v>311.06859796361783</v>
      </c>
      <c r="S1223" s="97"/>
      <c r="T1223" s="97"/>
    </row>
    <row r="1224" spans="1:20" ht="12.75">
      <c r="A1224" s="407"/>
      <c r="B1224" s="42">
        <v>9</v>
      </c>
      <c r="C1224" s="52" t="s">
        <v>930</v>
      </c>
      <c r="D1224" s="42">
        <v>3</v>
      </c>
      <c r="E1224" s="42" t="s">
        <v>73</v>
      </c>
      <c r="F1224" s="727">
        <f>1.164+0.544+0.393</f>
        <v>2.101</v>
      </c>
      <c r="G1224" s="727"/>
      <c r="H1224" s="727"/>
      <c r="I1224" s="727">
        <f>+F1224</f>
        <v>2.101</v>
      </c>
      <c r="J1224" s="720"/>
      <c r="K1224" s="727">
        <f>+I1224</f>
        <v>2.101</v>
      </c>
      <c r="L1224" s="751">
        <f>41.49+56.35+41.46</f>
        <v>139.3</v>
      </c>
      <c r="M1224" s="721">
        <f>K1224/L1224</f>
        <v>0.015082555635319453</v>
      </c>
      <c r="N1224" s="722">
        <v>347.8</v>
      </c>
      <c r="O1224" s="722">
        <f>M1224*N1224</f>
        <v>5.2457128499641055</v>
      </c>
      <c r="P1224" s="722">
        <f>M1224*60*1000</f>
        <v>904.9533381191671</v>
      </c>
      <c r="Q1224" s="723">
        <f>P1224*N1224/1000</f>
        <v>314.7427709978463</v>
      </c>
      <c r="S1224" s="97"/>
      <c r="T1224" s="97"/>
    </row>
    <row r="1225" spans="1:20" ht="13.5" thickBot="1">
      <c r="A1225" s="408"/>
      <c r="B1225" s="47">
        <v>10</v>
      </c>
      <c r="C1225" s="87"/>
      <c r="D1225" s="47"/>
      <c r="E1225" s="47"/>
      <c r="F1225" s="63"/>
      <c r="G1225" s="63"/>
      <c r="H1225" s="63"/>
      <c r="I1225" s="63"/>
      <c r="J1225" s="64"/>
      <c r="K1225" s="63"/>
      <c r="L1225" s="926"/>
      <c r="M1225" s="89"/>
      <c r="N1225" s="56"/>
      <c r="O1225" s="63"/>
      <c r="P1225" s="63"/>
      <c r="Q1225" s="59"/>
      <c r="S1225" s="97"/>
      <c r="T1225" s="97"/>
    </row>
    <row r="1226" spans="19:20" ht="13.5" customHeight="1">
      <c r="S1226" s="97"/>
      <c r="T1226" s="97"/>
    </row>
    <row r="1227" spans="19:20" ht="13.5" customHeight="1">
      <c r="S1227" s="97"/>
      <c r="T1227" s="97"/>
    </row>
    <row r="1228" spans="19:20" ht="12.75">
      <c r="S1228" s="97"/>
      <c r="T1228" s="97"/>
    </row>
    <row r="1229" spans="19:20" ht="12.75">
      <c r="S1229" s="97"/>
      <c r="T1229" s="97"/>
    </row>
    <row r="1230" spans="19:20" ht="12.75">
      <c r="S1230" s="97"/>
      <c r="T1230" s="97"/>
    </row>
    <row r="1231" spans="19:20" ht="12.75">
      <c r="S1231" s="97"/>
      <c r="T1231" s="97"/>
    </row>
    <row r="1232" spans="1:20" ht="15">
      <c r="A1232" s="419" t="s">
        <v>69</v>
      </c>
      <c r="B1232" s="419"/>
      <c r="C1232" s="419"/>
      <c r="D1232" s="419"/>
      <c r="E1232" s="419"/>
      <c r="F1232" s="419"/>
      <c r="G1232" s="419"/>
      <c r="H1232" s="419"/>
      <c r="I1232" s="419"/>
      <c r="J1232" s="419"/>
      <c r="K1232" s="419"/>
      <c r="L1232" s="419"/>
      <c r="M1232" s="419"/>
      <c r="N1232" s="419"/>
      <c r="O1232" s="419"/>
      <c r="P1232" s="419"/>
      <c r="Q1232" s="419"/>
      <c r="S1232" s="97"/>
      <c r="T1232" s="97"/>
    </row>
    <row r="1233" spans="1:20" ht="13.5" thickBot="1">
      <c r="A1233" s="420" t="s">
        <v>891</v>
      </c>
      <c r="B1233" s="420"/>
      <c r="C1233" s="420"/>
      <c r="D1233" s="420"/>
      <c r="E1233" s="420"/>
      <c r="F1233" s="420"/>
      <c r="G1233" s="420"/>
      <c r="H1233" s="420"/>
      <c r="I1233" s="420"/>
      <c r="J1233" s="420"/>
      <c r="K1233" s="420"/>
      <c r="L1233" s="420"/>
      <c r="M1233" s="420"/>
      <c r="N1233" s="420"/>
      <c r="O1233" s="420"/>
      <c r="P1233" s="420"/>
      <c r="Q1233" s="420"/>
      <c r="S1233" s="97"/>
      <c r="T1233" s="97"/>
    </row>
    <row r="1234" spans="1:20" ht="12.75" customHeight="1">
      <c r="A1234" s="395" t="s">
        <v>1</v>
      </c>
      <c r="B1234" s="397" t="s">
        <v>0</v>
      </c>
      <c r="C1234" s="384" t="s">
        <v>2</v>
      </c>
      <c r="D1234" s="384" t="s">
        <v>3</v>
      </c>
      <c r="E1234" s="384" t="s">
        <v>13</v>
      </c>
      <c r="F1234" s="386" t="s">
        <v>14</v>
      </c>
      <c r="G1234" s="387"/>
      <c r="H1234" s="387"/>
      <c r="I1234" s="388"/>
      <c r="J1234" s="384" t="s">
        <v>4</v>
      </c>
      <c r="K1234" s="384" t="s">
        <v>15</v>
      </c>
      <c r="L1234" s="384" t="s">
        <v>5</v>
      </c>
      <c r="M1234" s="384" t="s">
        <v>6</v>
      </c>
      <c r="N1234" s="384" t="s">
        <v>16</v>
      </c>
      <c r="O1234" s="389" t="s">
        <v>17</v>
      </c>
      <c r="P1234" s="384" t="s">
        <v>25</v>
      </c>
      <c r="Q1234" s="391" t="s">
        <v>26</v>
      </c>
      <c r="S1234" s="97"/>
      <c r="T1234" s="97"/>
    </row>
    <row r="1235" spans="1:20" s="2" customFormat="1" ht="33.75">
      <c r="A1235" s="396"/>
      <c r="B1235" s="398"/>
      <c r="C1235" s="399"/>
      <c r="D1235" s="385"/>
      <c r="E1235" s="385"/>
      <c r="F1235" s="37" t="s">
        <v>18</v>
      </c>
      <c r="G1235" s="37" t="s">
        <v>19</v>
      </c>
      <c r="H1235" s="37" t="s">
        <v>20</v>
      </c>
      <c r="I1235" s="37" t="s">
        <v>21</v>
      </c>
      <c r="J1235" s="385"/>
      <c r="K1235" s="385"/>
      <c r="L1235" s="385"/>
      <c r="M1235" s="385"/>
      <c r="N1235" s="385"/>
      <c r="O1235" s="390"/>
      <c r="P1235" s="385"/>
      <c r="Q1235" s="392"/>
      <c r="S1235" s="97"/>
      <c r="T1235" s="97"/>
    </row>
    <row r="1236" spans="1:20" s="3" customFormat="1" ht="13.5" customHeight="1" thickBot="1">
      <c r="A1236" s="414"/>
      <c r="B1236" s="415"/>
      <c r="C1236" s="416"/>
      <c r="D1236" s="65" t="s">
        <v>7</v>
      </c>
      <c r="E1236" s="65" t="s">
        <v>8</v>
      </c>
      <c r="F1236" s="65" t="s">
        <v>9</v>
      </c>
      <c r="G1236" s="65" t="s">
        <v>9</v>
      </c>
      <c r="H1236" s="65" t="s">
        <v>9</v>
      </c>
      <c r="I1236" s="65" t="s">
        <v>9</v>
      </c>
      <c r="J1236" s="65" t="s">
        <v>22</v>
      </c>
      <c r="K1236" s="65" t="s">
        <v>9</v>
      </c>
      <c r="L1236" s="65" t="s">
        <v>22</v>
      </c>
      <c r="M1236" s="65" t="s">
        <v>136</v>
      </c>
      <c r="N1236" s="65" t="s">
        <v>10</v>
      </c>
      <c r="O1236" s="65" t="s">
        <v>137</v>
      </c>
      <c r="P1236" s="66" t="s">
        <v>27</v>
      </c>
      <c r="Q1236" s="67" t="s">
        <v>28</v>
      </c>
      <c r="S1236" s="97"/>
      <c r="T1236" s="97"/>
    </row>
    <row r="1237" spans="1:20" ht="12.75" customHeight="1">
      <c r="A1237" s="406" t="s">
        <v>12</v>
      </c>
      <c r="B1237" s="88">
        <v>1</v>
      </c>
      <c r="C1237" s="725" t="s">
        <v>892</v>
      </c>
      <c r="D1237" s="88">
        <v>30</v>
      </c>
      <c r="E1237" s="88">
        <v>1990</v>
      </c>
      <c r="F1237" s="726">
        <f>G1237+H1237+I1237</f>
        <v>12.116997999999999</v>
      </c>
      <c r="G1237" s="726">
        <v>2.43954</v>
      </c>
      <c r="H1237" s="726">
        <v>5.1</v>
      </c>
      <c r="I1237" s="726">
        <v>4.577458</v>
      </c>
      <c r="J1237" s="922">
        <v>1607</v>
      </c>
      <c r="K1237" s="726">
        <f>I1237</f>
        <v>4.577458</v>
      </c>
      <c r="L1237" s="922">
        <f>J1237</f>
        <v>1607</v>
      </c>
      <c r="M1237" s="714">
        <f>K1237/L1237</f>
        <v>0.002848449284380834</v>
      </c>
      <c r="N1237" s="715">
        <f>337.7*1.09</f>
        <v>368.093</v>
      </c>
      <c r="O1237" s="715">
        <f>M1237*N1237</f>
        <v>1.0484942424355943</v>
      </c>
      <c r="P1237" s="715">
        <f>M1237*60*1000</f>
        <v>170.90695706285004</v>
      </c>
      <c r="Q1237" s="716">
        <f>P1237*N1237/1000</f>
        <v>62.90965454613566</v>
      </c>
      <c r="R1237" s="6"/>
      <c r="S1237" s="97"/>
      <c r="T1237" s="97"/>
    </row>
    <row r="1238" spans="1:20" ht="12.75" customHeight="1">
      <c r="A1238" s="521"/>
      <c r="B1238" s="42">
        <v>2</v>
      </c>
      <c r="C1238" s="52" t="s">
        <v>893</v>
      </c>
      <c r="D1238" s="42">
        <v>20</v>
      </c>
      <c r="E1238" s="42">
        <v>1989</v>
      </c>
      <c r="F1238" s="727">
        <f>G1238+H1238+I1238</f>
        <v>8.653</v>
      </c>
      <c r="G1238" s="727">
        <v>1.588553</v>
      </c>
      <c r="H1238" s="727">
        <v>3.4255</v>
      </c>
      <c r="I1238" s="727">
        <v>3.638947</v>
      </c>
      <c r="J1238" s="751">
        <v>1048.7</v>
      </c>
      <c r="K1238" s="727">
        <f>I1238</f>
        <v>3.638947</v>
      </c>
      <c r="L1238" s="751">
        <f>J1238</f>
        <v>1048.7</v>
      </c>
      <c r="M1238" s="721">
        <f>K1238/L1238</f>
        <v>0.0034699599504147993</v>
      </c>
      <c r="N1238" s="722">
        <f>337.7*1.09</f>
        <v>368.093</v>
      </c>
      <c r="O1238" s="722">
        <f>M1238*N1238</f>
        <v>1.2772679680280348</v>
      </c>
      <c r="P1238" s="722">
        <f>M1238*60*1000</f>
        <v>208.19759702488795</v>
      </c>
      <c r="Q1238" s="723">
        <f>P1238*N1238/1000</f>
        <v>76.63607808168209</v>
      </c>
      <c r="R1238" s="6"/>
      <c r="S1238" s="97"/>
      <c r="T1238" s="97"/>
    </row>
    <row r="1239" spans="1:20" ht="12.75">
      <c r="A1239" s="521"/>
      <c r="B1239" s="42">
        <v>3</v>
      </c>
      <c r="C1239" s="52" t="s">
        <v>894</v>
      </c>
      <c r="D1239" s="42">
        <v>50</v>
      </c>
      <c r="E1239" s="42">
        <v>1972</v>
      </c>
      <c r="F1239" s="727">
        <f>G1239+H1239+I1239</f>
        <v>19.696001000000003</v>
      </c>
      <c r="G1239" s="727">
        <v>2.665749</v>
      </c>
      <c r="H1239" s="727">
        <v>8</v>
      </c>
      <c r="I1239" s="727">
        <v>9.030252</v>
      </c>
      <c r="J1239" s="751">
        <v>2563.1</v>
      </c>
      <c r="K1239" s="727">
        <f>I1239</f>
        <v>9.030252</v>
      </c>
      <c r="L1239" s="751">
        <f>J1239</f>
        <v>2563.1</v>
      </c>
      <c r="M1239" s="721">
        <f>K1239/L1239</f>
        <v>0.0035231758417541264</v>
      </c>
      <c r="N1239" s="722">
        <f>337.7*1.09</f>
        <v>368.093</v>
      </c>
      <c r="O1239" s="722">
        <f>M1239*N1239</f>
        <v>1.2968563651188016</v>
      </c>
      <c r="P1239" s="722">
        <f>M1239*60*1000</f>
        <v>211.39055050524757</v>
      </c>
      <c r="Q1239" s="723">
        <f>P1239*N1239/1000</f>
        <v>77.81138190712811</v>
      </c>
      <c r="R1239" s="6"/>
      <c r="S1239" s="97"/>
      <c r="T1239" s="97"/>
    </row>
    <row r="1240" spans="1:20" ht="12.75">
      <c r="A1240" s="521"/>
      <c r="B1240" s="42">
        <v>4</v>
      </c>
      <c r="C1240" s="52" t="s">
        <v>895</v>
      </c>
      <c r="D1240" s="42">
        <v>44</v>
      </c>
      <c r="E1240" s="42">
        <v>1968</v>
      </c>
      <c r="F1240" s="727">
        <f>G1240+H1240+I1240</f>
        <v>20.028070999999997</v>
      </c>
      <c r="G1240" s="727">
        <v>2.78675</v>
      </c>
      <c r="H1240" s="727">
        <v>7.84</v>
      </c>
      <c r="I1240" s="727">
        <v>9.401321</v>
      </c>
      <c r="J1240" s="751">
        <v>2515.7</v>
      </c>
      <c r="K1240" s="727">
        <f>I1240</f>
        <v>9.401321</v>
      </c>
      <c r="L1240" s="751">
        <f>J1240</f>
        <v>2515.7</v>
      </c>
      <c r="M1240" s="721">
        <f>K1240/L1240</f>
        <v>0.003737059665301904</v>
      </c>
      <c r="N1240" s="722">
        <f>337.7*1.09</f>
        <v>368.093</v>
      </c>
      <c r="O1240" s="722">
        <f>M1240*N1240</f>
        <v>1.3755855033799738</v>
      </c>
      <c r="P1240" s="722">
        <f>M1240*60*1000</f>
        <v>224.22357991811424</v>
      </c>
      <c r="Q1240" s="723">
        <f>P1240*N1240/1000</f>
        <v>82.53513020279844</v>
      </c>
      <c r="R1240" s="6"/>
      <c r="S1240" s="97"/>
      <c r="T1240" s="97"/>
    </row>
    <row r="1241" spans="1:20" ht="12.75">
      <c r="A1241" s="521"/>
      <c r="B1241" s="42">
        <v>5</v>
      </c>
      <c r="C1241" s="52" t="s">
        <v>896</v>
      </c>
      <c r="D1241" s="42">
        <v>44</v>
      </c>
      <c r="E1241" s="42">
        <v>1970</v>
      </c>
      <c r="F1241" s="727">
        <f>G1241+H1241+I1241</f>
        <v>19.207998</v>
      </c>
      <c r="G1241" s="727">
        <v>3.151552</v>
      </c>
      <c r="H1241" s="727">
        <v>7.04</v>
      </c>
      <c r="I1241" s="727">
        <v>9.016446</v>
      </c>
      <c r="J1241" s="751">
        <v>2310.7</v>
      </c>
      <c r="K1241" s="727">
        <f>I1241</f>
        <v>9.016446</v>
      </c>
      <c r="L1241" s="751">
        <f>J1241</f>
        <v>2310.7</v>
      </c>
      <c r="M1241" s="721">
        <f>K1241/L1241</f>
        <v>0.0039020409399749</v>
      </c>
      <c r="N1241" s="722">
        <f>337.7*1.09</f>
        <v>368.093</v>
      </c>
      <c r="O1241" s="722">
        <f>M1241*N1241</f>
        <v>1.4363139557181808</v>
      </c>
      <c r="P1241" s="722">
        <f>M1241*60*1000</f>
        <v>234.122456398494</v>
      </c>
      <c r="Q1241" s="723">
        <f>P1241*N1241/1000</f>
        <v>86.17883734309085</v>
      </c>
      <c r="R1241" s="6"/>
      <c r="S1241" s="97"/>
      <c r="T1241" s="97"/>
    </row>
    <row r="1242" spans="1:20" ht="12.75">
      <c r="A1242" s="521"/>
      <c r="B1242" s="42">
        <v>6</v>
      </c>
      <c r="C1242" s="52" t="s">
        <v>897</v>
      </c>
      <c r="D1242" s="42">
        <v>22</v>
      </c>
      <c r="E1242" s="42">
        <v>1985</v>
      </c>
      <c r="F1242" s="727">
        <f>G1242+H1242+I1242</f>
        <v>10.583003</v>
      </c>
      <c r="G1242" s="727">
        <v>2.412381</v>
      </c>
      <c r="H1242" s="727">
        <v>3.74</v>
      </c>
      <c r="I1242" s="727">
        <v>4.430622</v>
      </c>
      <c r="J1242" s="751">
        <v>1124.8</v>
      </c>
      <c r="K1242" s="727">
        <f>I1242</f>
        <v>4.430622</v>
      </c>
      <c r="L1242" s="751">
        <f>J1242</f>
        <v>1124.8</v>
      </c>
      <c r="M1242" s="721">
        <f>K1242/L1242</f>
        <v>0.00393903093883357</v>
      </c>
      <c r="N1242" s="722">
        <f>337.7*1.09</f>
        <v>368.093</v>
      </c>
      <c r="O1242" s="722">
        <f>M1242*N1242</f>
        <v>1.4499297153680655</v>
      </c>
      <c r="P1242" s="722">
        <f>M1242*60*1000</f>
        <v>236.34185633001422</v>
      </c>
      <c r="Q1242" s="723">
        <f>P1242*N1242/1000</f>
        <v>86.99578292208393</v>
      </c>
      <c r="R1242" s="6"/>
      <c r="S1242" s="97"/>
      <c r="T1242" s="97"/>
    </row>
    <row r="1243" spans="1:20" ht="12.75">
      <c r="A1243" s="521"/>
      <c r="B1243" s="42">
        <v>7</v>
      </c>
      <c r="C1243" s="52" t="s">
        <v>898</v>
      </c>
      <c r="D1243" s="42">
        <v>22</v>
      </c>
      <c r="E1243" s="42">
        <v>1987</v>
      </c>
      <c r="F1243" s="727">
        <f>G1243+H1243+I1243</f>
        <v>9.726002</v>
      </c>
      <c r="G1243" s="727">
        <v>1.984013</v>
      </c>
      <c r="H1243" s="727">
        <v>3.4</v>
      </c>
      <c r="I1243" s="727">
        <v>4.341989</v>
      </c>
      <c r="J1243" s="751">
        <v>1082.63</v>
      </c>
      <c r="K1243" s="727">
        <f>I1243</f>
        <v>4.341989</v>
      </c>
      <c r="L1243" s="751">
        <f>J1243</f>
        <v>1082.63</v>
      </c>
      <c r="M1243" s="721">
        <f>K1243/L1243</f>
        <v>0.004010593646952328</v>
      </c>
      <c r="N1243" s="722">
        <f>337.7*1.09</f>
        <v>368.093</v>
      </c>
      <c r="O1243" s="722">
        <f>M1243*N1243</f>
        <v>1.4762714472876235</v>
      </c>
      <c r="P1243" s="722">
        <f>M1243*60*1000</f>
        <v>240.6356188171397</v>
      </c>
      <c r="Q1243" s="723">
        <f>P1243*N1243/1000</f>
        <v>88.5762868372574</v>
      </c>
      <c r="S1243" s="97"/>
      <c r="T1243" s="97"/>
    </row>
    <row r="1244" spans="1:20" ht="12.75">
      <c r="A1244" s="521"/>
      <c r="B1244" s="42">
        <v>8</v>
      </c>
      <c r="C1244" s="52" t="s">
        <v>899</v>
      </c>
      <c r="D1244" s="42">
        <v>44</v>
      </c>
      <c r="E1244" s="42">
        <v>1966</v>
      </c>
      <c r="F1244" s="727">
        <f>G1244+H1244+I1244</f>
        <v>17.764998</v>
      </c>
      <c r="G1244" s="727">
        <v>2.572345</v>
      </c>
      <c r="H1244" s="727">
        <v>7.04</v>
      </c>
      <c r="I1244" s="727">
        <v>8.152653</v>
      </c>
      <c r="J1244" s="751">
        <v>1849.2</v>
      </c>
      <c r="K1244" s="727">
        <f>I1244</f>
        <v>8.152653</v>
      </c>
      <c r="L1244" s="751">
        <f>J1244</f>
        <v>1849.2</v>
      </c>
      <c r="M1244" s="721">
        <f>K1244/L1244</f>
        <v>0.004408745944192083</v>
      </c>
      <c r="N1244" s="722">
        <f>337.7*1.09</f>
        <v>368.093</v>
      </c>
      <c r="O1244" s="722">
        <f>M1244*N1244</f>
        <v>1.6228285208354967</v>
      </c>
      <c r="P1244" s="722">
        <f>M1244*60*1000</f>
        <v>264.524756651525</v>
      </c>
      <c r="Q1244" s="723">
        <f>P1244*N1244/1000</f>
        <v>97.36971125012981</v>
      </c>
      <c r="S1244" s="97"/>
      <c r="T1244" s="97"/>
    </row>
    <row r="1245" spans="1:20" ht="12.75">
      <c r="A1245" s="521"/>
      <c r="B1245" s="42">
        <v>9</v>
      </c>
      <c r="C1245" s="52" t="s">
        <v>900</v>
      </c>
      <c r="D1245" s="42">
        <v>22</v>
      </c>
      <c r="E1245" s="42">
        <v>1987</v>
      </c>
      <c r="F1245" s="727">
        <f>G1245+H1245+I1245</f>
        <v>11.757</v>
      </c>
      <c r="G1245" s="727">
        <v>1.949122</v>
      </c>
      <c r="H1245" s="727">
        <v>3.80579</v>
      </c>
      <c r="I1245" s="727">
        <v>6.002088</v>
      </c>
      <c r="J1245" s="751">
        <v>1206.54</v>
      </c>
      <c r="K1245" s="727">
        <f>I1245</f>
        <v>6.002088</v>
      </c>
      <c r="L1245" s="751">
        <f>J1245</f>
        <v>1206.54</v>
      </c>
      <c r="M1245" s="721">
        <f>K1245/L1245</f>
        <v>0.004974628275896365</v>
      </c>
      <c r="N1245" s="722">
        <f>337.7*1.09</f>
        <v>368.093</v>
      </c>
      <c r="O1245" s="722">
        <f>M1245*N1245</f>
        <v>1.8311258459595208</v>
      </c>
      <c r="P1245" s="722">
        <f>M1245*60*1000</f>
        <v>298.47769655378187</v>
      </c>
      <c r="Q1245" s="723">
        <f>P1245*N1245/1000</f>
        <v>109.86755075757124</v>
      </c>
      <c r="S1245" s="97"/>
      <c r="T1245" s="97"/>
    </row>
    <row r="1246" spans="1:20" ht="12.75">
      <c r="A1246" s="521"/>
      <c r="B1246" s="42">
        <v>10</v>
      </c>
      <c r="C1246" s="52" t="s">
        <v>901</v>
      </c>
      <c r="D1246" s="42">
        <v>9</v>
      </c>
      <c r="E1246" s="42">
        <v>1990</v>
      </c>
      <c r="F1246" s="727">
        <f>G1246+H1246+I1246</f>
        <v>4.715</v>
      </c>
      <c r="G1246" s="727">
        <v>0.80477</v>
      </c>
      <c r="H1246" s="727">
        <v>1.44</v>
      </c>
      <c r="I1246" s="727">
        <v>2.47023</v>
      </c>
      <c r="J1246" s="751">
        <v>464.1</v>
      </c>
      <c r="K1246" s="727">
        <f>I1246</f>
        <v>2.47023</v>
      </c>
      <c r="L1246" s="751">
        <f>J1246</f>
        <v>464.1</v>
      </c>
      <c r="M1246" s="721">
        <f>K1246/L1246</f>
        <v>0.00532262443438914</v>
      </c>
      <c r="N1246" s="722">
        <f>337.7*1.09</f>
        <v>368.093</v>
      </c>
      <c r="O1246" s="722">
        <f>M1246*N1246</f>
        <v>1.9592207959276018</v>
      </c>
      <c r="P1246" s="722">
        <f>M1246*60*1000</f>
        <v>319.3574660633484</v>
      </c>
      <c r="Q1246" s="723">
        <f>P1246*N1246/1000</f>
        <v>117.5532477556561</v>
      </c>
      <c r="S1246" s="97"/>
      <c r="T1246" s="97"/>
    </row>
    <row r="1247" spans="1:20" ht="13.5" thickBot="1">
      <c r="A1247" s="869"/>
      <c r="B1247" s="47"/>
      <c r="C1247" s="56"/>
      <c r="D1247" s="47"/>
      <c r="E1247" s="47"/>
      <c r="F1247" s="48"/>
      <c r="G1247" s="48"/>
      <c r="H1247" s="48"/>
      <c r="I1247" s="48"/>
      <c r="J1247" s="49"/>
      <c r="K1247" s="48"/>
      <c r="L1247" s="49"/>
      <c r="M1247" s="50"/>
      <c r="N1247" s="48"/>
      <c r="O1247" s="48"/>
      <c r="P1247" s="48"/>
      <c r="Q1247" s="51"/>
      <c r="S1247" s="97"/>
      <c r="T1247" s="97"/>
    </row>
  </sheetData>
  <sheetProtection/>
  <mergeCells count="567">
    <mergeCell ref="A989:A997"/>
    <mergeCell ref="A1063:A1070"/>
    <mergeCell ref="A1071:A1078"/>
    <mergeCell ref="P1085:P1086"/>
    <mergeCell ref="Q1085:Q1086"/>
    <mergeCell ref="A1088:A1097"/>
    <mergeCell ref="A1098:A1107"/>
    <mergeCell ref="A1108:A1117"/>
    <mergeCell ref="C1183:C1185"/>
    <mergeCell ref="D1183:D1184"/>
    <mergeCell ref="P1183:P1184"/>
    <mergeCell ref="Q1183:Q1184"/>
    <mergeCell ref="J1085:J1086"/>
    <mergeCell ref="E1183:E1184"/>
    <mergeCell ref="F1183:I1183"/>
    <mergeCell ref="J1183:J1184"/>
    <mergeCell ref="M1183:M1184"/>
    <mergeCell ref="A1167:A1172"/>
    <mergeCell ref="A1173:A1179"/>
    <mergeCell ref="A1196:A1205"/>
    <mergeCell ref="A1206:A1215"/>
    <mergeCell ref="A1216:A1225"/>
    <mergeCell ref="A1181:Q1181"/>
    <mergeCell ref="A1182:Q1182"/>
    <mergeCell ref="A1183:A1185"/>
    <mergeCell ref="B1183:B1185"/>
    <mergeCell ref="N1183:N1184"/>
    <mergeCell ref="O1183:O1184"/>
    <mergeCell ref="A1186:A1195"/>
    <mergeCell ref="K1085:K1086"/>
    <mergeCell ref="L1085:L1086"/>
    <mergeCell ref="M1085:M1086"/>
    <mergeCell ref="N1085:N1086"/>
    <mergeCell ref="O1085:O1086"/>
    <mergeCell ref="K1183:K1184"/>
    <mergeCell ref="L1183:L1184"/>
    <mergeCell ref="M1125:M1126"/>
    <mergeCell ref="A1123:Q1123"/>
    <mergeCell ref="A1124:Q1124"/>
    <mergeCell ref="A827:A836"/>
    <mergeCell ref="A837:A846"/>
    <mergeCell ref="A804:A806"/>
    <mergeCell ref="B804:B806"/>
    <mergeCell ref="C804:C806"/>
    <mergeCell ref="D804:D805"/>
    <mergeCell ref="P1234:P1235"/>
    <mergeCell ref="Q1234:Q1235"/>
    <mergeCell ref="A1232:Q1232"/>
    <mergeCell ref="P925:P926"/>
    <mergeCell ref="A1233:Q1233"/>
    <mergeCell ref="F1234:I1234"/>
    <mergeCell ref="L1125:L1126"/>
    <mergeCell ref="D1085:D1086"/>
    <mergeCell ref="E1085:E1086"/>
    <mergeCell ref="A1083:Q1083"/>
    <mergeCell ref="A1237:A1247"/>
    <mergeCell ref="J1234:J1235"/>
    <mergeCell ref="K1234:K1235"/>
    <mergeCell ref="L1234:L1235"/>
    <mergeCell ref="M1234:M1235"/>
    <mergeCell ref="N1234:N1235"/>
    <mergeCell ref="B1234:B1236"/>
    <mergeCell ref="C1234:C1236"/>
    <mergeCell ref="D1234:D1235"/>
    <mergeCell ref="E1234:E1235"/>
    <mergeCell ref="O1234:O1235"/>
    <mergeCell ref="A1234:A1236"/>
    <mergeCell ref="Q1125:Q1126"/>
    <mergeCell ref="K804:K805"/>
    <mergeCell ref="E851:E852"/>
    <mergeCell ref="K851:K852"/>
    <mergeCell ref="N804:N805"/>
    <mergeCell ref="O804:O805"/>
    <mergeCell ref="A1084:Q1084"/>
    <mergeCell ref="A1085:A1087"/>
    <mergeCell ref="C1085:C1087"/>
    <mergeCell ref="Q851:Q852"/>
    <mergeCell ref="P851:P852"/>
    <mergeCell ref="M851:M852"/>
    <mergeCell ref="Q804:Q805"/>
    <mergeCell ref="A849:Q849"/>
    <mergeCell ref="A807:A816"/>
    <mergeCell ref="A817:A826"/>
    <mergeCell ref="L804:L805"/>
    <mergeCell ref="A884:A893"/>
    <mergeCell ref="A732:A740"/>
    <mergeCell ref="J701:J702"/>
    <mergeCell ref="K701:K702"/>
    <mergeCell ref="L701:L702"/>
    <mergeCell ref="F851:I851"/>
    <mergeCell ref="A802:Q802"/>
    <mergeCell ref="A803:Q803"/>
    <mergeCell ref="E804:E805"/>
    <mergeCell ref="N851:N852"/>
    <mergeCell ref="O851:O852"/>
    <mergeCell ref="L851:L852"/>
    <mergeCell ref="J851:J852"/>
    <mergeCell ref="A948:A957"/>
    <mergeCell ref="F925:I925"/>
    <mergeCell ref="D851:D852"/>
    <mergeCell ref="A874:A883"/>
    <mergeCell ref="A925:A927"/>
    <mergeCell ref="B851:B853"/>
    <mergeCell ref="C851:C853"/>
    <mergeCell ref="A864:A873"/>
    <mergeCell ref="A1028:A1037"/>
    <mergeCell ref="C1125:C1127"/>
    <mergeCell ref="B1085:B1087"/>
    <mergeCell ref="A850:Q850"/>
    <mergeCell ref="F804:I804"/>
    <mergeCell ref="J804:J805"/>
    <mergeCell ref="A1044:Q1044"/>
    <mergeCell ref="J925:J926"/>
    <mergeCell ref="K925:K926"/>
    <mergeCell ref="A924:Q924"/>
    <mergeCell ref="P701:P702"/>
    <mergeCell ref="P804:P805"/>
    <mergeCell ref="M701:M702"/>
    <mergeCell ref="M804:M805"/>
    <mergeCell ref="Q701:Q702"/>
    <mergeCell ref="A714:A722"/>
    <mergeCell ref="A723:A731"/>
    <mergeCell ref="N701:N702"/>
    <mergeCell ref="M750:M751"/>
    <mergeCell ref="N750:N751"/>
    <mergeCell ref="A902:A911"/>
    <mergeCell ref="A928:A937"/>
    <mergeCell ref="A938:A947"/>
    <mergeCell ref="A851:A853"/>
    <mergeCell ref="A854:A863"/>
    <mergeCell ref="O701:O702"/>
    <mergeCell ref="A748:Q748"/>
    <mergeCell ref="A749:Q749"/>
    <mergeCell ref="A750:A752"/>
    <mergeCell ref="O925:O926"/>
    <mergeCell ref="J1125:J1126"/>
    <mergeCell ref="K1125:K1126"/>
    <mergeCell ref="P1125:P1126"/>
    <mergeCell ref="N1125:N1126"/>
    <mergeCell ref="O1125:O1126"/>
    <mergeCell ref="A701:A703"/>
    <mergeCell ref="B701:B703"/>
    <mergeCell ref="C701:C703"/>
    <mergeCell ref="A704:A713"/>
    <mergeCell ref="F1085:I1085"/>
    <mergeCell ref="Q925:Q926"/>
    <mergeCell ref="N925:N926"/>
    <mergeCell ref="B925:B927"/>
    <mergeCell ref="C925:C927"/>
    <mergeCell ref="D925:D926"/>
    <mergeCell ref="E925:E926"/>
    <mergeCell ref="L925:L926"/>
    <mergeCell ref="M925:M926"/>
    <mergeCell ref="A1125:A1127"/>
    <mergeCell ref="B1125:B1127"/>
    <mergeCell ref="F1125:I1125"/>
    <mergeCell ref="D1125:D1126"/>
    <mergeCell ref="E1125:E1126"/>
    <mergeCell ref="A1148:A1157"/>
    <mergeCell ref="A1128:A1137"/>
    <mergeCell ref="A1138:A1147"/>
    <mergeCell ref="A1048:A1055"/>
    <mergeCell ref="A1056:A1062"/>
    <mergeCell ref="Q1045:Q1046"/>
    <mergeCell ref="K1045:K1046"/>
    <mergeCell ref="B1045:B1047"/>
    <mergeCell ref="N1045:N1046"/>
    <mergeCell ref="O1045:O1046"/>
    <mergeCell ref="P1045:P1046"/>
    <mergeCell ref="M1045:M1046"/>
    <mergeCell ref="J1045:J1046"/>
    <mergeCell ref="A1045:A1047"/>
    <mergeCell ref="C1045:C1047"/>
    <mergeCell ref="E1045:E1046"/>
    <mergeCell ref="F1045:I1045"/>
    <mergeCell ref="M1005:M1006"/>
    <mergeCell ref="J1005:J1006"/>
    <mergeCell ref="O1005:O1006"/>
    <mergeCell ref="P1005:P1006"/>
    <mergeCell ref="D1005:D1006"/>
    <mergeCell ref="E1005:E1006"/>
    <mergeCell ref="F1005:I1005"/>
    <mergeCell ref="B5:B7"/>
    <mergeCell ref="C5:C7"/>
    <mergeCell ref="A5:A7"/>
    <mergeCell ref="A8:A17"/>
    <mergeCell ref="A18:A27"/>
    <mergeCell ref="N51:N52"/>
    <mergeCell ref="J5:J6"/>
    <mergeCell ref="K5:K6"/>
    <mergeCell ref="A923:Q923"/>
    <mergeCell ref="A1:Q1"/>
    <mergeCell ref="L5:L6"/>
    <mergeCell ref="M5:M6"/>
    <mergeCell ref="N5:N6"/>
    <mergeCell ref="P5:P6"/>
    <mergeCell ref="A3:Q3"/>
    <mergeCell ref="A4:Q4"/>
    <mergeCell ref="O5:O6"/>
    <mergeCell ref="D5:D6"/>
    <mergeCell ref="F5:I5"/>
    <mergeCell ref="E5:E6"/>
    <mergeCell ref="J51:J52"/>
    <mergeCell ref="K51:K52"/>
    <mergeCell ref="A49:Q49"/>
    <mergeCell ref="A38:A48"/>
    <mergeCell ref="A28:A37"/>
    <mergeCell ref="M51:M52"/>
    <mergeCell ref="L51:L52"/>
    <mergeCell ref="Q5:Q6"/>
    <mergeCell ref="P97:P98"/>
    <mergeCell ref="Q97:Q98"/>
    <mergeCell ref="O51:O52"/>
    <mergeCell ref="A50:Q50"/>
    <mergeCell ref="A51:A52"/>
    <mergeCell ref="B51:B52"/>
    <mergeCell ref="C51:C52"/>
    <mergeCell ref="D51:D52"/>
    <mergeCell ref="A84:A93"/>
    <mergeCell ref="P186:P187"/>
    <mergeCell ref="A54:A63"/>
    <mergeCell ref="A64:A73"/>
    <mergeCell ref="A74:A83"/>
    <mergeCell ref="Q51:Q52"/>
    <mergeCell ref="P51:P52"/>
    <mergeCell ref="E51:E52"/>
    <mergeCell ref="F51:I51"/>
    <mergeCell ref="N97:N98"/>
    <mergeCell ref="O97:O98"/>
    <mergeCell ref="L186:L187"/>
    <mergeCell ref="M186:M187"/>
    <mergeCell ref="N186:N187"/>
    <mergeCell ref="A185:Q185"/>
    <mergeCell ref="A186:A188"/>
    <mergeCell ref="B186:B188"/>
    <mergeCell ref="C186:C188"/>
    <mergeCell ref="D186:D187"/>
    <mergeCell ref="E186:E187"/>
    <mergeCell ref="O186:O187"/>
    <mergeCell ref="D604:D605"/>
    <mergeCell ref="E604:E605"/>
    <mergeCell ref="A232:Q232"/>
    <mergeCell ref="A602:Q602"/>
    <mergeCell ref="Q186:Q187"/>
    <mergeCell ref="A189:A198"/>
    <mergeCell ref="A199:A208"/>
    <mergeCell ref="A209:A218"/>
    <mergeCell ref="F186:I186"/>
    <mergeCell ref="J186:J187"/>
    <mergeCell ref="A687:A696"/>
    <mergeCell ref="K654:K655"/>
    <mergeCell ref="A653:Q653"/>
    <mergeCell ref="A654:A656"/>
    <mergeCell ref="O654:O655"/>
    <mergeCell ref="O604:O605"/>
    <mergeCell ref="N654:N655"/>
    <mergeCell ref="A604:A606"/>
    <mergeCell ref="B604:B606"/>
    <mergeCell ref="C604:C606"/>
    <mergeCell ref="C654:C656"/>
    <mergeCell ref="D654:D655"/>
    <mergeCell ref="E654:E655"/>
    <mergeCell ref="D701:D702"/>
    <mergeCell ref="A699:Q699"/>
    <mergeCell ref="P654:P655"/>
    <mergeCell ref="F654:I654"/>
    <mergeCell ref="J654:J655"/>
    <mergeCell ref="Q654:Q655"/>
    <mergeCell ref="L654:L655"/>
    <mergeCell ref="A753:A762"/>
    <mergeCell ref="A763:A772"/>
    <mergeCell ref="A773:A782"/>
    <mergeCell ref="A783:A792"/>
    <mergeCell ref="K750:K751"/>
    <mergeCell ref="B750:B752"/>
    <mergeCell ref="C750:C752"/>
    <mergeCell ref="D750:D751"/>
    <mergeCell ref="E750:E751"/>
    <mergeCell ref="A897:Q897"/>
    <mergeCell ref="A898:Q898"/>
    <mergeCell ref="A899:A901"/>
    <mergeCell ref="B899:B901"/>
    <mergeCell ref="C899:C901"/>
    <mergeCell ref="D899:D900"/>
    <mergeCell ref="E899:E900"/>
    <mergeCell ref="Q899:Q900"/>
    <mergeCell ref="K899:K900"/>
    <mergeCell ref="L899:L900"/>
    <mergeCell ref="M899:M900"/>
    <mergeCell ref="F899:I899"/>
    <mergeCell ref="P899:P900"/>
    <mergeCell ref="L1005:L1006"/>
    <mergeCell ref="F1164:I1164"/>
    <mergeCell ref="J1164:J1165"/>
    <mergeCell ref="K1164:K1165"/>
    <mergeCell ref="A969:A978"/>
    <mergeCell ref="A979:A988"/>
    <mergeCell ref="A1008:A1017"/>
    <mergeCell ref="A1018:A1027"/>
    <mergeCell ref="L1045:L1046"/>
    <mergeCell ref="A1043:Q1043"/>
    <mergeCell ref="A1162:Q1162"/>
    <mergeCell ref="A1163:Q1163"/>
    <mergeCell ref="A1164:A1166"/>
    <mergeCell ref="A1003:Q1003"/>
    <mergeCell ref="A1004:Q1004"/>
    <mergeCell ref="A1005:A1007"/>
    <mergeCell ref="N1005:N1006"/>
    <mergeCell ref="B1005:B1007"/>
    <mergeCell ref="C1005:C1007"/>
    <mergeCell ref="Q1005:Q1006"/>
    <mergeCell ref="L1164:L1165"/>
    <mergeCell ref="M1164:M1165"/>
    <mergeCell ref="N1164:N1165"/>
    <mergeCell ref="O1164:O1165"/>
    <mergeCell ref="P1164:P1165"/>
    <mergeCell ref="Q1164:Q1165"/>
    <mergeCell ref="A603:Q603"/>
    <mergeCell ref="A652:Q652"/>
    <mergeCell ref="B1164:B1166"/>
    <mergeCell ref="C1164:C1166"/>
    <mergeCell ref="D1164:D1165"/>
    <mergeCell ref="E1164:E1165"/>
    <mergeCell ref="Q604:Q605"/>
    <mergeCell ref="A607:A616"/>
    <mergeCell ref="K1005:K1006"/>
    <mergeCell ref="D1045:D1046"/>
    <mergeCell ref="A617:A626"/>
    <mergeCell ref="A627:A636"/>
    <mergeCell ref="A637:A646"/>
    <mergeCell ref="K604:K605"/>
    <mergeCell ref="P604:P605"/>
    <mergeCell ref="F604:I604"/>
    <mergeCell ref="L604:L605"/>
    <mergeCell ref="M604:M605"/>
    <mergeCell ref="J604:J605"/>
    <mergeCell ref="N604:N605"/>
    <mergeCell ref="O750:O751"/>
    <mergeCell ref="E701:E702"/>
    <mergeCell ref="F701:I701"/>
    <mergeCell ref="M654:M655"/>
    <mergeCell ref="L750:L751"/>
    <mergeCell ref="F750:I750"/>
    <mergeCell ref="A700:Q700"/>
    <mergeCell ref="Q750:Q751"/>
    <mergeCell ref="P750:P751"/>
    <mergeCell ref="B654:B656"/>
    <mergeCell ref="K966:K967"/>
    <mergeCell ref="L966:L967"/>
    <mergeCell ref="O899:O900"/>
    <mergeCell ref="J750:J751"/>
    <mergeCell ref="A657:A666"/>
    <mergeCell ref="A667:A676"/>
    <mergeCell ref="A677:A686"/>
    <mergeCell ref="J899:J900"/>
    <mergeCell ref="A964:Q964"/>
    <mergeCell ref="N899:N900"/>
    <mergeCell ref="Q966:Q967"/>
    <mergeCell ref="A95:Q95"/>
    <mergeCell ref="A96:Q96"/>
    <mergeCell ref="A97:A98"/>
    <mergeCell ref="B97:B98"/>
    <mergeCell ref="C97:C98"/>
    <mergeCell ref="A965:Q965"/>
    <mergeCell ref="A966:A968"/>
    <mergeCell ref="B966:B968"/>
    <mergeCell ref="C966:C968"/>
    <mergeCell ref="A130:A139"/>
    <mergeCell ref="L97:L98"/>
    <mergeCell ref="M966:M967"/>
    <mergeCell ref="N966:N967"/>
    <mergeCell ref="O966:O967"/>
    <mergeCell ref="P966:P967"/>
    <mergeCell ref="D966:D967"/>
    <mergeCell ref="E966:E967"/>
    <mergeCell ref="F966:I966"/>
    <mergeCell ref="J966:J967"/>
    <mergeCell ref="M97:M98"/>
    <mergeCell ref="E97:E98"/>
    <mergeCell ref="F97:I97"/>
    <mergeCell ref="J97:J98"/>
    <mergeCell ref="K97:K98"/>
    <mergeCell ref="A231:Q231"/>
    <mergeCell ref="D97:D98"/>
    <mergeCell ref="A100:A109"/>
    <mergeCell ref="A110:A119"/>
    <mergeCell ref="A120:A129"/>
    <mergeCell ref="P233:P234"/>
    <mergeCell ref="Q233:Q234"/>
    <mergeCell ref="D233:D234"/>
    <mergeCell ref="E233:E234"/>
    <mergeCell ref="F233:I233"/>
    <mergeCell ref="J233:J234"/>
    <mergeCell ref="K233:K234"/>
    <mergeCell ref="L233:L234"/>
    <mergeCell ref="M233:M234"/>
    <mergeCell ref="N233:N234"/>
    <mergeCell ref="P282:P283"/>
    <mergeCell ref="Q282:Q283"/>
    <mergeCell ref="M282:M283"/>
    <mergeCell ref="A280:Q280"/>
    <mergeCell ref="A281:Q281"/>
    <mergeCell ref="N282:N283"/>
    <mergeCell ref="L282:L283"/>
    <mergeCell ref="D282:D283"/>
    <mergeCell ref="O233:O234"/>
    <mergeCell ref="A236:A245"/>
    <mergeCell ref="A246:A255"/>
    <mergeCell ref="A256:A265"/>
    <mergeCell ref="A233:A235"/>
    <mergeCell ref="B233:B235"/>
    <mergeCell ref="C233:C235"/>
    <mergeCell ref="E331:E332"/>
    <mergeCell ref="F331:I331"/>
    <mergeCell ref="O282:O283"/>
    <mergeCell ref="A282:A284"/>
    <mergeCell ref="B282:B284"/>
    <mergeCell ref="C282:C284"/>
    <mergeCell ref="A303:A312"/>
    <mergeCell ref="A313:A322"/>
    <mergeCell ref="J282:J283"/>
    <mergeCell ref="K282:K283"/>
    <mergeCell ref="N331:N332"/>
    <mergeCell ref="O331:O332"/>
    <mergeCell ref="E282:E283"/>
    <mergeCell ref="F282:I282"/>
    <mergeCell ref="A329:Q329"/>
    <mergeCell ref="A330:Q330"/>
    <mergeCell ref="A331:A333"/>
    <mergeCell ref="B331:B333"/>
    <mergeCell ref="C331:C333"/>
    <mergeCell ref="D331:D332"/>
    <mergeCell ref="P331:P332"/>
    <mergeCell ref="Q331:Q332"/>
    <mergeCell ref="A334:A343"/>
    <mergeCell ref="A344:A353"/>
    <mergeCell ref="A354:A363"/>
    <mergeCell ref="A364:A373"/>
    <mergeCell ref="J331:J332"/>
    <mergeCell ref="K331:K332"/>
    <mergeCell ref="L331:L332"/>
    <mergeCell ref="M331:M332"/>
    <mergeCell ref="A378:Q378"/>
    <mergeCell ref="A379:Q379"/>
    <mergeCell ref="N380:N381"/>
    <mergeCell ref="O380:O381"/>
    <mergeCell ref="A380:A382"/>
    <mergeCell ref="B380:B382"/>
    <mergeCell ref="C380:C382"/>
    <mergeCell ref="D380:D381"/>
    <mergeCell ref="E380:E381"/>
    <mergeCell ref="F380:I380"/>
    <mergeCell ref="P380:P381"/>
    <mergeCell ref="Q380:Q381"/>
    <mergeCell ref="A383:A390"/>
    <mergeCell ref="A391:A398"/>
    <mergeCell ref="A399:A406"/>
    <mergeCell ref="J380:J381"/>
    <mergeCell ref="K380:K381"/>
    <mergeCell ref="L380:L381"/>
    <mergeCell ref="M380:M381"/>
    <mergeCell ref="A413:Q413"/>
    <mergeCell ref="A414:Q414"/>
    <mergeCell ref="A415:A417"/>
    <mergeCell ref="B415:B417"/>
    <mergeCell ref="C415:C417"/>
    <mergeCell ref="D415:D416"/>
    <mergeCell ref="E415:E416"/>
    <mergeCell ref="F415:I415"/>
    <mergeCell ref="J415:J416"/>
    <mergeCell ref="K415:K416"/>
    <mergeCell ref="L415:L416"/>
    <mergeCell ref="M415:M416"/>
    <mergeCell ref="N415:N416"/>
    <mergeCell ref="O415:O416"/>
    <mergeCell ref="P415:P416"/>
    <mergeCell ref="Q415:Q416"/>
    <mergeCell ref="A418:A427"/>
    <mergeCell ref="A428:A437"/>
    <mergeCell ref="A438:A447"/>
    <mergeCell ref="A448:A457"/>
    <mergeCell ref="A459:Q459"/>
    <mergeCell ref="A460:Q460"/>
    <mergeCell ref="M461:M462"/>
    <mergeCell ref="N461:N462"/>
    <mergeCell ref="O461:O462"/>
    <mergeCell ref="A461:A463"/>
    <mergeCell ref="B461:B463"/>
    <mergeCell ref="C461:C463"/>
    <mergeCell ref="D461:D462"/>
    <mergeCell ref="E461:E462"/>
    <mergeCell ref="F461:I461"/>
    <mergeCell ref="K508:K509"/>
    <mergeCell ref="P461:P462"/>
    <mergeCell ref="Q461:Q462"/>
    <mergeCell ref="A464:A473"/>
    <mergeCell ref="A474:A483"/>
    <mergeCell ref="A484:A493"/>
    <mergeCell ref="A494:A503"/>
    <mergeCell ref="J461:J462"/>
    <mergeCell ref="K461:K462"/>
    <mergeCell ref="L461:L462"/>
    <mergeCell ref="O556:O557"/>
    <mergeCell ref="Q508:Q509"/>
    <mergeCell ref="A506:Q506"/>
    <mergeCell ref="A507:Q507"/>
    <mergeCell ref="A508:A510"/>
    <mergeCell ref="B508:B510"/>
    <mergeCell ref="C508:C510"/>
    <mergeCell ref="D508:D509"/>
    <mergeCell ref="E508:E509"/>
    <mergeCell ref="F508:I508"/>
    <mergeCell ref="A531:A540"/>
    <mergeCell ref="A541:A550"/>
    <mergeCell ref="A554:Q554"/>
    <mergeCell ref="A555:Q555"/>
    <mergeCell ref="L508:L509"/>
    <mergeCell ref="M508:M509"/>
    <mergeCell ref="N508:N509"/>
    <mergeCell ref="O508:O509"/>
    <mergeCell ref="P508:P509"/>
    <mergeCell ref="J508:J509"/>
    <mergeCell ref="A293:A302"/>
    <mergeCell ref="P556:P557"/>
    <mergeCell ref="A556:A558"/>
    <mergeCell ref="B556:B558"/>
    <mergeCell ref="C556:C558"/>
    <mergeCell ref="D556:D557"/>
    <mergeCell ref="E556:E557"/>
    <mergeCell ref="F556:I556"/>
    <mergeCell ref="A511:A520"/>
    <mergeCell ref="A521:A530"/>
    <mergeCell ref="Q556:Q557"/>
    <mergeCell ref="A559:A568"/>
    <mergeCell ref="A569:A578"/>
    <mergeCell ref="A579:A588"/>
    <mergeCell ref="A589:A598"/>
    <mergeCell ref="J556:J557"/>
    <mergeCell ref="K556:K557"/>
    <mergeCell ref="L556:L557"/>
    <mergeCell ref="M556:M557"/>
    <mergeCell ref="N556:N557"/>
    <mergeCell ref="O143:O144"/>
    <mergeCell ref="P143:P144"/>
    <mergeCell ref="Q143:Q144"/>
    <mergeCell ref="A141:Q141"/>
    <mergeCell ref="A142:Q142"/>
    <mergeCell ref="A143:A145"/>
    <mergeCell ref="B143:B145"/>
    <mergeCell ref="C143:C145"/>
    <mergeCell ref="D143:D144"/>
    <mergeCell ref="M143:M144"/>
    <mergeCell ref="E143:E144"/>
    <mergeCell ref="F143:I143"/>
    <mergeCell ref="J143:J144"/>
    <mergeCell ref="K143:K144"/>
    <mergeCell ref="N143:N144"/>
    <mergeCell ref="A285:A292"/>
    <mergeCell ref="A146:A155"/>
    <mergeCell ref="A156:A163"/>
    <mergeCell ref="A164:A173"/>
    <mergeCell ref="A174:A181"/>
    <mergeCell ref="L143:L144"/>
    <mergeCell ref="A266:A275"/>
    <mergeCell ref="A184:Q184"/>
    <mergeCell ref="A219:A228"/>
    <mergeCell ref="K186:K187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2011-05-24T07:22:09Z</cp:lastPrinted>
  <dcterms:created xsi:type="dcterms:W3CDTF">2007-12-03T08:09:16Z</dcterms:created>
  <dcterms:modified xsi:type="dcterms:W3CDTF">2012-11-14T08:56:09Z</dcterms:modified>
  <cp:category/>
  <cp:version/>
  <cp:contentType/>
  <cp:contentStatus/>
</cp:coreProperties>
</file>