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8810" windowHeight="6030" activeTab="0"/>
  </bookViews>
  <sheets>
    <sheet name="2012_gruodis" sheetId="1" r:id="rId1"/>
  </sheets>
  <definedNames/>
  <calcPr fullCalcOnLoad="1"/>
</workbook>
</file>

<file path=xl/sharedStrings.xml><?xml version="1.0" encoding="utf-8"?>
<sst xmlns="http://schemas.openxmlformats.org/spreadsheetml/2006/main" count="2393" uniqueCount="1049">
  <si>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</si>
  <si>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</si>
  <si>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</si>
  <si>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</si>
  <si>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</si>
  <si>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</si>
  <si>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</si>
  <si>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</si>
  <si>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</si>
  <si>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</si>
  <si>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</si>
  <si>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</si>
  <si>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</si>
  <si>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</si>
  <si>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</si>
  <si>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</si>
  <si>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</si>
  <si>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</si>
  <si>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</si>
  <si>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</si>
  <si>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</si>
  <si>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</si>
  <si>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</si>
  <si>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</si>
  <si>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</si>
  <si>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</si>
  <si>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</si>
  <si>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</si>
  <si>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</si>
  <si>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</si>
  <si>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</si>
  <si>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</si>
  <si>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</si>
  <si>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</si>
  <si>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</si>
  <si>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</si>
  <si>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</si>
  <si>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</si>
  <si>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</si>
  <si>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</si>
  <si>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</si>
  <si>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</si>
  <si>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</si>
  <si>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</si>
  <si>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</si>
  <si>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</si>
  <si>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</si>
  <si>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</si>
  <si>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Kaišiadorys (UAB"Kaišiadorių šiluma")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</si>
  <si>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</si>
  <si>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Šilalė (UAB"Šilalės šilumos tinklai")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</si>
  <si>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</si>
  <si>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</si>
  <si>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Akmenė (UAB „Akemnės energija“)</t>
  </si>
  <si>
    <t>Prienai (UAB „Prienų energija“)</t>
  </si>
  <si>
    <t>Elektrėnai (UAB „Elektrėnų komunalinis ūkis")</t>
  </si>
  <si>
    <t>Plungė (UAB"Plungės šilumos tinklai")</t>
  </si>
  <si>
    <t>Varėna (UAB "Varėnos šiluma")</t>
  </si>
  <si>
    <t>Klaipėda (AB "Klaipėdos energija")</t>
  </si>
  <si>
    <t>Ignalina (UAB „Ignalinos šilumos tinklai")</t>
  </si>
  <si>
    <t>Alytus (UAB „Litesko“ filialas "Alytaus energija")</t>
  </si>
  <si>
    <t>Biržai (UAB „Litesko“ filialas "Biržų šiluma")</t>
  </si>
  <si>
    <t>Marijampolė  (UAB „Litesko“ filialas "Marijampolės šiluma")</t>
  </si>
  <si>
    <t>Kelmė  (UAB „Litesko“ filialas "Kelmės šiluma")</t>
  </si>
  <si>
    <t>Telšiai  (UAB „Litesko“ filialas "Telšių šiluma")</t>
  </si>
  <si>
    <t>Vilkaviškis (UAB „Litesko“ filialas "Vilkaviškio šiluma")</t>
  </si>
  <si>
    <t>Palanga (UAB „Litesko“ filialas "Palangos šiluma")</t>
  </si>
  <si>
    <t>Druskininkai (UAB „Litesko“ filialas "Druskininkų šiluma")</t>
  </si>
  <si>
    <t>Anykščiai (UAB"Anykščių šiluma")</t>
  </si>
  <si>
    <t>Pavilnionių g. 31</t>
  </si>
  <si>
    <t>Bajorų kelias 3</t>
  </si>
  <si>
    <t>iki 1992</t>
  </si>
  <si>
    <t>Perkūnkiemio g. 45</t>
  </si>
  <si>
    <t>Fizikų g. 6</t>
  </si>
  <si>
    <t>J.Franko g. 4</t>
  </si>
  <si>
    <t>Laisvės pr. 85</t>
  </si>
  <si>
    <t>P.Smuglevičiaus g. 6</t>
  </si>
  <si>
    <t>Bitininkų g. 4C</t>
  </si>
  <si>
    <t>Karaliaučiaus g. 16C</t>
  </si>
  <si>
    <t>Bitėnų g. 10</t>
  </si>
  <si>
    <t>Ūmėdžių g. 80, 82</t>
  </si>
  <si>
    <t>Naugarduko g. 50A</t>
  </si>
  <si>
    <t>Rygos g. 34, 36, 38</t>
  </si>
  <si>
    <t>Ukmergės g. 228</t>
  </si>
  <si>
    <t>Musninkų g. 20</t>
  </si>
  <si>
    <t>Šeškinės g. 63</t>
  </si>
  <si>
    <t>Žemynos g. 9</t>
  </si>
  <si>
    <t>Linksmoji g. 77</t>
  </si>
  <si>
    <t>S.Stanevičiaus g. 8</t>
  </si>
  <si>
    <t>Filaretų g. 18, 20</t>
  </si>
  <si>
    <t>A.Domaševičiaus g. 3</t>
  </si>
  <si>
    <t>Sėlių g. 43</t>
  </si>
  <si>
    <t>V.Grybo g. 24</t>
  </si>
  <si>
    <t>Rinktinės g. 36</t>
  </si>
  <si>
    <t>Popieriaus g. 82</t>
  </si>
  <si>
    <t>Tramvajų g. 4</t>
  </si>
  <si>
    <t>Parko g. 18</t>
  </si>
  <si>
    <t>P.Vileišio g. 16</t>
  </si>
  <si>
    <t>Arklių g. 16</t>
  </si>
  <si>
    <t>Agrastų g. 8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</si>
  <si>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</si>
  <si>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</si>
  <si>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</si>
  <si>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</si>
  <si>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</si>
  <si>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</si>
  <si>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</si>
  <si>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</si>
  <si>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Pašilės 59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</si>
  <si>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</si>
  <si>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</si>
  <si>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</si>
  <si>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</si>
  <si>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</si>
  <si>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</si>
  <si>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</si>
  <si>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</si>
  <si>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</si>
  <si>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</si>
  <si>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</si>
  <si>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</si>
  <si>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</si>
  <si>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</si>
  <si>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</si>
  <si>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</si>
  <si>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Panevėžys (AB "Panevėžio energija")</t>
  </si>
  <si>
    <t>Jonažolių g. 13 (bt. 1-58)</t>
  </si>
  <si>
    <t>Žirmūnų g. 3</t>
  </si>
  <si>
    <t>MWh/m²/mėn.</t>
  </si>
  <si>
    <t>Lt/m²/mėn.</t>
  </si>
  <si>
    <t>M.Marcinkevičiaus g. 29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</si>
  <si>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</si>
  <si>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</si>
  <si>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</si>
  <si>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</si>
  <si>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</si>
  <si>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</si>
  <si>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</si>
  <si>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</si>
  <si>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</si>
  <si>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Lukšos-Daumanto 2</t>
  </si>
  <si>
    <t>Šiaurės 1 (KVT)</t>
  </si>
  <si>
    <t>MWh/m²/mėn</t>
  </si>
  <si>
    <t>Lt/m²/mėn</t>
  </si>
  <si>
    <t>Aukštaičių g. 66</t>
  </si>
  <si>
    <t>Basanavičiaus g.  1</t>
  </si>
  <si>
    <t>Kranto g. 25</t>
  </si>
  <si>
    <t>Klaipėdos g. 99 K2</t>
  </si>
  <si>
    <t>Vilties g. 47</t>
  </si>
  <si>
    <t>Vilniaus g. 16</t>
  </si>
  <si>
    <t>Sodų 6</t>
  </si>
  <si>
    <t>Nepriklausomybės a. 9</t>
  </si>
  <si>
    <t>Aldonos g. 3</t>
  </si>
  <si>
    <t>Įmonių g. 21</t>
  </si>
  <si>
    <t>Žeimių g. 6A</t>
  </si>
  <si>
    <t>Ežero g. 14</t>
  </si>
  <si>
    <t>P. Višinskio g. 37</t>
  </si>
  <si>
    <t>Ežero g. 15</t>
  </si>
  <si>
    <t>Dariaus ir Girėno 6B Alytus</t>
  </si>
  <si>
    <t>Statybininkų 46 Alytus</t>
  </si>
  <si>
    <t>Dariaus ir Girėno 6 Alytus</t>
  </si>
  <si>
    <t>Rinkuškių 49</t>
  </si>
  <si>
    <t>Vilniaus 4</t>
  </si>
  <si>
    <t>Rinkuškių 47a</t>
  </si>
  <si>
    <t>Vytauto 24</t>
  </si>
  <si>
    <t>Vilniaus 39a</t>
  </si>
  <si>
    <t>Respublikos 58</t>
  </si>
  <si>
    <t>Vilniaus 77b</t>
  </si>
  <si>
    <t>Rinkuškių 51</t>
  </si>
  <si>
    <t>Vytauto 14a</t>
  </si>
  <si>
    <t>Rotušės 3</t>
  </si>
  <si>
    <t>Vilniaus 93a</t>
  </si>
  <si>
    <t>Vilniaus 92</t>
  </si>
  <si>
    <t>Rotušės 24</t>
  </si>
  <si>
    <t>Kilučių 11</t>
  </si>
  <si>
    <t>Basanavičiaus 18</t>
  </si>
  <si>
    <t>Vytauto 33</t>
  </si>
  <si>
    <t>Rotušės 19</t>
  </si>
  <si>
    <t>Rotušės 7</t>
  </si>
  <si>
    <t>Rotušės 5</t>
  </si>
  <si>
    <t>Vytauto 8</t>
  </si>
  <si>
    <t>Kęstučio 2</t>
  </si>
  <si>
    <t>Rotušės 1</t>
  </si>
  <si>
    <t>Vytauto 6</t>
  </si>
  <si>
    <t>A.Civinsko 7</t>
  </si>
  <si>
    <t>Gėlių 14</t>
  </si>
  <si>
    <t>Vytauto 13</t>
  </si>
  <si>
    <t>Bažnyčios 15</t>
  </si>
  <si>
    <t>Aušros 42A</t>
  </si>
  <si>
    <t>P.Butlerienės 11</t>
  </si>
  <si>
    <t>Vytauto 12</t>
  </si>
  <si>
    <t>P.Butlerienės sk. 5</t>
  </si>
  <si>
    <t>Kauno 18</t>
  </si>
  <si>
    <t>Kooperacijos   28</t>
  </si>
  <si>
    <t>Vilties   14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</si>
  <si>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</si>
  <si>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</si>
  <si>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</si>
  <si>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</si>
  <si>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</si>
  <si>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</si>
  <si>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</si>
  <si>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</si>
  <si>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</si>
  <si>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</si>
  <si>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Kęstučio 11 Vilkaviškis</t>
  </si>
  <si>
    <t>Aušros 10 Vilkaviškis</t>
  </si>
  <si>
    <t>K.Naumiesčio 13 Kybartai</t>
  </si>
  <si>
    <t>Darvino 28 Kybartai</t>
  </si>
  <si>
    <t>Vilniaus 4 Vilkaviškis</t>
  </si>
  <si>
    <t>K.Naumiesčio 11 Kybartai</t>
  </si>
  <si>
    <t>Vištyčio 7 Virbalis</t>
  </si>
  <si>
    <t>Vištyčio 2 Virbalis</t>
  </si>
  <si>
    <t>Dariaus ir Girėno 2A Kybartai</t>
  </si>
  <si>
    <t>K.Naumiesčio 9A Kybartai</t>
  </si>
  <si>
    <t>Druskininkų 7a</t>
  </si>
  <si>
    <t>Taikos 10</t>
  </si>
  <si>
    <t>Saulėtekio 8/6</t>
  </si>
  <si>
    <t>Sodų 39</t>
  </si>
  <si>
    <t>Druskininkų 16</t>
  </si>
  <si>
    <t>Ganyklų 29</t>
  </si>
  <si>
    <t>Biliūno 3</t>
  </si>
  <si>
    <t>Vytauto 148</t>
  </si>
  <si>
    <t>Oškinio 8</t>
  </si>
  <si>
    <t>Ganyklų 59</t>
  </si>
  <si>
    <t>Valančiaus 8</t>
  </si>
  <si>
    <t>Kretingos 7</t>
  </si>
  <si>
    <t>Vytauto 81</t>
  </si>
  <si>
    <t>S.neries 5</t>
  </si>
  <si>
    <t>Medžiotojų 10</t>
  </si>
  <si>
    <t>Kretingos 6</t>
  </si>
  <si>
    <t>Vytauto 120</t>
  </si>
  <si>
    <t>Valančiaus 6</t>
  </si>
  <si>
    <t>KOSCIUŠKOS 12</t>
  </si>
  <si>
    <t>-</t>
  </si>
  <si>
    <t>LIEPŲ 2A</t>
  </si>
  <si>
    <t>VEISIEJŲ 16</t>
  </si>
  <si>
    <t>Kudirkos g. 22, Utena</t>
  </si>
  <si>
    <t>iki1992</t>
  </si>
  <si>
    <t>Aušros g. 89 Ik.(renov.)Utena</t>
  </si>
  <si>
    <t>Aukštakalnio g. 108 Utena</t>
  </si>
  <si>
    <t>Sėlių g. 59, Utena</t>
  </si>
  <si>
    <t>Vaižganto g. 58, Utena</t>
  </si>
  <si>
    <t>Krašuonos g. 13, Utena</t>
  </si>
  <si>
    <t>Aukštakalnio g. 10,12, Utena</t>
  </si>
  <si>
    <t>Kauno g. 27, Utena</t>
  </si>
  <si>
    <t>Basanavičiaus g. 108, Utena</t>
  </si>
  <si>
    <t>Aušros g. 82, Utena</t>
  </si>
  <si>
    <t>Vaižganto 96( renov.)</t>
  </si>
  <si>
    <t>Vaišvilos 31( renov.)</t>
  </si>
  <si>
    <t>Vaišvilos 23( renov.)</t>
  </si>
  <si>
    <t>Končiaus 7A(skaitikliai butuose)</t>
  </si>
  <si>
    <t>Končiaus 7(skaitikliai butuose)</t>
  </si>
  <si>
    <t>Mačernio 53</t>
  </si>
  <si>
    <t>Jucio 14 (dalinai renovuotas)</t>
  </si>
  <si>
    <t>Jucio 12</t>
  </si>
  <si>
    <t>Mačernio 10</t>
  </si>
  <si>
    <t>Mačernio 47</t>
  </si>
  <si>
    <t>Jucio 22</t>
  </si>
  <si>
    <t>Mačernio 51</t>
  </si>
  <si>
    <t>Jucio 10</t>
  </si>
  <si>
    <t>Vaižganto 85</t>
  </si>
  <si>
    <t>Mačernio 6</t>
  </si>
  <si>
    <t>Mačernio 8</t>
  </si>
  <si>
    <t>Lentpjūvės 6</t>
  </si>
  <si>
    <t>Vytauto 27</t>
  </si>
  <si>
    <t>S. Neries 4</t>
  </si>
  <si>
    <t>Dariaus Ir Girėno 35</t>
  </si>
  <si>
    <t>Dariaus Ir Girėno 33</t>
  </si>
  <si>
    <t>Naujųjų Valkininkų 1</t>
  </si>
  <si>
    <t>Renov.</t>
  </si>
  <si>
    <t>Melioratorių g. 3</t>
  </si>
  <si>
    <t>V.Krėvės g. 4</t>
  </si>
  <si>
    <t>Vasario 16-osios g. 13</t>
  </si>
  <si>
    <t>Vasario 16-osios g. 4</t>
  </si>
  <si>
    <t>Sodų 4</t>
  </si>
  <si>
    <t>Taikos 4</t>
  </si>
  <si>
    <t>Saulės 11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</si>
  <si>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</si>
  <si>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</si>
  <si>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t>Jaunimo 4 (renov.)</t>
  </si>
  <si>
    <t>Kalantos R. 23</t>
  </si>
  <si>
    <t>Stulginskio A. 64</t>
  </si>
  <si>
    <t>Masiulio T. 1</t>
  </si>
  <si>
    <t>Jakšto 8</t>
  </si>
  <si>
    <t>Tulpių g. 13</t>
  </si>
  <si>
    <t>Beržų g. 31</t>
  </si>
  <si>
    <t>3 902,29</t>
  </si>
  <si>
    <t>Molainių g. 8</t>
  </si>
  <si>
    <t>Klaipėdos g. 98</t>
  </si>
  <si>
    <t>Kniaudiškių g. 54</t>
  </si>
  <si>
    <t>Molainių g. 78</t>
  </si>
  <si>
    <t>Statybininkų g. 34</t>
  </si>
  <si>
    <t>Vaitkaus g.6</t>
  </si>
  <si>
    <t>Nevėžio g. 40B</t>
  </si>
  <si>
    <t>1 955,05</t>
  </si>
  <si>
    <t>1 973,26</t>
  </si>
  <si>
    <t>Vilties g. 8</t>
  </si>
  <si>
    <t>Sodų g. 6</t>
  </si>
  <si>
    <t>2 632,02</t>
  </si>
  <si>
    <t>1 845,02</t>
  </si>
  <si>
    <t>1 163,53</t>
  </si>
  <si>
    <t>Grinkevičiaus g. 8 (renov.)</t>
  </si>
  <si>
    <t>Vytauto g. 138 (renov.)</t>
  </si>
  <si>
    <t>Gegužių g. 17</t>
  </si>
  <si>
    <t>Sevastopolio g. 9 (renov.)</t>
  </si>
  <si>
    <t>Energetikų g. 11</t>
  </si>
  <si>
    <t>Draugystės pr.3A</t>
  </si>
  <si>
    <t>Vilniaus g. 213A</t>
  </si>
  <si>
    <t>ŽUVINTO 13 Alytus</t>
  </si>
  <si>
    <t>Statybininkų 30 Alytus</t>
  </si>
  <si>
    <t>Vėjo 26b</t>
  </si>
  <si>
    <t>Rinkuškių 47</t>
  </si>
  <si>
    <t>Vilniaus 56</t>
  </si>
  <si>
    <t>Vilniaus 6</t>
  </si>
  <si>
    <t>Vilniaus 91a</t>
  </si>
  <si>
    <t>Rotušės 24b</t>
  </si>
  <si>
    <t>Respublikos 56</t>
  </si>
  <si>
    <t>Rinkuškių 22</t>
  </si>
  <si>
    <t>Kosmonautų 12</t>
  </si>
  <si>
    <t>V.Kudirkos 1</t>
  </si>
  <si>
    <t>Kosmonautų 28</t>
  </si>
  <si>
    <t>Dariaus ir Girėno 9</t>
  </si>
  <si>
    <t>Dvarkelio 14</t>
  </si>
  <si>
    <t>Vasario  16-osios 4</t>
  </si>
  <si>
    <t>P.Butlerienės 7</t>
  </si>
  <si>
    <t>Masčio 54, Telšiai</t>
  </si>
  <si>
    <t>Lygumų 49, Telšiai</t>
  </si>
  <si>
    <t>Dariaus ir Girėno 13, Telšiai</t>
  </si>
  <si>
    <t>Vilniaus 34, Telšiai</t>
  </si>
  <si>
    <t>Vilniaus 14, Telšiai</t>
  </si>
  <si>
    <t>Birutės 12, Telšiai</t>
  </si>
  <si>
    <t>Vilniaus 26, Telšiai</t>
  </si>
  <si>
    <t>Respublikos 75, Telšiai</t>
  </si>
  <si>
    <t>Stoties 10, Telšiai</t>
  </si>
  <si>
    <t>Šviesos 31, Telšiai</t>
  </si>
  <si>
    <t>Daukanto 14, Telšiai</t>
  </si>
  <si>
    <t>Sinagogos 4, Telšiai</t>
  </si>
  <si>
    <t>Sinagogos  2, Telšiai</t>
  </si>
  <si>
    <t>Kęstučio 21, Telšiai</t>
  </si>
  <si>
    <t>Luokės 33, Telšiai</t>
  </si>
  <si>
    <t>Šviesos 29, Telšiai</t>
  </si>
  <si>
    <t>Vienybės 70 Vilkaviškis</t>
  </si>
  <si>
    <t>Dvaro 21 Paežeriai</t>
  </si>
  <si>
    <t>Dvaro 9 Paežeriai</t>
  </si>
  <si>
    <t>Darvino 19 Kybartai</t>
  </si>
  <si>
    <t>Mokyklos 3 Pilviškiai</t>
  </si>
  <si>
    <t>Vasario 16-ios 4 Pilviškiai</t>
  </si>
  <si>
    <t>Vasario 16-ios 10 Pilviškiai</t>
  </si>
  <si>
    <t>Medvalakio 7</t>
  </si>
  <si>
    <t>Ganyklų 53</t>
  </si>
  <si>
    <t>Medvalakio 15</t>
  </si>
  <si>
    <t>S.Neries 7</t>
  </si>
  <si>
    <t>Ganyklų 41</t>
  </si>
  <si>
    <t>Janonio 28</t>
  </si>
  <si>
    <t>NERAVŲ 39B</t>
  </si>
  <si>
    <t>GARDINO 56A</t>
  </si>
  <si>
    <t>ŠILTNAMIŲ 18</t>
  </si>
  <si>
    <t>NERAVŲ 2B</t>
  </si>
  <si>
    <t>KLONIO 18A</t>
  </si>
  <si>
    <t>DRUSKININKŲ 9</t>
  </si>
  <si>
    <t>ŠILTNAMIŲ 22</t>
  </si>
  <si>
    <t>DRUSKININKŲ 23</t>
  </si>
  <si>
    <t>JAUNYSTĖS 20</t>
  </si>
  <si>
    <t>M.K.ČIURLIONIO 68</t>
  </si>
  <si>
    <t>VEISIEJŲ 22</t>
  </si>
  <si>
    <t>JAUNYSTĖS 22</t>
  </si>
  <si>
    <t>NERAVŲ 39C</t>
  </si>
  <si>
    <t>M.K.ČIURLIONIO 93</t>
  </si>
  <si>
    <t>ANTAKALNIO 16</t>
  </si>
  <si>
    <t>P.VILEIŠIO 4</t>
  </si>
  <si>
    <t>V.BURBOS 4</t>
  </si>
  <si>
    <t>GAMYKLOS 3</t>
  </si>
  <si>
    <t>NAFTININKŲ 16</t>
  </si>
  <si>
    <t>ŽEMAITIJOS 18</t>
  </si>
  <si>
    <t>MINDAUGO 4</t>
  </si>
  <si>
    <t>SODŲ 11</t>
  </si>
  <si>
    <t>VASARIO 16-OSIOS 8</t>
  </si>
  <si>
    <t>Aušros g. 89 IIk.(renov.),Utena</t>
  </si>
  <si>
    <t>Aušros g. 99(renov.), Utena</t>
  </si>
  <si>
    <t>Aušros g. 83, Utena</t>
  </si>
  <si>
    <t>Kęstučio g. 9, Utena</t>
  </si>
  <si>
    <t>Kęstučio g. 6, Utena</t>
  </si>
  <si>
    <t>Utenio a. 5, Utena</t>
  </si>
  <si>
    <t>Užpalių g. 88, Utena</t>
  </si>
  <si>
    <t>Basanavičiaus g. 110a, Utena</t>
  </si>
  <si>
    <t>Donelaičio g. 12, Utena</t>
  </si>
  <si>
    <t>Bažnyčios g. 4, Utena</t>
  </si>
  <si>
    <t>Vaišvilos 9 ( renov.)</t>
  </si>
  <si>
    <t>Jucio 30 ( renov.)</t>
  </si>
  <si>
    <t>Vaišvilos 25 ( renov.)</t>
  </si>
  <si>
    <t>Gandingos 10</t>
  </si>
  <si>
    <t>A.Jucio 28</t>
  </si>
  <si>
    <t>Gandingos 12</t>
  </si>
  <si>
    <t>Senamiesčio 2</t>
  </si>
  <si>
    <t>Dariaus ir Girėno 51</t>
  </si>
  <si>
    <t>Maironio 11a</t>
  </si>
  <si>
    <t>Vasario 16-osios g. 11</t>
  </si>
  <si>
    <t>Birutės g. 10, Kaišiadorys</t>
  </si>
  <si>
    <t>Taikos 5</t>
  </si>
  <si>
    <t>Saulės 23</t>
  </si>
  <si>
    <r>
      <rPr>
        <b/>
        <sz val="8"/>
        <rFont val="Arial"/>
        <family val="2"/>
      </rP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</si>
  <si>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Birutės 4, Prienai</t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</si>
  <si>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</si>
  <si>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r>
      <rPr>
        <b/>
        <sz val="8"/>
        <rFont val="Arial"/>
        <family val="2"/>
      </rPr>
      <t>IV</t>
    </r>
    <r>
      <rPr>
        <sz val="8"/>
        <rFont val="Arial"/>
        <family val="2"/>
      </rPr>
      <t>. Daugiaubučiai suvartojantys labai daug šilumos (senos statybos, labai prastos šiluminės izoliacijos namai)</t>
    </r>
  </si>
  <si>
    <t>Basanavičiaus g.48</t>
  </si>
  <si>
    <t>Statybininkų g. 21</t>
  </si>
  <si>
    <t>M.Mironaitės g. 18</t>
  </si>
  <si>
    <t>Margirio g. 9</t>
  </si>
  <si>
    <t>po 1992</t>
  </si>
  <si>
    <t>Statybininkų g. 11</t>
  </si>
  <si>
    <t>Beržų g. 23</t>
  </si>
  <si>
    <t>Vaitkaus g.3</t>
  </si>
  <si>
    <t>Vaitkaus g.9</t>
  </si>
  <si>
    <t>Nevėžio g. 40</t>
  </si>
  <si>
    <t>Klaipėdos g. 112</t>
  </si>
  <si>
    <t>Ateities g. 32</t>
  </si>
  <si>
    <t>Tulpių g. 3</t>
  </si>
  <si>
    <t>Ateities g. 14</t>
  </si>
  <si>
    <t>Janonio g. 8</t>
  </si>
  <si>
    <t>iki 1882</t>
  </si>
  <si>
    <t>Žvaigždžių g. 6</t>
  </si>
  <si>
    <t>Marijonų g. 29</t>
  </si>
  <si>
    <t>Švyturio g. 19</t>
  </si>
  <si>
    <t>Katedros g. 4</t>
  </si>
  <si>
    <t>Liepų al. 17</t>
  </si>
  <si>
    <t>Kudirkos g. 3</t>
  </si>
  <si>
    <t>Švyturio g. 27</t>
  </si>
  <si>
    <t>Nevėžio g. 24</t>
  </si>
  <si>
    <t>Respublikos g. 17</t>
  </si>
  <si>
    <t>Gegužių g. 73 (renov.)</t>
  </si>
  <si>
    <t>Gegužių g. 19 (renov.)</t>
  </si>
  <si>
    <t>Kviečių g. 56 (renov.)</t>
  </si>
  <si>
    <t>Klevų g. 13 (renov.)</t>
  </si>
  <si>
    <t>Vilniaus g. 202 (renov.)</t>
  </si>
  <si>
    <t>Dainų g. 10A</t>
  </si>
  <si>
    <t>Rasos g. 22</t>
  </si>
  <si>
    <t>Gytarių g. 37</t>
  </si>
  <si>
    <t>Lauko 17 Alytus</t>
  </si>
  <si>
    <t>Naujoji 26 Alytus</t>
  </si>
  <si>
    <t>Putinų 2 Alytus</t>
  </si>
  <si>
    <t>Vingio 1 Alytus</t>
  </si>
  <si>
    <t>Naujoji 68 Alytus</t>
  </si>
  <si>
    <t>Birutės 14 Alytus</t>
  </si>
  <si>
    <t>Kaštonų 12 Alytus</t>
  </si>
  <si>
    <t>Volungės 22 Alytus</t>
  </si>
  <si>
    <t>Alyvų takas 22 Alytus</t>
  </si>
  <si>
    <t>Miško 11 Alytus</t>
  </si>
  <si>
    <t>Pramonės 4 Alytus</t>
  </si>
  <si>
    <t>Volungės 17 Alytus</t>
  </si>
  <si>
    <t>Alyvų takas 13 Alytus</t>
  </si>
  <si>
    <t>Maironio 1 Alytus</t>
  </si>
  <si>
    <t>Žiburio 12 Alytus</t>
  </si>
  <si>
    <t>Vytenio 8</t>
  </si>
  <si>
    <t>Vytauto 54B</t>
  </si>
  <si>
    <t>Lietuvininkų 7</t>
  </si>
  <si>
    <t>R.Juknevičiaus 100</t>
  </si>
  <si>
    <t>Mokolų 9</t>
  </si>
  <si>
    <t>Dariaus ir Girėno 11</t>
  </si>
  <si>
    <t>Vytauto 54</t>
  </si>
  <si>
    <t>Dariaus ir Girėno 13</t>
  </si>
  <si>
    <t>P.Kriaučiūno 3</t>
  </si>
  <si>
    <t>Draugystės 13</t>
  </si>
  <si>
    <t>A.Civinsko 25</t>
  </si>
  <si>
    <t>Vytauto 27A</t>
  </si>
  <si>
    <t>Vytauto Didžiojo   61</t>
  </si>
  <si>
    <t>Dariaus ir Girėno 15, Telšiai</t>
  </si>
  <si>
    <t>Vilniaus 12, Telšiai</t>
  </si>
  <si>
    <t>Luokės 69, Telšiai</t>
  </si>
  <si>
    <t>Lygumų 53, Telšiai</t>
  </si>
  <si>
    <t>Beržų 2, Telšiai</t>
  </si>
  <si>
    <t>Stoties 12, Telšiai</t>
  </si>
  <si>
    <t>Šviesos 25, Telšiai</t>
  </si>
  <si>
    <t>Žemaitės 31, Telšiai</t>
  </si>
  <si>
    <t>Luokės 73, Telšiai</t>
  </si>
  <si>
    <t>Lauko 48 Vilkaviškis</t>
  </si>
  <si>
    <t>Statybininkų 8 Vilkaviškis</t>
  </si>
  <si>
    <t>Kęstučio 2 Vilkaviškis</t>
  </si>
  <si>
    <t>Birutės 2 Vilkaviškis</t>
  </si>
  <si>
    <t>Vilniaus 6 Vilkaviškis</t>
  </si>
  <si>
    <t>Tarybų 7 Kybartai</t>
  </si>
  <si>
    <t>Vasario 16-ios 12 Pilviškiai</t>
  </si>
  <si>
    <t>Sodų 3</t>
  </si>
  <si>
    <t>Sodų 32</t>
  </si>
  <si>
    <t>Sodų 22</t>
  </si>
  <si>
    <t>Taikos 15</t>
  </si>
  <si>
    <t>VERPĖJŲ 18</t>
  </si>
  <si>
    <t>VYTAUTO 47</t>
  </si>
  <si>
    <t>GARDINO 70</t>
  </si>
  <si>
    <t>ŠV.JOKŪBO 15</t>
  </si>
  <si>
    <t>MELIORATORIŲ 10</t>
  </si>
  <si>
    <t>GARDINO 34</t>
  </si>
  <si>
    <t>KUDIRKOS 31</t>
  </si>
  <si>
    <t>LAISVĖS 218</t>
  </si>
  <si>
    <t>Vaižganto g. 52, Utena</t>
  </si>
  <si>
    <t>Taikos g. 14, Utena</t>
  </si>
  <si>
    <t>Kęstučio g. 1, Utena</t>
  </si>
  <si>
    <t>Utenio a. 10, Utena</t>
  </si>
  <si>
    <t>Kęstučio g. 4, Utena</t>
  </si>
  <si>
    <t>Mačernio 12 (dalinai renovuotas)</t>
  </si>
  <si>
    <t>Jaunystės 35 (renovuotas)</t>
  </si>
  <si>
    <t>Jaunystės 20 (renovuotas)</t>
  </si>
  <si>
    <t>J.Basanavičiaus g. 21</t>
  </si>
  <si>
    <t>Vytauto g. 73</t>
  </si>
  <si>
    <t>Transporto g. 9</t>
  </si>
  <si>
    <t>Mechanizatorių g. 21</t>
  </si>
  <si>
    <t>iki 1992 m.</t>
  </si>
  <si>
    <t>Gedimino g. 28, Kaišiadorys</t>
  </si>
  <si>
    <t>J. Basanavičiaus g. 7, Kaišiadorys</t>
  </si>
  <si>
    <t>Ateities g. 1, Stasiūnai</t>
  </si>
  <si>
    <t>Ateities g. 6, Stasiūnai</t>
  </si>
  <si>
    <t>Ateities g. 8, Stasiūnai</t>
  </si>
  <si>
    <t>Ateities g. 10, Stasiūnai</t>
  </si>
  <si>
    <t>Šarkinės 27</t>
  </si>
  <si>
    <t>Pergalės 9b</t>
  </si>
  <si>
    <t>Sodų 10</t>
  </si>
  <si>
    <t>Trakų 20</t>
  </si>
  <si>
    <t>Trakų 25</t>
  </si>
  <si>
    <t>Trakų 14</t>
  </si>
  <si>
    <t>Saulės 9</t>
  </si>
  <si>
    <t>Trakų 18</t>
  </si>
  <si>
    <t>Trakų 13</t>
  </si>
  <si>
    <t>Brundzos 11, Prienai</t>
  </si>
  <si>
    <t>Basanavičiaus 15/2, Prienai</t>
  </si>
  <si>
    <t>Kęstučio 77, Prienai</t>
  </si>
  <si>
    <t>Puškino 42 Akmenė</t>
  </si>
  <si>
    <t>Bausko 8 Venta</t>
  </si>
  <si>
    <t>Kovo 11-osios g.24</t>
  </si>
  <si>
    <t>Dariaus ir Girėno g.50</t>
  </si>
  <si>
    <t>D.Poškos g.4</t>
  </si>
  <si>
    <t>Ažupiečių g.4</t>
  </si>
  <si>
    <t>Basanavičiaus g.50</t>
  </si>
  <si>
    <t>Statybininkų g. 19</t>
  </si>
  <si>
    <t>Basanavičiaus g.60</t>
  </si>
  <si>
    <t>B.SRUOGOS  10</t>
  </si>
  <si>
    <t>B.SRUOGOS 8</t>
  </si>
  <si>
    <t>VILNIAUS 8</t>
  </si>
  <si>
    <t>B.SRUOGOS 12</t>
  </si>
  <si>
    <t>VILNIAUS 6</t>
  </si>
  <si>
    <t>B.SRUOGOS 14</t>
  </si>
  <si>
    <t>LELIJŲ  7</t>
  </si>
  <si>
    <t>VILNIAUS 4</t>
  </si>
  <si>
    <t>DAR.IR GIRĖNO 1</t>
  </si>
  <si>
    <t>DARIAUS IR GIRĖNO 23A IIL.</t>
  </si>
  <si>
    <t>DRUSKUPIO 4B</t>
  </si>
  <si>
    <t>DARIAUS IR GIRĖNO 23A IIIL.</t>
  </si>
  <si>
    <t>KĘSTUČIO 27  IIL.</t>
  </si>
  <si>
    <t>Minijos g. 131</t>
  </si>
  <si>
    <t>Šilumos suvartojimo ir mokėjimų už šilumą analizė Lietuvos miestų daugiabučiuose gyvenamuosiuose namuose (2012 m. gruodžio mėn)</t>
  </si>
  <si>
    <t>Sviliškių g. 4, 6</t>
  </si>
  <si>
    <t>Jonažolių g. 15</t>
  </si>
  <si>
    <t>Sviliškių g. 3, 5, 7</t>
  </si>
  <si>
    <t>Ūmėdžių g. 96</t>
  </si>
  <si>
    <t>Karaliaučiaus g. 16A</t>
  </si>
  <si>
    <t>Taikos g. 124, 126</t>
  </si>
  <si>
    <t>vidutinė lauko oro temperatūra: -4,3 °C; dienolaipsniai: 691</t>
  </si>
  <si>
    <r>
      <t>vidutinė lauko oro temperatūra: -4,5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dienolaipsniai:697,5</t>
    </r>
  </si>
  <si>
    <r>
      <t xml:space="preserve">vidutinė lauko oro temperatūra: -4,4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694,4</t>
    </r>
  </si>
  <si>
    <t>Vytauto g. 149 (renov.)</t>
  </si>
  <si>
    <t>Gardino g. 27 (renov.)</t>
  </si>
  <si>
    <t>Dainų g. 4 (renov.)</t>
  </si>
  <si>
    <t>Gytarių g. 16 (renov.)</t>
  </si>
  <si>
    <t>Lieporių g. 21</t>
  </si>
  <si>
    <t>Putinų g. 10</t>
  </si>
  <si>
    <t>Talšos g. 4</t>
  </si>
  <si>
    <t>Gegužių g. 13</t>
  </si>
  <si>
    <t>Dainų g. 16</t>
  </si>
  <si>
    <t>Vytauto g. 150</t>
  </si>
  <si>
    <t>Radviliškio g. 68</t>
  </si>
  <si>
    <t>St. Šalkauskio g. 14A</t>
  </si>
  <si>
    <t>St. Šalkauskio g. 8</t>
  </si>
  <si>
    <t>Ežero g. 3</t>
  </si>
  <si>
    <t>Trakų g. 36</t>
  </si>
  <si>
    <t>Draugystės pr.10</t>
  </si>
  <si>
    <t>Trakų g. 7</t>
  </si>
  <si>
    <t>Aušros al. 51A</t>
  </si>
  <si>
    <t>A. Mickevičiaus g. 38</t>
  </si>
  <si>
    <t>Vilniaus g. 215</t>
  </si>
  <si>
    <t>P. Višinskio g. 12</t>
  </si>
  <si>
    <t>vidutinė lauko oro temperatūra: -4,5 °C, dienolaipsniai 697,5</t>
  </si>
  <si>
    <t>Kalniškės 25 Alytus</t>
  </si>
  <si>
    <t>Statybininkų 107 Alytus</t>
  </si>
  <si>
    <t>Statybininkų 62 Alytus</t>
  </si>
  <si>
    <t>Aukštakalnio 14 Alytus</t>
  </si>
  <si>
    <t>Jaunimo 34 Alytus</t>
  </si>
  <si>
    <t>Sudvajų 26 Alytus</t>
  </si>
  <si>
    <t>Likiškėlių 80 Alytus</t>
  </si>
  <si>
    <t>Likiškėlių 40 Alytus</t>
  </si>
  <si>
    <t>Statybininkų 49 Alytus</t>
  </si>
  <si>
    <t>Sudvajų 7 Alytus</t>
  </si>
  <si>
    <t>Žiburio 6 Alytus</t>
  </si>
  <si>
    <t>Žalgirio 31 Alytus</t>
  </si>
  <si>
    <t>Volungės 12 Alytus</t>
  </si>
  <si>
    <t>Varėnos 13 Alytus</t>
  </si>
  <si>
    <t>Volungės 27 Alytus</t>
  </si>
  <si>
    <t>Volungės 19 Alytus</t>
  </si>
  <si>
    <t>vidutinė lauko oro temperatūra: -4,7 °C, dienolaipsniai: 703,7</t>
  </si>
  <si>
    <t>vidutinė lauko oro temperatūra: -4,0 °C, dienolaipsniai 682,0</t>
  </si>
  <si>
    <t>Uosupio 20</t>
  </si>
  <si>
    <t>R.Juknevičiaus 48</t>
  </si>
  <si>
    <t>Vilkaviškio 72</t>
  </si>
  <si>
    <t>Jaunimo 4</t>
  </si>
  <si>
    <t>Draugystės 3</t>
  </si>
  <si>
    <t>Dvarkelio 7</t>
  </si>
  <si>
    <t>Lietuvininkų 4</t>
  </si>
  <si>
    <t>Kauno 29</t>
  </si>
  <si>
    <t>Gedimino 9</t>
  </si>
  <si>
    <t>Dvarkelio 11</t>
  </si>
  <si>
    <t>Kauno 142</t>
  </si>
  <si>
    <t>Žiedo 7</t>
  </si>
  <si>
    <t>vidutinė lauko oro temperatūra: -4,8 °C, dienolaipsniai 707</t>
  </si>
  <si>
    <t>Birutės   2</t>
  </si>
  <si>
    <t>Mackevičiaus   29</t>
  </si>
  <si>
    <t>Birutės   4</t>
  </si>
  <si>
    <t>Dariaus ir Girėno    4</t>
  </si>
  <si>
    <t>Laucevičiaus   14</t>
  </si>
  <si>
    <t>Raseinių   5A</t>
  </si>
  <si>
    <t>Vytauto Didžiojo   82</t>
  </si>
  <si>
    <t>Raseinių   9</t>
  </si>
  <si>
    <t>žemaitės   45</t>
  </si>
  <si>
    <t>Mackevičiaus    2</t>
  </si>
  <si>
    <t>Vytauto Didžiojo   45</t>
  </si>
  <si>
    <t>žemaitės   51</t>
  </si>
  <si>
    <t>Luokės 83, Telšiai</t>
  </si>
  <si>
    <t>Vilniaus 36, Telšiai</t>
  </si>
  <si>
    <t>Masčio 58, Telšiai</t>
  </si>
  <si>
    <t>Žemaitės 28, Telšiai</t>
  </si>
  <si>
    <t>Lygumų 46, Telšiai</t>
  </si>
  <si>
    <t>Lygumų 55, Telšiai</t>
  </si>
  <si>
    <t>Kauno 15, Telšiai</t>
  </si>
  <si>
    <t>Dariaus ir Girėno 24, Telšiai</t>
  </si>
  <si>
    <t>Daukanto 31, Telšiai</t>
  </si>
  <si>
    <t>Švieoso 21, Telšiai</t>
  </si>
  <si>
    <t>Petrausko 22, Rainiai</t>
  </si>
  <si>
    <t>Stoties 16, Telšiai</t>
  </si>
  <si>
    <t>Sedos 3, Telšiai</t>
  </si>
  <si>
    <t>Respublikos 20, Telšiai</t>
  </si>
  <si>
    <t>Birutės 24, Telšiai</t>
  </si>
  <si>
    <t>vidutinė lauko oro temperatūra: -4,6 °C, dienolaipsniai 700,6</t>
  </si>
  <si>
    <t>vidutinė lauko oro temperatūra: -3,0 °C, dienolaipsniai 651</t>
  </si>
  <si>
    <t>Statybininkų 6 Vilkaviškis</t>
  </si>
  <si>
    <t>Vištyčio 36A Kybartai</t>
  </si>
  <si>
    <t>Nepriklausomybės 66 Vilkaviškis</t>
  </si>
  <si>
    <t>Basanavičiaus a. 4 Vilkaviškis</t>
  </si>
  <si>
    <t>Darvino 30 Kybartai</t>
  </si>
  <si>
    <t>Dariaus ir Girėno 2B Kybartai</t>
  </si>
  <si>
    <t>vidutinė lauko oro temperatūra: -2,9 °C, dienolaipsniai 647,9</t>
  </si>
  <si>
    <t>NERAVŲ 2A</t>
  </si>
  <si>
    <t>VEISIEJŲ 12</t>
  </si>
  <si>
    <t>JAUNYSTĖS 2</t>
  </si>
  <si>
    <t>ANTAKALNIO 14</t>
  </si>
  <si>
    <t>ANTAKALNIO 13</t>
  </si>
  <si>
    <t>M.K.ČIURLIONIO 74</t>
  </si>
  <si>
    <t>BARAVYKŲ 1B</t>
  </si>
  <si>
    <t>MELIORATORIŲ 4</t>
  </si>
  <si>
    <t>VEISIEJŲ 7</t>
  </si>
  <si>
    <t>M.K.ČIURLIONIO 83</t>
  </si>
  <si>
    <t>ŠV.JOKŪBO 6</t>
  </si>
  <si>
    <t>ALĖJOS 22</t>
  </si>
  <si>
    <t>MIZARŲ 1</t>
  </si>
  <si>
    <t>Sodų g.10-ojo NSB</t>
  </si>
  <si>
    <t>Gamyklos g.15-ojo NSB</t>
  </si>
  <si>
    <t>MINDAUGO 13</t>
  </si>
  <si>
    <t>MINDAUGO 12</t>
  </si>
  <si>
    <t>LAISVĖS 23</t>
  </si>
  <si>
    <t>J.Basanavičiaus g.9/1-ojo BSB</t>
  </si>
  <si>
    <t>PAVASARIO 14</t>
  </si>
  <si>
    <t>Pavasario g.21-ojo NSB</t>
  </si>
  <si>
    <t>GAMYKLOS 6</t>
  </si>
  <si>
    <t>LAISVĖS 27</t>
  </si>
  <si>
    <t>SKUODO 15B</t>
  </si>
  <si>
    <t>GAMYKLOS 17</t>
  </si>
  <si>
    <t>MINDAUGO 15</t>
  </si>
  <si>
    <t>Pavasario g.27-ojo NSB</t>
  </si>
  <si>
    <t>Gamyklos g.13-ojo NSB</t>
  </si>
  <si>
    <t>VENTOS 45</t>
  </si>
  <si>
    <t>LAISVĖS 222</t>
  </si>
  <si>
    <t>SODŲ 7</t>
  </si>
  <si>
    <t>GEDIMINO 9</t>
  </si>
  <si>
    <t>DRAUGYSTĖS 16</t>
  </si>
  <si>
    <t>S.Daukanto 6</t>
  </si>
  <si>
    <t>RESPUBLIKOS 22</t>
  </si>
  <si>
    <t>NAFTININKŲ 5B</t>
  </si>
  <si>
    <t>P.VILEIŠIO 6</t>
  </si>
  <si>
    <t>S.Daukanto 4</t>
  </si>
  <si>
    <t>LAISVĖS 226</t>
  </si>
  <si>
    <t>Bažnyčios 11</t>
  </si>
  <si>
    <t>STOTIES 8</t>
  </si>
  <si>
    <t>Bažnyčios 13</t>
  </si>
  <si>
    <t>Mažeikių 3 Viekšniai</t>
  </si>
  <si>
    <t>Mažeikių 6 Viekšniai</t>
  </si>
  <si>
    <r>
      <t xml:space="preserve">vidutinė lauko oro temperatūra: -4,7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 703,7</t>
    </r>
  </si>
  <si>
    <t>Vaižganto g. 66, Utena</t>
  </si>
  <si>
    <t>Aukštakalnio g. 14,16  Utena(renov.)</t>
  </si>
  <si>
    <t>Aukštakalno g. 116, Utena</t>
  </si>
  <si>
    <t>Vaižganto g. 62, Utena</t>
  </si>
  <si>
    <t>Vaižganto g. 56, Utena</t>
  </si>
  <si>
    <t>Taikos g. 4, Utena</t>
  </si>
  <si>
    <t>Vaižganto g. 46, Utena</t>
  </si>
  <si>
    <t>Aukštakalnio g. 72, Utena</t>
  </si>
  <si>
    <t>Vaižganto g. 70, Utena</t>
  </si>
  <si>
    <t>Basanavičiaus g. 67, Utena</t>
  </si>
  <si>
    <t>Aušros g. 28, Utena</t>
  </si>
  <si>
    <t>Baranausko g. 17, Utena</t>
  </si>
  <si>
    <t>Užpalių g. 101, Utena</t>
  </si>
  <si>
    <t>Tauragnų g. 4, Utena</t>
  </si>
  <si>
    <t>Basanavičiaus g. 94, Utena</t>
  </si>
  <si>
    <r>
      <t xml:space="preserve">vidutinė lauko oro temperatūra: -4,6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700,6</t>
    </r>
  </si>
  <si>
    <t>vidutinė lauko oro temperatūra: -4,4 °C; dienolaipsniai</t>
  </si>
  <si>
    <t>vidutinė lauko oro temperatūra: -4,4 °C; dienolaipsniai 694,4</t>
  </si>
  <si>
    <t>Laisv4s al 36 (renovuotas)</t>
  </si>
  <si>
    <t>Vaižganto 60 (renovuotas)</t>
  </si>
  <si>
    <t>Kaštonų 6b</t>
  </si>
  <si>
    <t>Vasario 16-osios 15</t>
  </si>
  <si>
    <t>Jaunystės 14</t>
  </si>
  <si>
    <t>Vaižganto 58c</t>
  </si>
  <si>
    <t>Gedimino 7a</t>
  </si>
  <si>
    <t>Vaižganto 58b</t>
  </si>
  <si>
    <t>Gedimino 38</t>
  </si>
  <si>
    <t>Kražių 12</t>
  </si>
  <si>
    <t>Kudirkos 5</t>
  </si>
  <si>
    <t>Maironio 5</t>
  </si>
  <si>
    <t>vidutinė lauko oro temperatūra: -4,5 °C; dienolaipsniai 697,5</t>
  </si>
  <si>
    <t>Naujųjų Valkininkų 2</t>
  </si>
  <si>
    <t>Marcinkonių g. 12</t>
  </si>
  <si>
    <t>Dzūkų g. 3</t>
  </si>
  <si>
    <t>Renov..</t>
  </si>
  <si>
    <t>Sporto g. 6</t>
  </si>
  <si>
    <t>Savanorių g. 40</t>
  </si>
  <si>
    <t>Melioratorių g. 5</t>
  </si>
  <si>
    <t>Dzūkų g.66</t>
  </si>
  <si>
    <t>Dzūkų g. 15</t>
  </si>
  <si>
    <t>J.Basanavičiaus g.5</t>
  </si>
  <si>
    <t>Savanorių g. 44</t>
  </si>
  <si>
    <t>Kalno g. 3</t>
  </si>
  <si>
    <t>Kalno g. 15</t>
  </si>
  <si>
    <t>J.Basanavičiaus g. 3</t>
  </si>
  <si>
    <t>V.Krėvės g. 7</t>
  </si>
  <si>
    <t>Melioratorių g. 9</t>
  </si>
  <si>
    <t>vidutinė lauko oro temperatūra: -4,3 °C; dienolaipsniai 691,3</t>
  </si>
  <si>
    <t>Gedimino g. 121, Kaišiadorys</t>
  </si>
  <si>
    <t>Girelės g. 51, Kaišiadorys</t>
  </si>
  <si>
    <t>Gedimino g. 119, Kaišiadorys</t>
  </si>
  <si>
    <t>Girelės g. 47, Kaišiadorys</t>
  </si>
  <si>
    <t>Girelės g. 43, Kaišiadorys</t>
  </si>
  <si>
    <t>Gedimino g. 95, Kaišiadorys</t>
  </si>
  <si>
    <t>Gedimino g. 93, Kaišiadorys</t>
  </si>
  <si>
    <t>Gedimino g. 125, Kaišiadorys</t>
  </si>
  <si>
    <t>Gedimino g. 127, Kaišiadorys</t>
  </si>
  <si>
    <t>Gedimino g. 131, Kaišiadorys</t>
  </si>
  <si>
    <t>Gedimino g. 111, Kaišiadorys</t>
  </si>
  <si>
    <t>V.Ruokio g. 3/2, Kaišiadorys</t>
  </si>
  <si>
    <t>V.Ruokio g. 3/1, Kaišiadorys</t>
  </si>
  <si>
    <t>Žąslių g. 62A, Žiežmariai</t>
  </si>
  <si>
    <t>Parko g. 6, Stasiūnai</t>
  </si>
  <si>
    <t>Parko g. 8, Stasiūnai</t>
  </si>
  <si>
    <t>Draugystės 7</t>
  </si>
  <si>
    <t>Sodų 5</t>
  </si>
  <si>
    <t>Trakų 8</t>
  </si>
  <si>
    <t>Pergalės 9a</t>
  </si>
  <si>
    <t>Trakų 31</t>
  </si>
  <si>
    <t>Saulės 8</t>
  </si>
  <si>
    <t>Pergalės 25</t>
  </si>
  <si>
    <t>Pergalė 21</t>
  </si>
  <si>
    <t>Pergalės 43</t>
  </si>
  <si>
    <t>Trakų 33</t>
  </si>
  <si>
    <t>Trakų 2</t>
  </si>
  <si>
    <t>Trakų 29</t>
  </si>
  <si>
    <t>Trakų 4</t>
  </si>
  <si>
    <r>
      <t xml:space="preserve">vidutinė lauko oro temperatūra: -4,2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688,2</t>
    </r>
  </si>
  <si>
    <t>vidutinė lauko oro temperatūra: -5,5 °C, dienolaipsniai 728,5</t>
  </si>
  <si>
    <t>Ateities g. 29, Ignalina(renv.)</t>
  </si>
  <si>
    <t>Atgimimo g. 19, Ignalina (renv.)</t>
  </si>
  <si>
    <t>Atgimimo g. 33, Ignalina (renv.)</t>
  </si>
  <si>
    <t>Smėlio g. 28, Ignalina (renv.)</t>
  </si>
  <si>
    <t>Atgimimo g. 14, Ignalina (renv.)</t>
  </si>
  <si>
    <t>M.Petrausko g. 3, Ignalina</t>
  </si>
  <si>
    <t>M.Petrausko g.4, Ignalina</t>
  </si>
  <si>
    <t>Aukštaičių g. 24, Ignalina</t>
  </si>
  <si>
    <t>Laisvės g. 54, Ignalina</t>
  </si>
  <si>
    <t>Ligoninės g. 11, Ignalina</t>
  </si>
  <si>
    <t xml:space="preserve">Sodų g. 4, Vidiškių k. Ignalinos raj. </t>
  </si>
  <si>
    <t>Aukštaičių g. 7, Ignalina</t>
  </si>
  <si>
    <r>
      <t xml:space="preserve">vidutinė lauko oro temperatūra: -4,3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691,3</t>
    </r>
  </si>
  <si>
    <t>Statybininkų 19,Prienai(renov)</t>
  </si>
  <si>
    <t>Vaitkaus 6, Prienai(renov)</t>
  </si>
  <si>
    <t>Kęstučio 5, Prienai (renov)</t>
  </si>
  <si>
    <t>Vytauto 22, Prienai</t>
  </si>
  <si>
    <t xml:space="preserve">Kęstučio 81G, Prienai </t>
  </si>
  <si>
    <t>Stadiono 24a, Prienai</t>
  </si>
  <si>
    <t>Mokyklos 1, Veiveriai(renov)</t>
  </si>
  <si>
    <t>Stadiono 12, Prienai</t>
  </si>
  <si>
    <t xml:space="preserve">Kęstučio 71, Prienai </t>
  </si>
  <si>
    <t>Jaunimo 7, Balbieriškis</t>
  </si>
  <si>
    <t>Statybininkų 11, Prienai</t>
  </si>
  <si>
    <t>Basanavičiaus 26, Prienai</t>
  </si>
  <si>
    <t>Statybininkų 7 1L., Prienai</t>
  </si>
  <si>
    <t>Vytauto 13, Prienai</t>
  </si>
  <si>
    <t>Statybininkų 5 1L., Prienai</t>
  </si>
  <si>
    <t>Kęstučio 79, Prienai</t>
  </si>
  <si>
    <t>Statybininkų 9 1L., Prienai</t>
  </si>
  <si>
    <t>Statybininkų 13,Prienai</t>
  </si>
  <si>
    <t>Vytauto 4a, Prienai</t>
  </si>
  <si>
    <t>Vytauto 30, Prienai</t>
  </si>
  <si>
    <t>Brundzos 10, Prienai</t>
  </si>
  <si>
    <t>Brundzos 8, Prienai</t>
  </si>
  <si>
    <t>Vytauto 25, Prienai</t>
  </si>
  <si>
    <t>Janonio 5, Prienai</t>
  </si>
  <si>
    <t>Brundzos 7, Prienai</t>
  </si>
  <si>
    <t>Laisvės a.3/14, Prienai</t>
  </si>
  <si>
    <t>vidutinė lauko oro temperatūra: -4,4 °C, dienolaipsniai 694,4</t>
  </si>
  <si>
    <t>Stadiono 13 Akmenė (renov.)</t>
  </si>
  <si>
    <t>Respublikos 24 Naujoji Akmenė (renov.)</t>
  </si>
  <si>
    <t>Ramučių 39 Naujoji Akmenė (renov.)</t>
  </si>
  <si>
    <t>Stadiono 17 Akmenė (renov.)</t>
  </si>
  <si>
    <t>Stadiono 7 Akmenė (renov.)</t>
  </si>
  <si>
    <t>Ramučių 33 Naujoji Akmenė (renov.)</t>
  </si>
  <si>
    <t>Taikos 2 Naujoji Akmenė (renov.)</t>
  </si>
  <si>
    <t>Laižuvos 5 Akmenė</t>
  </si>
  <si>
    <t>Respublikos 6 Naujoji Akmenė (renov.)</t>
  </si>
  <si>
    <t>V.Kudirkos 17 Naujoji Akmenė (renov.)</t>
  </si>
  <si>
    <t>Respublikos 18 Naujoji Akmenė</t>
  </si>
  <si>
    <t>žalgirio 26 Naujoji Akmenė</t>
  </si>
  <si>
    <t>Respublikos 14 Naujoji Akmenė</t>
  </si>
  <si>
    <t>Respublikos 2 Naujoji Akmenė</t>
  </si>
  <si>
    <t>Stadiono 11 Akmenė</t>
  </si>
  <si>
    <t>Respublikos 23naujoji Akmenė</t>
  </si>
  <si>
    <t>Respublikos 25 naujoji Akmenė</t>
  </si>
  <si>
    <t>L.Pelėdos 11 Naujoji  Akmenė</t>
  </si>
  <si>
    <t>Bausko 5 Venta</t>
  </si>
  <si>
    <t>Daukanto 8 Akmenė</t>
  </si>
  <si>
    <t>Ventos 16 Venta</t>
  </si>
  <si>
    <t>Ventos6 Venta</t>
  </si>
  <si>
    <t>vidutinė lauko oro temperatūra: -4,34 °C, dienolaispniai: 692,5</t>
  </si>
  <si>
    <t>D.Poškos g.14</t>
  </si>
  <si>
    <t>Žemaitės g.6</t>
  </si>
  <si>
    <t>Kovo  11-osios g.2</t>
  </si>
  <si>
    <t>D.Poškos g.20</t>
  </si>
  <si>
    <t>D.Poškos g.16</t>
  </si>
  <si>
    <t>Dariau ir Girėnio g.47</t>
  </si>
  <si>
    <t>Dariau ir Girėno g.59</t>
  </si>
  <si>
    <t>vidutinė lauko oro temperatūra: -4,2 °C, dienolaipsniai 688</t>
  </si>
  <si>
    <t>vidutinė lauko oro temperatūra: -4,7 °C, dienolaipsniai 703,7</t>
  </si>
  <si>
    <t>Dariaus ir Girėno g.5</t>
  </si>
  <si>
    <t>J. Biliūno g.8</t>
  </si>
  <si>
    <t>J. Biliūno g. 10</t>
  </si>
  <si>
    <t>Statybininkų g. 23</t>
  </si>
  <si>
    <t>J.Biliūno g. 20</t>
  </si>
  <si>
    <t>vidutinė lauko oro temperatūra: -5,1 °C; dienolaipsniai 716,1</t>
  </si>
  <si>
    <t>Birutės 29, Trakai</t>
  </si>
  <si>
    <t xml:space="preserve">    -</t>
  </si>
  <si>
    <t>Vilniaus 33,Aukštadvaris</t>
  </si>
  <si>
    <t>Trakų 16, Trakai</t>
  </si>
  <si>
    <t>Pakalnės 44, Lentvaris</t>
  </si>
  <si>
    <t>Klevų al. 36, Lentvaris</t>
  </si>
  <si>
    <t>Geležinkelio 26, Lentvaris</t>
  </si>
  <si>
    <t>Birutės 41, Trakai</t>
  </si>
  <si>
    <t>Mindaugo 1A, Trakai</t>
  </si>
  <si>
    <t>Pakalnės 7, Lentvaris</t>
  </si>
  <si>
    <t>Mindaugo 22, Trakai</t>
  </si>
  <si>
    <t>Geležinkelio 32, Lentvaris</t>
  </si>
  <si>
    <t xml:space="preserve">  -</t>
  </si>
  <si>
    <t>Sodų 23A, Lentvaris</t>
  </si>
  <si>
    <t>Vytauto 9, Lentvaris</t>
  </si>
  <si>
    <t>Ežero 10, Lentvaris</t>
  </si>
  <si>
    <t>N.Sodybos 36, Lentvaris</t>
  </si>
  <si>
    <t>Lauko 8, Lentvaris</t>
  </si>
  <si>
    <t>Vienuolyno 7, Trakai</t>
  </si>
  <si>
    <t>Trakų 14, Trakai</t>
  </si>
  <si>
    <t>Pakalnės 42, Lentvaris</t>
  </si>
  <si>
    <t>Technikumo 8, Aukšatdvaris</t>
  </si>
  <si>
    <t>Technikumo 7, Aukštadvaris</t>
  </si>
  <si>
    <t xml:space="preserve"> -</t>
  </si>
  <si>
    <t>Kilimų 6, Lentvaris</t>
  </si>
  <si>
    <t>Lauko 6, Lentvaris</t>
  </si>
  <si>
    <t>Technikumo 9, Aukštadvaris</t>
  </si>
  <si>
    <t>Mindaugo 20, Trakai</t>
  </si>
  <si>
    <t>Karaimų 24, Trakai</t>
  </si>
  <si>
    <t>Klevų al. 57 Lentvaris</t>
  </si>
  <si>
    <t>Technikumo 5, Aukšatdvaris</t>
  </si>
  <si>
    <t>Bažnyčios 11,Lentvaris</t>
  </si>
  <si>
    <t>Pakalnės 23, Lentvaris</t>
  </si>
  <si>
    <t>vidutinė lauko oro temperatūra: -4,3 °C; dienolaipsniai 691</t>
  </si>
  <si>
    <t>PANERIŲ  21(renovuotas)</t>
  </si>
  <si>
    <t>CHEMIKŲ  86(renuvuotas)</t>
  </si>
  <si>
    <t>J.RALIO  8 (renovuotas)</t>
  </si>
  <si>
    <t>KOSMONAUTŲ 9(renovuotas)</t>
  </si>
  <si>
    <t>J.RALIO  10(renovuotas)</t>
  </si>
  <si>
    <t>PANERIŲ  19(renovuotas)</t>
  </si>
  <si>
    <t>KAUNO  6(renovuotas)</t>
  </si>
  <si>
    <t>BIRUTĖS  7(renovuotas)</t>
  </si>
  <si>
    <t>LIETAVOS  31(renovuotas)</t>
  </si>
  <si>
    <t>BIRUTĖS  8(renovuotas)</t>
  </si>
  <si>
    <t>CHEMIKŲ 112</t>
  </si>
  <si>
    <t>LIETAVOS  17</t>
  </si>
  <si>
    <t>PANERIŲ  17</t>
  </si>
  <si>
    <t>KLAIPĖDOS   3</t>
  </si>
  <si>
    <t>A.KULVIEČIO  8</t>
  </si>
  <si>
    <t>VILTIES  26</t>
  </si>
  <si>
    <t>ŽEMAITĖS   7</t>
  </si>
  <si>
    <t>PARKO   1</t>
  </si>
  <si>
    <t>SODŲ  50A</t>
  </si>
  <si>
    <t>CHEMIKŲ  92A</t>
  </si>
  <si>
    <t>A.KULVIEČIO   3</t>
  </si>
  <si>
    <t>ŽALIOJI   4</t>
  </si>
  <si>
    <t>ŽEMAITĖS   5</t>
  </si>
  <si>
    <t>CHEMIKŲ   6</t>
  </si>
  <si>
    <t>VARNUTĖS   3</t>
  </si>
  <si>
    <t>KLAIPĖDOS  36A</t>
  </si>
  <si>
    <t>CHEMIKŲ  92B</t>
  </si>
  <si>
    <t>CHEMIKŲ 134</t>
  </si>
  <si>
    <t>A.KULVIEČIO  20</t>
  </si>
  <si>
    <t>CHEMIKŲ  45</t>
  </si>
  <si>
    <t>BASANAVIČIAUS  58</t>
  </si>
  <si>
    <t>SODŲ  37L</t>
  </si>
  <si>
    <t>KOSMONAUTŲ  16</t>
  </si>
  <si>
    <t>GELEŽINKELIO   8</t>
  </si>
  <si>
    <t>KAUNO  68</t>
  </si>
  <si>
    <t>MOKYKLOS  10</t>
  </si>
  <si>
    <t>BASANAVIČIAUS  72</t>
  </si>
  <si>
    <t>ŽEIMIŲ  26</t>
  </si>
  <si>
    <t>FABRIKO  14</t>
  </si>
  <si>
    <t>J.RALIO   7</t>
  </si>
  <si>
    <t>Birštonas (UAB „Birštono šiluma")</t>
  </si>
  <si>
    <t>Jonava (AB "Jonavos šilumos tinklai")</t>
  </si>
  <si>
    <t>Pakruojis (UAB "Pakruojo šiluma")</t>
  </si>
  <si>
    <t>Pergalės 4, Pakruojis</t>
  </si>
  <si>
    <t>Mašioto 65, Pakruojis</t>
  </si>
  <si>
    <t>P.Mašioto 53, Pakruojis</t>
  </si>
  <si>
    <t>Mašioto 51, Pakruojis</t>
  </si>
  <si>
    <t>Mindaugo 4, Pakruojis</t>
  </si>
  <si>
    <t>P.Mašioto 59, Pakruojis</t>
  </si>
  <si>
    <t>L.Giros 1, Pakruojis</t>
  </si>
  <si>
    <t>P.Mašioto 43b, Pakruojis</t>
  </si>
  <si>
    <t>Dariaus ir Girėno 51, Pakruojis</t>
  </si>
  <si>
    <t>Saulėtekio 50, Pakruojis</t>
  </si>
  <si>
    <t>Mašioto 63, Pakruojis</t>
  </si>
  <si>
    <t>L.Giros 8, Pakruojis</t>
  </si>
  <si>
    <t>Mašioto 55,Pakruojis</t>
  </si>
  <si>
    <t>V.Didžiojo 35,Pakruojis</t>
  </si>
  <si>
    <t>Vilniaus 31, Pakruojis</t>
  </si>
  <si>
    <t>Skvero 6, Pakruojo k.</t>
  </si>
  <si>
    <t>Skvero 2, Pakruojo k.</t>
  </si>
  <si>
    <t>Taikos 18a, Pakruojis</t>
  </si>
  <si>
    <t>Joniškėlio 8, Linkuva</t>
  </si>
  <si>
    <t>Skvero 4, Pakruojo k.</t>
  </si>
  <si>
    <t>Basanavičiaus 2a, Pakruojis</t>
  </si>
  <si>
    <t>Taikos 26, Pakruojis</t>
  </si>
  <si>
    <t>Vasario 16-osios 13,Pakruojis</t>
  </si>
  <si>
    <t>Vasario 16-osios 15,Pakruojis</t>
  </si>
  <si>
    <t>Kęstučio 8, Pakruojis</t>
  </si>
  <si>
    <t>S.Ušinsko 22, Pakruojis</t>
  </si>
  <si>
    <t>Mažoji 1, Pakruojo k.</t>
  </si>
  <si>
    <t>Joniškėlio 2, Linkuva</t>
  </si>
  <si>
    <t>V.Didžiojo 27, Pakruojis</t>
  </si>
  <si>
    <t>Vilniaus 28, Pakruojis</t>
  </si>
  <si>
    <t>Vilniaus 34, Pakruojis</t>
  </si>
  <si>
    <t>Šakiai (UAB "Šakių šilumos tinklai")</t>
  </si>
  <si>
    <t>vidutinė lauko oro temperatūra: -4 °C; dienolaipsniai 682</t>
  </si>
  <si>
    <t>vidutinė lauko oro temperatūra: -3,1 °C; dienolaipsniai: 633</t>
  </si>
  <si>
    <t>I.Simonaitytės g. 3</t>
  </si>
  <si>
    <t xml:space="preserve">Baltijos pr. 97 </t>
  </si>
  <si>
    <t xml:space="preserve">Sausio 15-osios 6a </t>
  </si>
  <si>
    <t>Debreceno g. 38</t>
  </si>
  <si>
    <t>Kretingos g. 77</t>
  </si>
  <si>
    <t>Ryšininkų g. 4</t>
  </si>
  <si>
    <t>Minijos g. 11</t>
  </si>
  <si>
    <t>Kretingos g. 25</t>
  </si>
  <si>
    <t>Naujojo sodo g. 1c</t>
  </si>
  <si>
    <t>Alksnynės g. 17</t>
  </si>
  <si>
    <t>Paryžiaus komunos g. 6</t>
  </si>
  <si>
    <t>Liepojos g. 22</t>
  </si>
  <si>
    <t>Poilsio g. 41</t>
  </si>
  <si>
    <t>Šiaulių g. 8</t>
  </si>
  <si>
    <t>Bandužių g. 5</t>
  </si>
  <si>
    <t>Žardininkų g. 18</t>
  </si>
  <si>
    <t>Strėvos g. 8</t>
  </si>
  <si>
    <t>Nidos g. 1</t>
  </si>
  <si>
    <t>Brožynų g. 4</t>
  </si>
  <si>
    <t>Rambyno g. 20</t>
  </si>
  <si>
    <t>Varpų g. 29</t>
  </si>
  <si>
    <t>Karoso g. 10</t>
  </si>
  <si>
    <t>Lūžų g. 3</t>
  </si>
  <si>
    <t>Debreceno g. 17</t>
  </si>
  <si>
    <t>Klevų g. 5</t>
  </si>
  <si>
    <t>Medžiotojų g. 12</t>
  </si>
  <si>
    <t>Naujoji uosto g. 2</t>
  </si>
  <si>
    <t>I.Kanto g. 44</t>
  </si>
  <si>
    <t>J.Janonio g. 17</t>
  </si>
  <si>
    <t>Taikos pr. 52</t>
  </si>
  <si>
    <t>Vingio g. 37</t>
  </si>
  <si>
    <t>Mokyklos g. 17</t>
  </si>
  <si>
    <t>Taikos pr. 35A</t>
  </si>
  <si>
    <t>Žalgirio g. 11</t>
  </si>
  <si>
    <t>Rumpiškės g. 22B</t>
  </si>
  <si>
    <t>Bangų g. 20</t>
  </si>
  <si>
    <t>Kretingos g. 65/1</t>
  </si>
  <si>
    <t>Sportininkų g. 28</t>
  </si>
  <si>
    <t>Šturmanų g. 20</t>
  </si>
  <si>
    <t>Trakai (UAB "Prienų energija" Trakų padalinys)</t>
  </si>
  <si>
    <t>Raseiniai (UAB "Raseimių šilumos tinklai")</t>
  </si>
  <si>
    <t>vidutinė lauko oro temperatūra: -4,8 °C; dienolaipsniai 706,8</t>
  </si>
  <si>
    <t>Algirdo 27</t>
  </si>
  <si>
    <t>Ateities 19</t>
  </si>
  <si>
    <t>Vytauto Didžiojo 41</t>
  </si>
  <si>
    <t>Algirdo 25</t>
  </si>
  <si>
    <t>Dubysos 16</t>
  </si>
  <si>
    <t>Stonų 3</t>
  </si>
  <si>
    <t>Rytų 4</t>
  </si>
  <si>
    <t>Dubysos 3</t>
  </si>
  <si>
    <t>Vytauto Didžiojo 31</t>
  </si>
  <si>
    <t>Vaižganto 5A</t>
  </si>
  <si>
    <t>Algirdo 29</t>
  </si>
  <si>
    <t>Dariaus ir Girėno 28</t>
  </si>
  <si>
    <t>Rytų 2</t>
  </si>
  <si>
    <t>Dubysos 1</t>
  </si>
  <si>
    <t>Dariaus ir Girėno 23</t>
  </si>
  <si>
    <t>Muziejaus 6</t>
  </si>
  <si>
    <t xml:space="preserve">Jaunimo 14 </t>
  </si>
  <si>
    <t>Vaižganto 1</t>
  </si>
  <si>
    <t>Partizanų 14A</t>
  </si>
  <si>
    <t>Jaunimo 12</t>
  </si>
  <si>
    <t>Vytauto Didžiojo 3</t>
  </si>
  <si>
    <t>iki1960</t>
  </si>
  <si>
    <t>Dariaus ir Girėno 26</t>
  </si>
  <si>
    <t>Dominikonų 4</t>
  </si>
  <si>
    <t>V.Kudirkos 9</t>
  </si>
  <si>
    <r>
      <t xml:space="preserve">vidutinė lauko oro temperatūra: -3,0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651</t>
    </r>
  </si>
  <si>
    <r>
      <t xml:space="preserve">vidutinė lauko oro temperatūra: -5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713,7</t>
    </r>
  </si>
  <si>
    <t>S. Banaičio g. 12</t>
  </si>
  <si>
    <t>J. Basanavičiaus g. 4</t>
  </si>
  <si>
    <t>Bažnyčios g. 13</t>
  </si>
  <si>
    <t>V. Kudirkos g. 39</t>
  </si>
  <si>
    <t>S. Banaičio g. 4</t>
  </si>
  <si>
    <t>Gimnazijos g. 34</t>
  </si>
  <si>
    <t>V. Kudirkos g. 92b</t>
  </si>
  <si>
    <t>S. Banaičio g. 3</t>
  </si>
  <si>
    <t>Šaulių g. 24</t>
  </si>
  <si>
    <t>Nepriklausomybės g. 6</t>
  </si>
  <si>
    <t>Kęstučio g. 4</t>
  </si>
  <si>
    <t>V. Kudirkos g. 47</t>
  </si>
  <si>
    <t>Šaulių g. 12</t>
  </si>
  <si>
    <t>V. Kudirkos g. 37</t>
  </si>
  <si>
    <t>V. Kudirkos g. 86</t>
  </si>
  <si>
    <t>Šaulių g. 8Šaulių g. 18</t>
  </si>
  <si>
    <t>Šaulių g. 18</t>
  </si>
  <si>
    <t>Šaulių 10</t>
  </si>
  <si>
    <t>Bažnučios g. 18</t>
  </si>
  <si>
    <t>Vytautos g. 4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</si>
</sst>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000\ _L_t"/>
    <numFmt numFmtId="175" formatCode="#,##0.00000\ _L_t"/>
  </numFmts>
  <fonts count="5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i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13" borderId="21" xfId="0" applyFont="1" applyFill="1" applyBorder="1" applyAlignment="1">
      <alignment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1" fillId="34" borderId="23" xfId="0" applyFont="1" applyFill="1" applyBorder="1" applyAlignment="1">
      <alignment/>
    </xf>
    <xf numFmtId="2" fontId="1" fillId="34" borderId="23" xfId="0" applyNumberFormat="1" applyFont="1" applyFill="1" applyBorder="1" applyAlignment="1">
      <alignment horizontal="right"/>
    </xf>
    <xf numFmtId="167" fontId="1" fillId="34" borderId="23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left" indent="3"/>
    </xf>
    <xf numFmtId="2" fontId="1" fillId="34" borderId="30" xfId="0" applyNumberFormat="1" applyFont="1" applyFill="1" applyBorder="1" applyAlignment="1">
      <alignment horizontal="left" indent="3"/>
    </xf>
    <xf numFmtId="2" fontId="1" fillId="34" borderId="25" xfId="0" applyNumberFormat="1" applyFont="1" applyFill="1" applyBorder="1" applyAlignment="1">
      <alignment horizontal="left" indent="3"/>
    </xf>
    <xf numFmtId="0" fontId="1" fillId="34" borderId="30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 horizontal="left" indent="3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2" fontId="1" fillId="34" borderId="26" xfId="0" applyNumberFormat="1" applyFont="1" applyFill="1" applyBorder="1" applyAlignment="1">
      <alignment horizontal="right"/>
    </xf>
    <xf numFmtId="1" fontId="1" fillId="34" borderId="2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13" borderId="28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66" fontId="1" fillId="13" borderId="28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1" fillId="33" borderId="21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10" fillId="34" borderId="23" xfId="0" applyNumberFormat="1" applyFont="1" applyFill="1" applyBorder="1" applyAlignment="1">
      <alignment horizontal="right"/>
    </xf>
    <xf numFmtId="1" fontId="1" fillId="13" borderId="1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center" vertical="top"/>
    </xf>
    <xf numFmtId="1" fontId="1" fillId="13" borderId="28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167" fontId="1" fillId="33" borderId="23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1" fillId="13" borderId="25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25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/>
    </xf>
    <xf numFmtId="167" fontId="1" fillId="13" borderId="28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 vertical="center"/>
    </xf>
    <xf numFmtId="0" fontId="1" fillId="13" borderId="28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13" borderId="23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25" xfId="0" applyNumberFormat="1" applyFont="1" applyFill="1" applyBorder="1" applyAlignment="1" applyProtection="1">
      <alignment horizontal="center"/>
      <protection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/>
    </xf>
    <xf numFmtId="2" fontId="1" fillId="13" borderId="25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25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/>
      <protection locked="0"/>
    </xf>
    <xf numFmtId="2" fontId="1" fillId="13" borderId="25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 vertical="center"/>
    </xf>
    <xf numFmtId="2" fontId="1" fillId="13" borderId="36" xfId="0" applyNumberFormat="1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2" fontId="1" fillId="36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" fontId="1" fillId="13" borderId="23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167" fontId="1" fillId="13" borderId="23" xfId="0" applyNumberFormat="1" applyFont="1" applyFill="1" applyBorder="1" applyAlignment="1" applyProtection="1">
      <alignment horizontal="center"/>
      <protection/>
    </xf>
    <xf numFmtId="2" fontId="1" fillId="13" borderId="23" xfId="0" applyNumberFormat="1" applyFont="1" applyFill="1" applyBorder="1" applyAlignment="1" applyProtection="1">
      <alignment horizontal="center"/>
      <protection/>
    </xf>
    <xf numFmtId="2" fontId="1" fillId="13" borderId="26" xfId="0" applyNumberFormat="1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>
      <alignment/>
    </xf>
    <xf numFmtId="0" fontId="1" fillId="13" borderId="23" xfId="0" applyFont="1" applyFill="1" applyBorder="1" applyAlignment="1" applyProtection="1">
      <alignment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13" borderId="23" xfId="0" applyNumberFormat="1" applyFont="1" applyFill="1" applyBorder="1" applyAlignment="1" applyProtection="1">
      <alignment horizontal="center"/>
      <protection locked="0"/>
    </xf>
    <xf numFmtId="2" fontId="1" fillId="13" borderId="23" xfId="0" applyNumberFormat="1" applyFont="1" applyFill="1" applyBorder="1" applyAlignment="1" applyProtection="1">
      <alignment horizontal="center"/>
      <protection locked="0"/>
    </xf>
    <xf numFmtId="0" fontId="1" fillId="13" borderId="28" xfId="0" applyFont="1" applyFill="1" applyBorder="1" applyAlignment="1" applyProtection="1">
      <alignment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2" fontId="1" fillId="33" borderId="28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65" fontId="1" fillId="33" borderId="10" xfId="0" applyNumberFormat="1" applyFont="1" applyFill="1" applyBorder="1" applyAlignment="1" applyProtection="1">
      <alignment horizontal="center"/>
      <protection/>
    </xf>
    <xf numFmtId="2" fontId="1" fillId="34" borderId="25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0" xfId="0" applyFont="1" applyBorder="1" applyAlignment="1">
      <alignment/>
    </xf>
    <xf numFmtId="165" fontId="1" fillId="33" borderId="23" xfId="0" applyNumberFormat="1" applyFont="1" applyFill="1" applyBorder="1" applyAlignment="1">
      <alignment horizontal="center"/>
    </xf>
    <xf numFmtId="165" fontId="1" fillId="36" borderId="28" xfId="0" applyNumberFormat="1" applyFont="1" applyFill="1" applyBorder="1" applyAlignment="1">
      <alignment horizontal="center"/>
    </xf>
    <xf numFmtId="167" fontId="1" fillId="13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vertical="top" wrapText="1"/>
    </xf>
    <xf numFmtId="1" fontId="1" fillId="33" borderId="23" xfId="0" applyNumberFormat="1" applyFont="1" applyFill="1" applyBorder="1" applyAlignment="1">
      <alignment horizontal="center" vertical="top"/>
    </xf>
    <xf numFmtId="166" fontId="1" fillId="33" borderId="23" xfId="0" applyNumberFormat="1" applyFont="1" applyFill="1" applyBorder="1" applyAlignment="1">
      <alignment vertical="top"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67" fontId="1" fillId="36" borderId="28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165" fontId="1" fillId="36" borderId="23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167" fontId="1" fillId="36" borderId="23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13" borderId="21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1" fillId="38" borderId="23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>
      <alignment/>
    </xf>
    <xf numFmtId="2" fontId="1" fillId="13" borderId="27" xfId="0" applyNumberFormat="1" applyFont="1" applyFill="1" applyBorder="1" applyAlignment="1">
      <alignment horizontal="center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65" fontId="1" fillId="33" borderId="2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167" fontId="1" fillId="33" borderId="28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2" fontId="1" fillId="33" borderId="41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165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165" fontId="1" fillId="13" borderId="23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/>
    </xf>
    <xf numFmtId="165" fontId="1" fillId="13" borderId="28" xfId="0" applyNumberFormat="1" applyFont="1" applyFill="1" applyBorder="1" applyAlignment="1">
      <alignment horizontal="center"/>
    </xf>
    <xf numFmtId="166" fontId="1" fillId="13" borderId="28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top"/>
    </xf>
    <xf numFmtId="1" fontId="1" fillId="38" borderId="10" xfId="0" applyNumberFormat="1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horizontal="center"/>
    </xf>
    <xf numFmtId="167" fontId="1" fillId="38" borderId="28" xfId="0" applyNumberFormat="1" applyFont="1" applyFill="1" applyBorder="1" applyAlignment="1">
      <alignment horizontal="center"/>
    </xf>
    <xf numFmtId="2" fontId="1" fillId="38" borderId="36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horizontal="center"/>
    </xf>
    <xf numFmtId="167" fontId="1" fillId="38" borderId="23" xfId="0" applyNumberFormat="1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 vertical="top"/>
    </xf>
    <xf numFmtId="0" fontId="1" fillId="38" borderId="42" xfId="0" applyFont="1" applyFill="1" applyBorder="1" applyAlignment="1">
      <alignment horizontal="center" vertical="top"/>
    </xf>
    <xf numFmtId="2" fontId="1" fillId="38" borderId="24" xfId="0" applyNumberFormat="1" applyFont="1" applyFill="1" applyBorder="1" applyAlignment="1">
      <alignment horizontal="center" vertical="center"/>
    </xf>
    <xf numFmtId="2" fontId="14" fillId="38" borderId="10" xfId="0" applyNumberFormat="1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166" fontId="1" fillId="38" borderId="10" xfId="0" applyNumberFormat="1" applyFont="1" applyFill="1" applyBorder="1" applyAlignment="1">
      <alignment horizontal="center"/>
    </xf>
    <xf numFmtId="167" fontId="1" fillId="34" borderId="28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/>
    </xf>
    <xf numFmtId="165" fontId="1" fillId="34" borderId="28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4" borderId="23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 vertical="top"/>
    </xf>
    <xf numFmtId="0" fontId="1" fillId="38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 horizontal="center" vertical="top"/>
    </xf>
    <xf numFmtId="0" fontId="1" fillId="13" borderId="27" xfId="0" applyFont="1" applyFill="1" applyBorder="1" applyAlignment="1">
      <alignment horizontal="center" vertical="top"/>
    </xf>
    <xf numFmtId="0" fontId="1" fillId="38" borderId="33" xfId="0" applyFont="1" applyFill="1" applyBorder="1" applyAlignment="1">
      <alignment horizontal="center" vertical="top"/>
    </xf>
    <xf numFmtId="0" fontId="1" fillId="38" borderId="27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left"/>
    </xf>
    <xf numFmtId="0" fontId="1" fillId="13" borderId="28" xfId="0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vertical="top"/>
    </xf>
    <xf numFmtId="2" fontId="1" fillId="34" borderId="23" xfId="0" applyNumberFormat="1" applyFont="1" applyFill="1" applyBorder="1" applyAlignment="1">
      <alignment vertical="top"/>
    </xf>
    <xf numFmtId="1" fontId="1" fillId="34" borderId="23" xfId="0" applyNumberFormat="1" applyFont="1" applyFill="1" applyBorder="1" applyAlignment="1">
      <alignment vertical="top"/>
    </xf>
    <xf numFmtId="2" fontId="1" fillId="34" borderId="23" xfId="0" applyNumberFormat="1" applyFont="1" applyFill="1" applyBorder="1" applyAlignment="1">
      <alignment horizontal="right" vertical="top"/>
    </xf>
    <xf numFmtId="167" fontId="1" fillId="34" borderId="23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1" fillId="33" borderId="2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/>
    </xf>
    <xf numFmtId="165" fontId="1" fillId="38" borderId="28" xfId="0" applyNumberFormat="1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/>
    </xf>
    <xf numFmtId="0" fontId="1" fillId="38" borderId="23" xfId="0" applyFont="1" applyFill="1" applyBorder="1" applyAlignment="1">
      <alignment wrapText="1"/>
    </xf>
    <xf numFmtId="165" fontId="1" fillId="13" borderId="10" xfId="0" applyNumberFormat="1" applyFont="1" applyFill="1" applyBorder="1" applyAlignment="1">
      <alignment horizontal="center" vertical="center"/>
    </xf>
    <xf numFmtId="165" fontId="1" fillId="38" borderId="10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8" borderId="28" xfId="0" applyNumberFormat="1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/>
    </xf>
    <xf numFmtId="1" fontId="1" fillId="34" borderId="2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10" fillId="13" borderId="10" xfId="0" applyFont="1" applyFill="1" applyBorder="1" applyAlignment="1">
      <alignment horizontal="left" vertical="top" wrapText="1"/>
    </xf>
    <xf numFmtId="0" fontId="10" fillId="38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2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 applyProtection="1">
      <alignment horizontal="center"/>
      <protection locked="0"/>
    </xf>
    <xf numFmtId="2" fontId="1" fillId="33" borderId="23" xfId="0" applyNumberFormat="1" applyFont="1" applyFill="1" applyBorder="1" applyAlignment="1" applyProtection="1">
      <alignment horizontal="center"/>
      <protection/>
    </xf>
    <xf numFmtId="2" fontId="1" fillId="33" borderId="26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2" fontId="1" fillId="38" borderId="10" xfId="0" applyNumberFormat="1" applyFont="1" applyFill="1" applyBorder="1" applyAlignment="1" applyProtection="1">
      <alignment horizontal="center"/>
      <protection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3" borderId="23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13" borderId="23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167" fontId="1" fillId="13" borderId="14" xfId="0" applyNumberFormat="1" applyFont="1" applyFill="1" applyBorder="1" applyAlignment="1">
      <alignment horizontal="center"/>
    </xf>
    <xf numFmtId="2" fontId="1" fillId="13" borderId="37" xfId="0" applyNumberFormat="1" applyFont="1" applyFill="1" applyBorder="1" applyAlignment="1">
      <alignment horizontal="center"/>
    </xf>
    <xf numFmtId="2" fontId="1" fillId="38" borderId="24" xfId="0" applyNumberFormat="1" applyFont="1" applyFill="1" applyBorder="1" applyAlignment="1">
      <alignment horizontal="center"/>
    </xf>
    <xf numFmtId="2" fontId="1" fillId="38" borderId="27" xfId="0" applyNumberFormat="1" applyFont="1" applyFill="1" applyBorder="1" applyAlignment="1">
      <alignment horizontal="center"/>
    </xf>
    <xf numFmtId="165" fontId="1" fillId="13" borderId="14" xfId="0" applyNumberFormat="1" applyFont="1" applyFill="1" applyBorder="1" applyAlignment="1">
      <alignment horizontal="center"/>
    </xf>
    <xf numFmtId="167" fontId="1" fillId="33" borderId="23" xfId="0" applyNumberFormat="1" applyFont="1" applyFill="1" applyBorder="1" applyAlignment="1" applyProtection="1">
      <alignment horizontal="center"/>
      <protection/>
    </xf>
    <xf numFmtId="167" fontId="1" fillId="38" borderId="10" xfId="0" applyNumberFormat="1" applyFont="1" applyFill="1" applyBorder="1" applyAlignment="1" applyProtection="1">
      <alignment horizontal="center"/>
      <protection/>
    </xf>
    <xf numFmtId="165" fontId="1" fillId="13" borderId="4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34" borderId="10" xfId="0" applyNumberFormat="1" applyFont="1" applyFill="1" applyBorder="1" applyAlignment="1">
      <alignment horizontal="right"/>
    </xf>
    <xf numFmtId="2" fontId="1" fillId="38" borderId="45" xfId="0" applyNumberFormat="1" applyFont="1" applyFill="1" applyBorder="1" applyAlignment="1">
      <alignment horizontal="center"/>
    </xf>
    <xf numFmtId="2" fontId="1" fillId="38" borderId="46" xfId="0" applyNumberFormat="1" applyFont="1" applyFill="1" applyBorder="1" applyAlignment="1">
      <alignment horizontal="center"/>
    </xf>
    <xf numFmtId="2" fontId="1" fillId="38" borderId="47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 vertical="top"/>
    </xf>
    <xf numFmtId="167" fontId="1" fillId="33" borderId="23" xfId="0" applyNumberFormat="1" applyFont="1" applyFill="1" applyBorder="1" applyAlignment="1">
      <alignment horizontal="center" vertical="top"/>
    </xf>
    <xf numFmtId="2" fontId="1" fillId="33" borderId="26" xfId="0" applyNumberFormat="1" applyFont="1" applyFill="1" applyBorder="1" applyAlignment="1">
      <alignment horizontal="center" vertical="top"/>
    </xf>
    <xf numFmtId="165" fontId="1" fillId="33" borderId="23" xfId="0" applyNumberFormat="1" applyFont="1" applyFill="1" applyBorder="1" applyAlignment="1">
      <alignment horizontal="center" vertical="top"/>
    </xf>
    <xf numFmtId="0" fontId="1" fillId="38" borderId="26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66" fontId="1" fillId="36" borderId="10" xfId="0" applyNumberFormat="1" applyFont="1" applyFill="1" applyBorder="1" applyAlignment="1">
      <alignment horizontal="center"/>
    </xf>
    <xf numFmtId="3" fontId="10" fillId="38" borderId="10" xfId="0" applyNumberFormat="1" applyFont="1" applyFill="1" applyBorder="1" applyAlignment="1">
      <alignment horizontal="center" vertical="top" wrapText="1"/>
    </xf>
    <xf numFmtId="3" fontId="10" fillId="34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top" wrapText="1"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vertical="top"/>
    </xf>
    <xf numFmtId="0" fontId="1" fillId="13" borderId="23" xfId="0" applyFont="1" applyFill="1" applyBorder="1" applyAlignment="1">
      <alignment vertical="top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0" fontId="1" fillId="33" borderId="23" xfId="0" applyFont="1" applyFill="1" applyBorder="1" applyAlignment="1">
      <alignment vertical="top"/>
    </xf>
    <xf numFmtId="165" fontId="1" fillId="33" borderId="2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3" fontId="10" fillId="13" borderId="10" xfId="0" applyNumberFormat="1" applyFont="1" applyFill="1" applyBorder="1" applyAlignment="1">
      <alignment horizontal="center" vertical="top" wrapText="1"/>
    </xf>
    <xf numFmtId="166" fontId="1" fillId="13" borderId="23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vertical="top"/>
    </xf>
    <xf numFmtId="0" fontId="1" fillId="38" borderId="23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165" fontId="1" fillId="38" borderId="21" xfId="0" applyNumberFormat="1" applyFont="1" applyFill="1" applyBorder="1" applyAlignment="1">
      <alignment horizontal="center"/>
    </xf>
    <xf numFmtId="2" fontId="1" fillId="38" borderId="21" xfId="0" applyNumberFormat="1" applyFont="1" applyFill="1" applyBorder="1" applyAlignment="1">
      <alignment horizontal="center"/>
    </xf>
    <xf numFmtId="165" fontId="1" fillId="38" borderId="14" xfId="0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 horizontal="center"/>
    </xf>
    <xf numFmtId="165" fontId="1" fillId="38" borderId="11" xfId="0" applyNumberFormat="1" applyFont="1" applyFill="1" applyBorder="1" applyAlignment="1">
      <alignment horizontal="center"/>
    </xf>
    <xf numFmtId="165" fontId="1" fillId="34" borderId="21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1" fillId="13" borderId="2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167" fontId="1" fillId="33" borderId="21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25" xfId="0" applyNumberFormat="1" applyFont="1" applyFill="1" applyBorder="1" applyAlignment="1">
      <alignment horizontal="center"/>
    </xf>
    <xf numFmtId="167" fontId="1" fillId="13" borderId="21" xfId="0" applyNumberFormat="1" applyFont="1" applyFill="1" applyBorder="1" applyAlignment="1">
      <alignment horizontal="center"/>
    </xf>
    <xf numFmtId="2" fontId="1" fillId="13" borderId="41" xfId="0" applyNumberFormat="1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167" fontId="1" fillId="38" borderId="21" xfId="0" applyNumberFormat="1" applyFont="1" applyFill="1" applyBorder="1" applyAlignment="1">
      <alignment horizontal="center"/>
    </xf>
    <xf numFmtId="2" fontId="1" fillId="38" borderId="41" xfId="0" applyNumberFormat="1" applyFont="1" applyFill="1" applyBorder="1" applyAlignment="1">
      <alignment horizontal="center"/>
    </xf>
    <xf numFmtId="167" fontId="1" fillId="38" borderId="11" xfId="0" applyNumberFormat="1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2" fontId="1" fillId="38" borderId="12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/>
    </xf>
    <xf numFmtId="2" fontId="1" fillId="13" borderId="34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165" fontId="1" fillId="34" borderId="44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" fontId="1" fillId="38" borderId="14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vertical="top" wrapText="1"/>
    </xf>
    <xf numFmtId="165" fontId="49" fillId="33" borderId="10" xfId="0" applyNumberFormat="1" applyFont="1" applyFill="1" applyBorder="1" applyAlignment="1">
      <alignment horizontal="center"/>
    </xf>
    <xf numFmtId="165" fontId="10" fillId="13" borderId="10" xfId="0" applyNumberFormat="1" applyFont="1" applyFill="1" applyBorder="1" applyAlignment="1">
      <alignment horizontal="center" vertical="top" wrapText="1"/>
    </xf>
    <xf numFmtId="165" fontId="10" fillId="38" borderId="10" xfId="0" applyNumberFormat="1" applyFont="1" applyFill="1" applyBorder="1" applyAlignment="1">
      <alignment horizontal="center" vertical="top" wrapText="1"/>
    </xf>
    <xf numFmtId="165" fontId="10" fillId="34" borderId="10" xfId="0" applyNumberFormat="1" applyFont="1" applyFill="1" applyBorder="1" applyAlignment="1">
      <alignment horizontal="center" vertical="top" wrapText="1"/>
    </xf>
    <xf numFmtId="165" fontId="10" fillId="34" borderId="28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1" fontId="10" fillId="13" borderId="10" xfId="0" applyNumberFormat="1" applyFont="1" applyFill="1" applyBorder="1" applyAlignment="1">
      <alignment horizontal="center" vertical="top" wrapText="1"/>
    </xf>
    <xf numFmtId="1" fontId="10" fillId="38" borderId="10" xfId="0" applyNumberFormat="1" applyFont="1" applyFill="1" applyBorder="1" applyAlignment="1">
      <alignment horizontal="center" vertical="top" wrapText="1"/>
    </xf>
    <xf numFmtId="1" fontId="10" fillId="34" borderId="10" xfId="0" applyNumberFormat="1" applyFont="1" applyFill="1" applyBorder="1" applyAlignment="1">
      <alignment horizontal="center" vertical="top" wrapText="1"/>
    </xf>
    <xf numFmtId="1" fontId="10" fillId="34" borderId="28" xfId="0" applyNumberFormat="1" applyFont="1" applyFill="1" applyBorder="1" applyAlignment="1">
      <alignment horizontal="center" vertical="top" wrapText="1"/>
    </xf>
    <xf numFmtId="2" fontId="1" fillId="33" borderId="28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165" fontId="1" fillId="33" borderId="28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1" fontId="1" fillId="33" borderId="28" xfId="0" applyNumberFormat="1" applyFont="1" applyFill="1" applyBorder="1" applyAlignment="1" applyProtection="1">
      <alignment horizontal="center"/>
      <protection locked="0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75" fontId="1" fillId="33" borderId="28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13" borderId="10" xfId="0" applyNumberFormat="1" applyFont="1" applyFill="1" applyBorder="1" applyAlignment="1" applyProtection="1">
      <alignment horizontal="center"/>
      <protection/>
    </xf>
    <xf numFmtId="175" fontId="1" fillId="38" borderId="10" xfId="0" applyNumberFormat="1" applyFont="1" applyFill="1" applyBorder="1" applyAlignment="1" applyProtection="1">
      <alignment horizontal="center"/>
      <protection/>
    </xf>
    <xf numFmtId="175" fontId="1" fillId="34" borderId="10" xfId="0" applyNumberFormat="1" applyFont="1" applyFill="1" applyBorder="1" applyAlignment="1" applyProtection="1">
      <alignment horizontal="center"/>
      <protection/>
    </xf>
    <xf numFmtId="167" fontId="1" fillId="33" borderId="21" xfId="0" applyNumberFormat="1" applyFont="1" applyFill="1" applyBorder="1" applyAlignment="1" applyProtection="1">
      <alignment horizontal="center"/>
      <protection/>
    </xf>
    <xf numFmtId="2" fontId="1" fillId="33" borderId="21" xfId="0" applyNumberFormat="1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3" borderId="41" xfId="0" applyNumberFormat="1" applyFont="1" applyFill="1" applyBorder="1" applyAlignment="1" applyProtection="1">
      <alignment horizontal="center"/>
      <protection/>
    </xf>
    <xf numFmtId="167" fontId="1" fillId="13" borderId="21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 locked="0"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41" xfId="0" applyNumberFormat="1" applyFont="1" applyFill="1" applyBorder="1" applyAlignment="1" applyProtection="1">
      <alignment horizontal="center"/>
      <protection/>
    </xf>
    <xf numFmtId="167" fontId="1" fillId="38" borderId="28" xfId="0" applyNumberFormat="1" applyFont="1" applyFill="1" applyBorder="1" applyAlignment="1" applyProtection="1">
      <alignment horizontal="center"/>
      <protection/>
    </xf>
    <xf numFmtId="2" fontId="1" fillId="38" borderId="28" xfId="0" applyNumberFormat="1" applyFont="1" applyFill="1" applyBorder="1" applyAlignment="1" applyProtection="1">
      <alignment horizontal="center"/>
      <protection locked="0"/>
    </xf>
    <xf numFmtId="2" fontId="1" fillId="38" borderId="28" xfId="0" applyNumberFormat="1" applyFont="1" applyFill="1" applyBorder="1" applyAlignment="1" applyProtection="1">
      <alignment horizontal="center"/>
      <protection/>
    </xf>
    <xf numFmtId="2" fontId="1" fillId="38" borderId="36" xfId="0" applyNumberFormat="1" applyFont="1" applyFill="1" applyBorder="1" applyAlignment="1" applyProtection="1">
      <alignment horizontal="center"/>
      <protection/>
    </xf>
    <xf numFmtId="2" fontId="1" fillId="38" borderId="25" xfId="0" applyNumberFormat="1" applyFont="1" applyFill="1" applyBorder="1" applyAlignment="1" applyProtection="1">
      <alignment horizontal="center"/>
      <protection/>
    </xf>
    <xf numFmtId="167" fontId="1" fillId="38" borderId="11" xfId="0" applyNumberFormat="1" applyFont="1" applyFill="1" applyBorder="1" applyAlignment="1" applyProtection="1">
      <alignment horizontal="center"/>
      <protection/>
    </xf>
    <xf numFmtId="2" fontId="1" fillId="38" borderId="11" xfId="0" applyNumberFormat="1" applyFont="1" applyFill="1" applyBorder="1" applyAlignment="1" applyProtection="1">
      <alignment horizontal="center"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167" fontId="1" fillId="34" borderId="21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 locked="0"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4" borderId="41" xfId="0" applyNumberFormat="1" applyFont="1" applyFill="1" applyBorder="1" applyAlignment="1" applyProtection="1">
      <alignment horizontal="center"/>
      <protection/>
    </xf>
    <xf numFmtId="167" fontId="1" fillId="34" borderId="23" xfId="0" applyNumberFormat="1" applyFont="1" applyFill="1" applyBorder="1" applyAlignment="1" applyProtection="1">
      <alignment horizontal="center"/>
      <protection/>
    </xf>
    <xf numFmtId="2" fontId="1" fillId="34" borderId="23" xfId="0" applyNumberFormat="1" applyFont="1" applyFill="1" applyBorder="1" applyAlignment="1" applyProtection="1">
      <alignment horizontal="center"/>
      <protection locked="0"/>
    </xf>
    <xf numFmtId="2" fontId="1" fillId="34" borderId="23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/>
    </xf>
    <xf numFmtId="165" fontId="1" fillId="33" borderId="21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65" fontId="1" fillId="38" borderId="28" xfId="0" applyNumberFormat="1" applyFont="1" applyFill="1" applyBorder="1" applyAlignment="1" applyProtection="1">
      <alignment horizontal="center"/>
      <protection locked="0"/>
    </xf>
    <xf numFmtId="165" fontId="1" fillId="38" borderId="11" xfId="0" applyNumberFormat="1" applyFont="1" applyFill="1" applyBorder="1" applyAlignment="1" applyProtection="1">
      <alignment horizontal="center"/>
      <protection locked="0"/>
    </xf>
    <xf numFmtId="165" fontId="1" fillId="34" borderId="21" xfId="0" applyNumberFormat="1" applyFont="1" applyFill="1" applyBorder="1" applyAlignment="1" applyProtection="1">
      <alignment horizontal="center"/>
      <protection locked="0"/>
    </xf>
    <xf numFmtId="165" fontId="1" fillId="34" borderId="23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3" xfId="0" applyNumberFormat="1" applyFont="1" applyFill="1" applyBorder="1" applyAlignment="1" applyProtection="1">
      <alignment horizontal="center"/>
      <protection locked="0"/>
    </xf>
    <xf numFmtId="1" fontId="1" fillId="13" borderId="21" xfId="0" applyNumberFormat="1" applyFont="1" applyFill="1" applyBorder="1" applyAlignment="1" applyProtection="1">
      <alignment horizontal="center"/>
      <protection locked="0"/>
    </xf>
    <xf numFmtId="1" fontId="1" fillId="38" borderId="28" xfId="0" applyNumberFormat="1" applyFont="1" applyFill="1" applyBorder="1" applyAlignment="1" applyProtection="1">
      <alignment horizontal="center"/>
      <protection locked="0"/>
    </xf>
    <xf numFmtId="1" fontId="1" fillId="38" borderId="11" xfId="0" applyNumberFormat="1" applyFont="1" applyFill="1" applyBorder="1" applyAlignment="1" applyProtection="1">
      <alignment horizontal="center"/>
      <protection locked="0"/>
    </xf>
    <xf numFmtId="1" fontId="1" fillId="34" borderId="21" xfId="0" applyNumberFormat="1" applyFont="1" applyFill="1" applyBorder="1" applyAlignment="1" applyProtection="1">
      <alignment horizontal="center"/>
      <protection locked="0"/>
    </xf>
    <xf numFmtId="1" fontId="1" fillId="34" borderId="23" xfId="0" applyNumberFormat="1" applyFont="1" applyFill="1" applyBorder="1" applyAlignment="1" applyProtection="1">
      <alignment horizontal="center"/>
      <protection locked="0"/>
    </xf>
    <xf numFmtId="2" fontId="1" fillId="34" borderId="14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vertical="top"/>
    </xf>
    <xf numFmtId="165" fontId="10" fillId="33" borderId="23" xfId="0" applyNumberFormat="1" applyFont="1" applyFill="1" applyBorder="1" applyAlignment="1">
      <alignment horizontal="center" vertical="top"/>
    </xf>
    <xf numFmtId="165" fontId="10" fillId="13" borderId="10" xfId="0" applyNumberFormat="1" applyFont="1" applyFill="1" applyBorder="1" applyAlignment="1">
      <alignment horizontal="center" vertical="top"/>
    </xf>
    <xf numFmtId="165" fontId="10" fillId="13" borderId="23" xfId="0" applyNumberFormat="1" applyFont="1" applyFill="1" applyBorder="1" applyAlignment="1">
      <alignment horizontal="center" vertical="top"/>
    </xf>
    <xf numFmtId="165" fontId="10" fillId="38" borderId="10" xfId="0" applyNumberFormat="1" applyFont="1" applyFill="1" applyBorder="1" applyAlignment="1">
      <alignment horizontal="center" vertical="top"/>
    </xf>
    <xf numFmtId="165" fontId="10" fillId="38" borderId="23" xfId="0" applyNumberFormat="1" applyFont="1" applyFill="1" applyBorder="1" applyAlignment="1">
      <alignment horizontal="center" vertical="top"/>
    </xf>
    <xf numFmtId="165" fontId="10" fillId="34" borderId="10" xfId="0" applyNumberFormat="1" applyFont="1" applyFill="1" applyBorder="1" applyAlignment="1">
      <alignment horizontal="center" vertical="top"/>
    </xf>
    <xf numFmtId="165" fontId="1" fillId="34" borderId="14" xfId="0" applyNumberFormat="1" applyFont="1" applyFill="1" applyBorder="1" applyAlignment="1">
      <alignment horizontal="center"/>
    </xf>
    <xf numFmtId="165" fontId="10" fillId="34" borderId="23" xfId="0" applyNumberFormat="1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>
      <alignment horizontal="center" vertical="top"/>
    </xf>
    <xf numFmtId="1" fontId="10" fillId="33" borderId="23" xfId="0" applyNumberFormat="1" applyFont="1" applyFill="1" applyBorder="1" applyAlignment="1">
      <alignment horizontal="center" vertical="top"/>
    </xf>
    <xf numFmtId="1" fontId="10" fillId="13" borderId="10" xfId="0" applyNumberFormat="1" applyFont="1" applyFill="1" applyBorder="1" applyAlignment="1">
      <alignment horizontal="center" vertical="top"/>
    </xf>
    <xf numFmtId="1" fontId="10" fillId="13" borderId="23" xfId="0" applyNumberFormat="1" applyFont="1" applyFill="1" applyBorder="1" applyAlignment="1">
      <alignment horizontal="center" vertical="top"/>
    </xf>
    <xf numFmtId="1" fontId="10" fillId="38" borderId="10" xfId="0" applyNumberFormat="1" applyFont="1" applyFill="1" applyBorder="1" applyAlignment="1">
      <alignment horizontal="center" vertical="top"/>
    </xf>
    <xf numFmtId="1" fontId="10" fillId="38" borderId="23" xfId="0" applyNumberFormat="1" applyFont="1" applyFill="1" applyBorder="1" applyAlignment="1">
      <alignment horizontal="center" vertical="top"/>
    </xf>
    <xf numFmtId="1" fontId="10" fillId="34" borderId="10" xfId="0" applyNumberFormat="1" applyFont="1" applyFill="1" applyBorder="1" applyAlignment="1">
      <alignment horizontal="center" vertical="top"/>
    </xf>
    <xf numFmtId="1" fontId="10" fillId="34" borderId="23" xfId="0" applyNumberFormat="1" applyFont="1" applyFill="1" applyBorder="1" applyAlignment="1">
      <alignment horizontal="center" vertical="top"/>
    </xf>
    <xf numFmtId="2" fontId="1" fillId="33" borderId="27" xfId="0" applyNumberFormat="1" applyFont="1" applyFill="1" applyBorder="1" applyAlignment="1" applyProtection="1">
      <alignment horizontal="center"/>
      <protection/>
    </xf>
    <xf numFmtId="167" fontId="1" fillId="13" borderId="28" xfId="0" applyNumberFormat="1" applyFont="1" applyFill="1" applyBorder="1" applyAlignment="1" applyProtection="1">
      <alignment horizontal="center"/>
      <protection/>
    </xf>
    <xf numFmtId="2" fontId="1" fillId="13" borderId="28" xfId="0" applyNumberFormat="1" applyFont="1" applyFill="1" applyBorder="1" applyAlignment="1" applyProtection="1">
      <alignment horizontal="center"/>
      <protection locked="0"/>
    </xf>
    <xf numFmtId="2" fontId="1" fillId="13" borderId="28" xfId="0" applyNumberFormat="1" applyFont="1" applyFill="1" applyBorder="1" applyAlignment="1" applyProtection="1">
      <alignment horizontal="center"/>
      <protection/>
    </xf>
    <xf numFmtId="2" fontId="1" fillId="13" borderId="36" xfId="0" applyNumberFormat="1" applyFont="1" applyFill="1" applyBorder="1" applyAlignment="1" applyProtection="1">
      <alignment horizontal="center"/>
      <protection/>
    </xf>
    <xf numFmtId="167" fontId="1" fillId="38" borderId="23" xfId="0" applyNumberFormat="1" applyFont="1" applyFill="1" applyBorder="1" applyAlignment="1" applyProtection="1">
      <alignment horizontal="center"/>
      <protection/>
    </xf>
    <xf numFmtId="2" fontId="1" fillId="38" borderId="23" xfId="0" applyNumberFormat="1" applyFont="1" applyFill="1" applyBorder="1" applyAlignment="1" applyProtection="1">
      <alignment horizontal="center"/>
      <protection/>
    </xf>
    <xf numFmtId="2" fontId="1" fillId="38" borderId="26" xfId="0" applyNumberFormat="1" applyFont="1" applyFill="1" applyBorder="1" applyAlignment="1" applyProtection="1">
      <alignment horizontal="center"/>
      <protection/>
    </xf>
    <xf numFmtId="2" fontId="1" fillId="38" borderId="23" xfId="0" applyNumberFormat="1" applyFont="1" applyFill="1" applyBorder="1" applyAlignment="1" applyProtection="1">
      <alignment horizontal="center"/>
      <protection locked="0"/>
    </xf>
    <xf numFmtId="165" fontId="1" fillId="38" borderId="21" xfId="0" applyNumberFormat="1" applyFont="1" applyFill="1" applyBorder="1" applyAlignment="1" applyProtection="1">
      <alignment horizontal="center"/>
      <protection locked="0"/>
    </xf>
    <xf numFmtId="165" fontId="1" fillId="38" borderId="23" xfId="0" applyNumberFormat="1" applyFont="1" applyFill="1" applyBorder="1" applyAlignment="1" applyProtection="1">
      <alignment horizontal="center"/>
      <protection locked="0"/>
    </xf>
    <xf numFmtId="1" fontId="1" fillId="38" borderId="21" xfId="0" applyNumberFormat="1" applyFont="1" applyFill="1" applyBorder="1" applyAlignment="1" applyProtection="1">
      <alignment horizontal="center"/>
      <protection locked="0"/>
    </xf>
    <xf numFmtId="1" fontId="1" fillId="38" borderId="23" xfId="0" applyNumberFormat="1" applyFont="1" applyFill="1" applyBorder="1" applyAlignment="1" applyProtection="1">
      <alignment horizontal="center"/>
      <protection locked="0"/>
    </xf>
    <xf numFmtId="2" fontId="1" fillId="33" borderId="42" xfId="0" applyNumberFormat="1" applyFont="1" applyFill="1" applyBorder="1" applyAlignment="1">
      <alignment horizontal="center"/>
    </xf>
    <xf numFmtId="2" fontId="1" fillId="13" borderId="48" xfId="0" applyNumberFormat="1" applyFont="1" applyFill="1" applyBorder="1" applyAlignment="1">
      <alignment horizontal="center"/>
    </xf>
    <xf numFmtId="2" fontId="1" fillId="13" borderId="49" xfId="0" applyNumberFormat="1" applyFont="1" applyFill="1" applyBorder="1" applyAlignment="1">
      <alignment horizontal="center"/>
    </xf>
    <xf numFmtId="2" fontId="1" fillId="13" borderId="50" xfId="0" applyNumberFormat="1" applyFont="1" applyFill="1" applyBorder="1" applyAlignment="1">
      <alignment horizontal="center"/>
    </xf>
    <xf numFmtId="2" fontId="1" fillId="13" borderId="51" xfId="0" applyNumberFormat="1" applyFont="1" applyFill="1" applyBorder="1" applyAlignment="1">
      <alignment horizontal="center"/>
    </xf>
    <xf numFmtId="2" fontId="1" fillId="36" borderId="48" xfId="0" applyNumberFormat="1" applyFont="1" applyFill="1" applyBorder="1" applyAlignment="1">
      <alignment horizontal="center"/>
    </xf>
    <xf numFmtId="2" fontId="1" fillId="36" borderId="49" xfId="0" applyNumberFormat="1" applyFont="1" applyFill="1" applyBorder="1" applyAlignment="1">
      <alignment horizontal="center"/>
    </xf>
    <xf numFmtId="2" fontId="1" fillId="36" borderId="24" xfId="0" applyNumberFormat="1" applyFont="1" applyFill="1" applyBorder="1" applyAlignment="1">
      <alignment horizontal="center"/>
    </xf>
    <xf numFmtId="2" fontId="1" fillId="36" borderId="50" xfId="0" applyNumberFormat="1" applyFont="1" applyFill="1" applyBorder="1" applyAlignment="1">
      <alignment horizontal="center"/>
    </xf>
    <xf numFmtId="2" fontId="1" fillId="36" borderId="51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>
      <alignment horizontal="center"/>
    </xf>
    <xf numFmtId="2" fontId="1" fillId="38" borderId="42" xfId="0" applyNumberFormat="1" applyFont="1" applyFill="1" applyBorder="1" applyAlignment="1">
      <alignment horizontal="center"/>
    </xf>
    <xf numFmtId="165" fontId="1" fillId="13" borderId="42" xfId="0" applyNumberFormat="1" applyFont="1" applyFill="1" applyBorder="1" applyAlignment="1">
      <alignment horizontal="center"/>
    </xf>
    <xf numFmtId="165" fontId="1" fillId="38" borderId="42" xfId="0" applyNumberFormat="1" applyFont="1" applyFill="1" applyBorder="1" applyAlignment="1">
      <alignment horizontal="center"/>
    </xf>
    <xf numFmtId="165" fontId="1" fillId="36" borderId="42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/>
    </xf>
    <xf numFmtId="2" fontId="1" fillId="33" borderId="12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 locked="0"/>
    </xf>
    <xf numFmtId="165" fontId="1" fillId="33" borderId="11" xfId="0" applyNumberFormat="1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167" fontId="1" fillId="34" borderId="14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165" fontId="10" fillId="13" borderId="28" xfId="0" applyNumberFormat="1" applyFont="1" applyFill="1" applyBorder="1" applyAlignment="1">
      <alignment horizontal="center" vertical="top" wrapText="1"/>
    </xf>
    <xf numFmtId="1" fontId="10" fillId="13" borderId="28" xfId="0" applyNumberFormat="1" applyFont="1" applyFill="1" applyBorder="1" applyAlignment="1">
      <alignment horizontal="center" vertical="top" wrapText="1"/>
    </xf>
    <xf numFmtId="165" fontId="10" fillId="38" borderId="28" xfId="0" applyNumberFormat="1" applyFont="1" applyFill="1" applyBorder="1" applyAlignment="1">
      <alignment horizontal="center" vertical="top" wrapText="1"/>
    </xf>
    <xf numFmtId="1" fontId="10" fillId="38" borderId="28" xfId="0" applyNumberFormat="1" applyFont="1" applyFill="1" applyBorder="1" applyAlignment="1">
      <alignment horizontal="center" vertical="top" wrapText="1"/>
    </xf>
    <xf numFmtId="0" fontId="3" fillId="34" borderId="23" xfId="0" applyFont="1" applyFill="1" applyBorder="1" applyAlignment="1" applyProtection="1">
      <alignment/>
      <protection locked="0"/>
    </xf>
    <xf numFmtId="175" fontId="1" fillId="34" borderId="23" xfId="0" applyNumberFormat="1" applyFont="1" applyFill="1" applyBorder="1" applyAlignment="1" applyProtection="1">
      <alignment horizontal="center"/>
      <protection/>
    </xf>
    <xf numFmtId="165" fontId="1" fillId="13" borderId="28" xfId="0" applyNumberFormat="1" applyFont="1" applyFill="1" applyBorder="1" applyAlignment="1" applyProtection="1">
      <alignment horizontal="center"/>
      <protection locked="0"/>
    </xf>
    <xf numFmtId="1" fontId="1" fillId="13" borderId="28" xfId="0" applyNumberFormat="1" applyFont="1" applyFill="1" applyBorder="1" applyAlignment="1" applyProtection="1">
      <alignment horizontal="center"/>
      <protection locked="0"/>
    </xf>
    <xf numFmtId="175" fontId="1" fillId="13" borderId="28" xfId="0" applyNumberFormat="1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/>
      <protection locked="0"/>
    </xf>
    <xf numFmtId="175" fontId="1" fillId="33" borderId="23" xfId="0" applyNumberFormat="1" applyFont="1" applyFill="1" applyBorder="1" applyAlignment="1" applyProtection="1">
      <alignment horizontal="center"/>
      <protection/>
    </xf>
    <xf numFmtId="0" fontId="1" fillId="38" borderId="28" xfId="0" applyFont="1" applyFill="1" applyBorder="1" applyAlignment="1" applyProtection="1">
      <alignment/>
      <protection locked="0"/>
    </xf>
    <xf numFmtId="175" fontId="1" fillId="38" borderId="28" xfId="0" applyNumberFormat="1" applyFont="1" applyFill="1" applyBorder="1" applyAlignment="1" applyProtection="1">
      <alignment horizontal="center"/>
      <protection/>
    </xf>
    <xf numFmtId="175" fontId="1" fillId="13" borderId="23" xfId="0" applyNumberFormat="1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165" fontId="1" fillId="34" borderId="28" xfId="0" applyNumberFormat="1" applyFont="1" applyFill="1" applyBorder="1" applyAlignment="1" applyProtection="1">
      <alignment horizontal="center"/>
      <protection locked="0"/>
    </xf>
    <xf numFmtId="1" fontId="1" fillId="34" borderId="28" xfId="0" applyNumberFormat="1" applyFont="1" applyFill="1" applyBorder="1" applyAlignment="1" applyProtection="1">
      <alignment horizontal="center"/>
      <protection locked="0"/>
    </xf>
    <xf numFmtId="175" fontId="1" fillId="34" borderId="28" xfId="0" applyNumberFormat="1" applyFont="1" applyFill="1" applyBorder="1" applyAlignment="1" applyProtection="1">
      <alignment horizontal="center"/>
      <protection/>
    </xf>
    <xf numFmtId="2" fontId="1" fillId="34" borderId="28" xfId="0" applyNumberFormat="1" applyFont="1" applyFill="1" applyBorder="1" applyAlignment="1" applyProtection="1">
      <alignment horizontal="center"/>
      <protection locked="0"/>
    </xf>
    <xf numFmtId="2" fontId="1" fillId="34" borderId="28" xfId="0" applyNumberFormat="1" applyFont="1" applyFill="1" applyBorder="1" applyAlignment="1" applyProtection="1">
      <alignment horizontal="center"/>
      <protection/>
    </xf>
    <xf numFmtId="2" fontId="1" fillId="34" borderId="36" xfId="0" applyNumberFormat="1" applyFont="1" applyFill="1" applyBorder="1" applyAlignment="1" applyProtection="1">
      <alignment horizontal="center"/>
      <protection/>
    </xf>
    <xf numFmtId="175" fontId="1" fillId="38" borderId="23" xfId="0" applyNumberFormat="1" applyFont="1" applyFill="1" applyBorder="1" applyAlignment="1" applyProtection="1">
      <alignment horizontal="center"/>
      <protection/>
    </xf>
    <xf numFmtId="2" fontId="1" fillId="38" borderId="42" xfId="0" applyNumberFormat="1" applyFont="1" applyFill="1" applyBorder="1" applyAlignment="1" applyProtection="1">
      <alignment horizontal="center"/>
      <protection locked="0"/>
    </xf>
    <xf numFmtId="167" fontId="1" fillId="34" borderId="28" xfId="0" applyNumberFormat="1" applyFont="1" applyFill="1" applyBorder="1" applyAlignment="1" applyProtection="1">
      <alignment horizontal="center"/>
      <protection/>
    </xf>
    <xf numFmtId="0" fontId="1" fillId="0" borderId="43" xfId="0" applyFont="1" applyBorder="1" applyAlignment="1">
      <alignment/>
    </xf>
    <xf numFmtId="0" fontId="1" fillId="33" borderId="52" xfId="0" applyFont="1" applyFill="1" applyBorder="1" applyAlignment="1">
      <alignment/>
    </xf>
    <xf numFmtId="2" fontId="1" fillId="38" borderId="34" xfId="0" applyNumberFormat="1" applyFont="1" applyFill="1" applyBorder="1" applyAlignment="1">
      <alignment horizontal="center"/>
    </xf>
    <xf numFmtId="166" fontId="1" fillId="38" borderId="14" xfId="0" applyNumberFormat="1" applyFont="1" applyFill="1" applyBorder="1" applyAlignment="1">
      <alignment horizontal="center"/>
    </xf>
    <xf numFmtId="167" fontId="1" fillId="38" borderId="14" xfId="0" applyNumberFormat="1" applyFont="1" applyFill="1" applyBorder="1" applyAlignment="1">
      <alignment horizontal="center"/>
    </xf>
    <xf numFmtId="2" fontId="1" fillId="38" borderId="14" xfId="0" applyNumberFormat="1" applyFont="1" applyFill="1" applyBorder="1" applyAlignment="1">
      <alignment horizontal="center"/>
    </xf>
    <xf numFmtId="165" fontId="1" fillId="39" borderId="24" xfId="0" applyNumberFormat="1" applyFont="1" applyFill="1" applyBorder="1" applyAlignment="1">
      <alignment horizontal="center"/>
    </xf>
    <xf numFmtId="2" fontId="1" fillId="36" borderId="28" xfId="0" applyNumberFormat="1" applyFont="1" applyFill="1" applyBorder="1" applyAlignment="1">
      <alignment horizontal="left" indent="3"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left" indent="3"/>
    </xf>
    <xf numFmtId="166" fontId="1" fillId="36" borderId="10" xfId="0" applyNumberFormat="1" applyFont="1" applyFill="1" applyBorder="1" applyAlignment="1">
      <alignment/>
    </xf>
    <xf numFmtId="166" fontId="1" fillId="36" borderId="10" xfId="0" applyNumberFormat="1" applyFont="1" applyFill="1" applyBorder="1" applyAlignment="1">
      <alignment horizontal="left" indent="4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166" fontId="1" fillId="13" borderId="23" xfId="0" applyNumberFormat="1" applyFont="1" applyFill="1" applyBorder="1" applyAlignment="1" applyProtection="1">
      <alignment horizontal="center"/>
      <protection locked="0"/>
    </xf>
    <xf numFmtId="166" fontId="1" fillId="34" borderId="21" xfId="0" applyNumberFormat="1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/>
      <protection locked="0"/>
    </xf>
    <xf numFmtId="166" fontId="1" fillId="35" borderId="28" xfId="0" applyNumberFormat="1" applyFont="1" applyFill="1" applyBorder="1" applyAlignment="1">
      <alignment horizontal="center"/>
    </xf>
    <xf numFmtId="166" fontId="1" fillId="35" borderId="23" xfId="0" applyNumberFormat="1" applyFont="1" applyFill="1" applyBorder="1" applyAlignment="1">
      <alignment horizontal="center"/>
    </xf>
    <xf numFmtId="166" fontId="1" fillId="39" borderId="21" xfId="0" applyNumberFormat="1" applyFont="1" applyFill="1" applyBorder="1" applyAlignment="1">
      <alignment horizontal="center"/>
    </xf>
    <xf numFmtId="166" fontId="1" fillId="36" borderId="21" xfId="0" applyNumberFormat="1" applyFont="1" applyFill="1" applyBorder="1" applyAlignment="1">
      <alignment horizontal="center"/>
    </xf>
    <xf numFmtId="166" fontId="1" fillId="36" borderId="23" xfId="0" applyNumberFormat="1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66" fontId="1" fillId="39" borderId="34" xfId="0" applyNumberFormat="1" applyFont="1" applyFill="1" applyBorder="1" applyAlignment="1">
      <alignment horizontal="center"/>
    </xf>
    <xf numFmtId="166" fontId="1" fillId="39" borderId="36" xfId="0" applyNumberFormat="1" applyFont="1" applyFill="1" applyBorder="1" applyAlignment="1">
      <alignment horizontal="center"/>
    </xf>
    <xf numFmtId="2" fontId="1" fillId="39" borderId="28" xfId="0" applyNumberFormat="1" applyFont="1" applyFill="1" applyBorder="1" applyAlignment="1" quotePrefix="1">
      <alignment horizontal="center"/>
    </xf>
    <xf numFmtId="2" fontId="1" fillId="39" borderId="10" xfId="0" applyNumberFormat="1" applyFont="1" applyFill="1" applyBorder="1" applyAlignment="1" quotePrefix="1">
      <alignment horizontal="center"/>
    </xf>
    <xf numFmtId="166" fontId="1" fillId="36" borderId="28" xfId="0" applyNumberFormat="1" applyFont="1" applyFill="1" applyBorder="1" applyAlignment="1">
      <alignment horizontal="center"/>
    </xf>
    <xf numFmtId="166" fontId="1" fillId="13" borderId="21" xfId="0" applyNumberFormat="1" applyFont="1" applyFill="1" applyBorder="1" applyAlignment="1">
      <alignment horizontal="center"/>
    </xf>
    <xf numFmtId="2" fontId="1" fillId="35" borderId="36" xfId="0" applyNumberFormat="1" applyFont="1" applyFill="1" applyBorder="1" applyAlignment="1">
      <alignment horizontal="center"/>
    </xf>
    <xf numFmtId="1" fontId="1" fillId="36" borderId="11" xfId="0" applyNumberFormat="1" applyFont="1" applyFill="1" applyBorder="1" applyAlignment="1">
      <alignment horizontal="center"/>
    </xf>
    <xf numFmtId="166" fontId="1" fillId="34" borderId="23" xfId="0" applyNumberFormat="1" applyFont="1" applyFill="1" applyBorder="1" applyAlignment="1" applyProtection="1">
      <alignment horizontal="center"/>
      <protection locked="0"/>
    </xf>
    <xf numFmtId="3" fontId="10" fillId="13" borderId="10" xfId="0" applyNumberFormat="1" applyFont="1" applyFill="1" applyBorder="1" applyAlignment="1">
      <alignment horizontal="center" vertical="top"/>
    </xf>
    <xf numFmtId="167" fontId="1" fillId="35" borderId="28" xfId="0" applyNumberFormat="1" applyFont="1" applyFill="1" applyBorder="1" applyAlignment="1" applyProtection="1">
      <alignment horizontal="center"/>
      <protection/>
    </xf>
    <xf numFmtId="2" fontId="1" fillId="35" borderId="24" xfId="0" applyNumberFormat="1" applyFont="1" applyFill="1" applyBorder="1" applyAlignment="1">
      <alignment horizontal="center"/>
    </xf>
    <xf numFmtId="167" fontId="1" fillId="35" borderId="42" xfId="0" applyNumberFormat="1" applyFont="1" applyFill="1" applyBorder="1" applyAlignment="1">
      <alignment horizontal="center"/>
    </xf>
    <xf numFmtId="2" fontId="1" fillId="35" borderId="50" xfId="0" applyNumberFormat="1" applyFont="1" applyFill="1" applyBorder="1" applyAlignment="1">
      <alignment horizontal="center"/>
    </xf>
    <xf numFmtId="2" fontId="1" fillId="35" borderId="51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165" fontId="1" fillId="34" borderId="28" xfId="0" applyNumberFormat="1" applyFont="1" applyFill="1" applyBorder="1" applyAlignment="1">
      <alignment horizontal="right"/>
    </xf>
    <xf numFmtId="165" fontId="1" fillId="35" borderId="21" xfId="42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/>
    </xf>
    <xf numFmtId="2" fontId="1" fillId="34" borderId="3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 quotePrefix="1">
      <alignment horizontal="center"/>
    </xf>
    <xf numFmtId="166" fontId="1" fillId="35" borderId="28" xfId="0" applyNumberFormat="1" applyFont="1" applyFill="1" applyBorder="1" applyAlignment="1" applyProtection="1">
      <alignment horizontal="center"/>
      <protection locked="0"/>
    </xf>
    <xf numFmtId="2" fontId="1" fillId="33" borderId="33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165" fontId="1" fillId="33" borderId="42" xfId="0" applyNumberFormat="1" applyFont="1" applyFill="1" applyBorder="1" applyAlignment="1">
      <alignment horizontal="center"/>
    </xf>
    <xf numFmtId="1" fontId="1" fillId="33" borderId="42" xfId="0" applyNumberFormat="1" applyFont="1" applyFill="1" applyBorder="1" applyAlignment="1">
      <alignment horizontal="center"/>
    </xf>
    <xf numFmtId="1" fontId="10" fillId="33" borderId="21" xfId="0" applyNumberFormat="1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/>
    </xf>
    <xf numFmtId="165" fontId="10" fillId="33" borderId="21" xfId="0" applyNumberFormat="1" applyFont="1" applyFill="1" applyBorder="1" applyAlignment="1">
      <alignment horizontal="center" vertical="top" wrapText="1"/>
    </xf>
    <xf numFmtId="165" fontId="10" fillId="33" borderId="21" xfId="0" applyNumberFormat="1" applyFont="1" applyFill="1" applyBorder="1" applyAlignment="1">
      <alignment horizontal="center" wrapText="1"/>
    </xf>
    <xf numFmtId="167" fontId="10" fillId="33" borderId="21" xfId="0" applyNumberFormat="1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2" fontId="10" fillId="33" borderId="41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wrapText="1"/>
    </xf>
    <xf numFmtId="167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25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1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23" xfId="0" applyFont="1" applyFill="1" applyBorder="1" applyAlignment="1" applyProtection="1">
      <alignment horizontal="center" wrapText="1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165" fontId="10" fillId="33" borderId="23" xfId="0" applyNumberFormat="1" applyFont="1" applyFill="1" applyBorder="1" applyAlignment="1">
      <alignment horizontal="center" vertical="top" wrapText="1"/>
    </xf>
    <xf numFmtId="165" fontId="10" fillId="33" borderId="23" xfId="0" applyNumberFormat="1" applyFont="1" applyFill="1" applyBorder="1" applyAlignment="1">
      <alignment horizontal="center" wrapText="1"/>
    </xf>
    <xf numFmtId="1" fontId="10" fillId="33" borderId="23" xfId="0" applyNumberFormat="1" applyFont="1" applyFill="1" applyBorder="1" applyAlignment="1" applyProtection="1">
      <alignment horizontal="center" wrapText="1"/>
      <protection locked="0"/>
    </xf>
    <xf numFmtId="167" fontId="10" fillId="33" borderId="23" xfId="0" applyNumberFormat="1" applyFont="1" applyFill="1" applyBorder="1" applyAlignment="1">
      <alignment horizontal="center"/>
    </xf>
    <xf numFmtId="2" fontId="10" fillId="33" borderId="23" xfId="0" applyNumberFormat="1" applyFont="1" applyFill="1" applyBorder="1" applyAlignment="1">
      <alignment horizontal="center"/>
    </xf>
    <xf numFmtId="2" fontId="10" fillId="33" borderId="26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top"/>
    </xf>
    <xf numFmtId="0" fontId="10" fillId="13" borderId="21" xfId="0" applyFont="1" applyFill="1" applyBorder="1" applyAlignment="1" applyProtection="1">
      <alignment horizontal="center" wrapText="1"/>
      <protection locked="0"/>
    </xf>
    <xf numFmtId="0" fontId="10" fillId="13" borderId="21" xfId="0" applyFont="1" applyFill="1" applyBorder="1" applyAlignment="1" applyProtection="1">
      <alignment horizontal="center"/>
      <protection locked="0"/>
    </xf>
    <xf numFmtId="165" fontId="10" fillId="13" borderId="21" xfId="0" applyNumberFormat="1" applyFont="1" applyFill="1" applyBorder="1" applyAlignment="1">
      <alignment horizontal="center" vertical="top" wrapText="1"/>
    </xf>
    <xf numFmtId="165" fontId="10" fillId="13" borderId="21" xfId="0" applyNumberFormat="1" applyFont="1" applyFill="1" applyBorder="1" applyAlignment="1">
      <alignment horizontal="center" wrapText="1"/>
    </xf>
    <xf numFmtId="1" fontId="10" fillId="13" borderId="21" xfId="0" applyNumberFormat="1" applyFont="1" applyFill="1" applyBorder="1" applyAlignment="1" applyProtection="1">
      <alignment horizontal="center"/>
      <protection locked="0"/>
    </xf>
    <xf numFmtId="1" fontId="10" fillId="13" borderId="21" xfId="0" applyNumberFormat="1" applyFont="1" applyFill="1" applyBorder="1" applyAlignment="1" applyProtection="1">
      <alignment horizontal="center" wrapText="1"/>
      <protection locked="0"/>
    </xf>
    <xf numFmtId="167" fontId="10" fillId="13" borderId="21" xfId="0" applyNumberFormat="1" applyFont="1" applyFill="1" applyBorder="1" applyAlignment="1">
      <alignment horizontal="center"/>
    </xf>
    <xf numFmtId="2" fontId="10" fillId="13" borderId="21" xfId="0" applyNumberFormat="1" applyFont="1" applyFill="1" applyBorder="1" applyAlignment="1">
      <alignment horizontal="center"/>
    </xf>
    <xf numFmtId="2" fontId="10" fillId="13" borderId="41" xfId="0" applyNumberFormat="1" applyFont="1" applyFill="1" applyBorder="1" applyAlignment="1">
      <alignment horizontal="center"/>
    </xf>
    <xf numFmtId="1" fontId="10" fillId="13" borderId="10" xfId="0" applyNumberFormat="1" applyFont="1" applyFill="1" applyBorder="1" applyAlignment="1">
      <alignment horizontal="center" wrapText="1"/>
    </xf>
    <xf numFmtId="0" fontId="10" fillId="13" borderId="10" xfId="0" applyFont="1" applyFill="1" applyBorder="1" applyAlignment="1">
      <alignment horizontal="center"/>
    </xf>
    <xf numFmtId="165" fontId="10" fillId="13" borderId="10" xfId="0" applyNumberFormat="1" applyFont="1" applyFill="1" applyBorder="1" applyAlignment="1">
      <alignment horizontal="center" wrapText="1"/>
    </xf>
    <xf numFmtId="167" fontId="10" fillId="13" borderId="10" xfId="0" applyNumberFormat="1" applyFont="1" applyFill="1" applyBorder="1" applyAlignment="1">
      <alignment horizontal="center"/>
    </xf>
    <xf numFmtId="2" fontId="10" fillId="13" borderId="10" xfId="0" applyNumberFormat="1" applyFont="1" applyFill="1" applyBorder="1" applyAlignment="1">
      <alignment horizontal="center"/>
    </xf>
    <xf numFmtId="2" fontId="10" fillId="13" borderId="25" xfId="0" applyNumberFormat="1" applyFont="1" applyFill="1" applyBorder="1" applyAlignment="1">
      <alignment horizontal="center"/>
    </xf>
    <xf numFmtId="0" fontId="10" fillId="13" borderId="10" xfId="0" applyFont="1" applyFill="1" applyBorder="1" applyAlignment="1" applyProtection="1">
      <alignment horizontal="center" wrapText="1"/>
      <protection locked="0"/>
    </xf>
    <xf numFmtId="0" fontId="10" fillId="13" borderId="10" xfId="0" applyFont="1" applyFill="1" applyBorder="1" applyAlignment="1" applyProtection="1">
      <alignment horizontal="center"/>
      <protection locked="0"/>
    </xf>
    <xf numFmtId="1" fontId="10" fillId="13" borderId="10" xfId="0" applyNumberFormat="1" applyFont="1" applyFill="1" applyBorder="1" applyAlignment="1" applyProtection="1">
      <alignment horizontal="center" wrapText="1"/>
      <protection locked="0"/>
    </xf>
    <xf numFmtId="1" fontId="10" fillId="13" borderId="10" xfId="0" applyNumberFormat="1" applyFont="1" applyFill="1" applyBorder="1" applyAlignment="1" applyProtection="1">
      <alignment horizontal="center"/>
      <protection locked="0"/>
    </xf>
    <xf numFmtId="0" fontId="10" fillId="13" borderId="23" xfId="0" applyFont="1" applyFill="1" applyBorder="1" applyAlignment="1" applyProtection="1">
      <alignment horizontal="center" wrapText="1"/>
      <protection locked="0"/>
    </xf>
    <xf numFmtId="0" fontId="10" fillId="13" borderId="23" xfId="0" applyFont="1" applyFill="1" applyBorder="1" applyAlignment="1" applyProtection="1">
      <alignment horizontal="center"/>
      <protection locked="0"/>
    </xf>
    <xf numFmtId="165" fontId="10" fillId="13" borderId="23" xfId="0" applyNumberFormat="1" applyFont="1" applyFill="1" applyBorder="1" applyAlignment="1">
      <alignment horizontal="center" vertical="top" wrapText="1"/>
    </xf>
    <xf numFmtId="165" fontId="10" fillId="13" borderId="23" xfId="0" applyNumberFormat="1" applyFont="1" applyFill="1" applyBorder="1" applyAlignment="1">
      <alignment horizontal="center" wrapText="1"/>
    </xf>
    <xf numFmtId="1" fontId="10" fillId="13" borderId="23" xfId="0" applyNumberFormat="1" applyFont="1" applyFill="1" applyBorder="1" applyAlignment="1" applyProtection="1">
      <alignment horizontal="center" wrapText="1"/>
      <protection locked="0"/>
    </xf>
    <xf numFmtId="167" fontId="10" fillId="13" borderId="23" xfId="0" applyNumberFormat="1" applyFont="1" applyFill="1" applyBorder="1" applyAlignment="1">
      <alignment horizontal="center"/>
    </xf>
    <xf numFmtId="2" fontId="10" fillId="13" borderId="23" xfId="0" applyNumberFormat="1" applyFont="1" applyFill="1" applyBorder="1" applyAlignment="1">
      <alignment horizontal="center"/>
    </xf>
    <xf numFmtId="2" fontId="10" fillId="13" borderId="26" xfId="0" applyNumberFormat="1" applyFont="1" applyFill="1" applyBorder="1" applyAlignment="1">
      <alignment horizontal="center"/>
    </xf>
    <xf numFmtId="1" fontId="1" fillId="13" borderId="44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 quotePrefix="1">
      <alignment horizontal="center"/>
    </xf>
    <xf numFmtId="2" fontId="1" fillId="38" borderId="33" xfId="0" applyNumberFormat="1" applyFont="1" applyFill="1" applyBorder="1" applyAlignment="1">
      <alignment horizontal="center"/>
    </xf>
    <xf numFmtId="2" fontId="1" fillId="38" borderId="37" xfId="0" applyNumberFormat="1" applyFont="1" applyFill="1" applyBorder="1" applyAlignment="1">
      <alignment horizontal="center"/>
    </xf>
    <xf numFmtId="1" fontId="1" fillId="38" borderId="42" xfId="0" applyNumberFormat="1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 wrapText="1"/>
    </xf>
    <xf numFmtId="0" fontId="10" fillId="38" borderId="21" xfId="0" applyFont="1" applyFill="1" applyBorder="1" applyAlignment="1">
      <alignment horizontal="center"/>
    </xf>
    <xf numFmtId="165" fontId="10" fillId="38" borderId="21" xfId="0" applyNumberFormat="1" applyFont="1" applyFill="1" applyBorder="1" applyAlignment="1">
      <alignment horizontal="center" vertical="top" wrapText="1"/>
    </xf>
    <xf numFmtId="165" fontId="10" fillId="38" borderId="21" xfId="0" applyNumberFormat="1" applyFont="1" applyFill="1" applyBorder="1" applyAlignment="1">
      <alignment horizontal="center" wrapText="1"/>
    </xf>
    <xf numFmtId="1" fontId="10" fillId="38" borderId="21" xfId="0" applyNumberFormat="1" applyFont="1" applyFill="1" applyBorder="1" applyAlignment="1">
      <alignment horizontal="center" wrapText="1"/>
    </xf>
    <xf numFmtId="167" fontId="10" fillId="38" borderId="21" xfId="0" applyNumberFormat="1" applyFont="1" applyFill="1" applyBorder="1" applyAlignment="1">
      <alignment horizontal="center"/>
    </xf>
    <xf numFmtId="2" fontId="10" fillId="38" borderId="21" xfId="0" applyNumberFormat="1" applyFont="1" applyFill="1" applyBorder="1" applyAlignment="1">
      <alignment horizontal="center"/>
    </xf>
    <xf numFmtId="2" fontId="10" fillId="38" borderId="41" xfId="0" applyNumberFormat="1" applyFont="1" applyFill="1" applyBorder="1" applyAlignment="1">
      <alignment horizontal="center"/>
    </xf>
    <xf numFmtId="1" fontId="10" fillId="38" borderId="10" xfId="0" applyNumberFormat="1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/>
    </xf>
    <xf numFmtId="165" fontId="10" fillId="38" borderId="10" xfId="0" applyNumberFormat="1" applyFont="1" applyFill="1" applyBorder="1" applyAlignment="1">
      <alignment horizontal="center" wrapText="1"/>
    </xf>
    <xf numFmtId="167" fontId="10" fillId="38" borderId="10" xfId="0" applyNumberFormat="1" applyFont="1" applyFill="1" applyBorder="1" applyAlignment="1">
      <alignment horizontal="center"/>
    </xf>
    <xf numFmtId="2" fontId="10" fillId="38" borderId="10" xfId="0" applyNumberFormat="1" applyFont="1" applyFill="1" applyBorder="1" applyAlignment="1">
      <alignment horizontal="center"/>
    </xf>
    <xf numFmtId="2" fontId="10" fillId="38" borderId="25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 wrapText="1"/>
    </xf>
    <xf numFmtId="0" fontId="10" fillId="38" borderId="23" xfId="0" applyFont="1" applyFill="1" applyBorder="1" applyAlignment="1">
      <alignment horizontal="center" wrapText="1"/>
    </xf>
    <xf numFmtId="0" fontId="10" fillId="38" borderId="23" xfId="0" applyFont="1" applyFill="1" applyBorder="1" applyAlignment="1">
      <alignment horizontal="center"/>
    </xf>
    <xf numFmtId="165" fontId="10" fillId="38" borderId="23" xfId="0" applyNumberFormat="1" applyFont="1" applyFill="1" applyBorder="1" applyAlignment="1">
      <alignment horizontal="center" vertical="top" wrapText="1"/>
    </xf>
    <xf numFmtId="165" fontId="10" fillId="38" borderId="23" xfId="0" applyNumberFormat="1" applyFont="1" applyFill="1" applyBorder="1" applyAlignment="1">
      <alignment horizontal="center" wrapText="1"/>
    </xf>
    <xf numFmtId="1" fontId="10" fillId="38" borderId="23" xfId="0" applyNumberFormat="1" applyFont="1" applyFill="1" applyBorder="1" applyAlignment="1">
      <alignment horizontal="center" wrapText="1"/>
    </xf>
    <xf numFmtId="167" fontId="10" fillId="38" borderId="23" xfId="0" applyNumberFormat="1" applyFont="1" applyFill="1" applyBorder="1" applyAlignment="1">
      <alignment horizontal="center"/>
    </xf>
    <xf numFmtId="2" fontId="10" fillId="38" borderId="23" xfId="0" applyNumberFormat="1" applyFont="1" applyFill="1" applyBorder="1" applyAlignment="1">
      <alignment horizontal="center"/>
    </xf>
    <xf numFmtId="2" fontId="10" fillId="38" borderId="26" xfId="0" applyNumberFormat="1" applyFont="1" applyFill="1" applyBorder="1" applyAlignment="1">
      <alignment horizontal="center"/>
    </xf>
    <xf numFmtId="0" fontId="3" fillId="38" borderId="23" xfId="0" applyFont="1" applyFill="1" applyBorder="1" applyAlignment="1" applyProtection="1">
      <alignment/>
      <protection locked="0"/>
    </xf>
    <xf numFmtId="3" fontId="10" fillId="38" borderId="10" xfId="0" applyNumberFormat="1" applyFont="1" applyFill="1" applyBorder="1" applyAlignment="1">
      <alignment horizontal="center" vertical="top"/>
    </xf>
    <xf numFmtId="167" fontId="1" fillId="36" borderId="11" xfId="0" applyNumberFormat="1" applyFont="1" applyFill="1" applyBorder="1" applyAlignment="1">
      <alignment horizontal="center"/>
    </xf>
    <xf numFmtId="166" fontId="1" fillId="38" borderId="21" xfId="0" applyNumberFormat="1" applyFont="1" applyFill="1" applyBorder="1" applyAlignment="1" applyProtection="1">
      <alignment horizontal="center"/>
      <protection locked="0"/>
    </xf>
    <xf numFmtId="166" fontId="1" fillId="38" borderId="10" xfId="0" applyNumberFormat="1" applyFont="1" applyFill="1" applyBorder="1" applyAlignment="1" applyProtection="1">
      <alignment horizontal="center"/>
      <protection locked="0"/>
    </xf>
    <xf numFmtId="166" fontId="1" fillId="38" borderId="23" xfId="0" applyNumberFormat="1" applyFont="1" applyFill="1" applyBorder="1" applyAlignment="1" applyProtection="1">
      <alignment horizontal="center"/>
      <protection locked="0"/>
    </xf>
    <xf numFmtId="1" fontId="10" fillId="34" borderId="21" xfId="0" applyNumberFormat="1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 vertical="top" wrapText="1"/>
    </xf>
    <xf numFmtId="165" fontId="10" fillId="34" borderId="21" xfId="0" applyNumberFormat="1" applyFont="1" applyFill="1" applyBorder="1" applyAlignment="1">
      <alignment horizontal="center" wrapText="1"/>
    </xf>
    <xf numFmtId="167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2" fontId="10" fillId="34" borderId="41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165" fontId="10" fillId="34" borderId="10" xfId="0" applyNumberFormat="1" applyFont="1" applyFill="1" applyBorder="1" applyAlignment="1">
      <alignment horizontal="center" wrapText="1"/>
    </xf>
    <xf numFmtId="167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0" fillId="34" borderId="25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/>
    </xf>
    <xf numFmtId="165" fontId="10" fillId="34" borderId="23" xfId="0" applyNumberFormat="1" applyFont="1" applyFill="1" applyBorder="1" applyAlignment="1">
      <alignment horizontal="center" vertical="top" wrapText="1"/>
    </xf>
    <xf numFmtId="165" fontId="10" fillId="34" borderId="23" xfId="0" applyNumberFormat="1" applyFont="1" applyFill="1" applyBorder="1" applyAlignment="1">
      <alignment horizontal="center" wrapText="1"/>
    </xf>
    <xf numFmtId="1" fontId="10" fillId="34" borderId="23" xfId="0" applyNumberFormat="1" applyFont="1" applyFill="1" applyBorder="1" applyAlignment="1">
      <alignment horizontal="center" wrapText="1"/>
    </xf>
    <xf numFmtId="167" fontId="10" fillId="34" borderId="23" xfId="0" applyNumberFormat="1" applyFont="1" applyFill="1" applyBorder="1" applyAlignment="1">
      <alignment horizontal="center"/>
    </xf>
    <xf numFmtId="2" fontId="10" fillId="34" borderId="23" xfId="0" applyNumberFormat="1" applyFont="1" applyFill="1" applyBorder="1" applyAlignment="1">
      <alignment horizontal="center"/>
    </xf>
    <xf numFmtId="2" fontId="10" fillId="34" borderId="26" xfId="0" applyNumberFormat="1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1" fillId="34" borderId="21" xfId="0" applyFont="1" applyFill="1" applyBorder="1" applyAlignment="1" applyProtection="1">
      <alignment/>
      <protection locked="0"/>
    </xf>
    <xf numFmtId="3" fontId="10" fillId="34" borderId="10" xfId="0" applyNumberFormat="1" applyFont="1" applyFill="1" applyBorder="1" applyAlignment="1">
      <alignment horizontal="center" vertical="top"/>
    </xf>
    <xf numFmtId="0" fontId="1" fillId="34" borderId="44" xfId="0" applyFont="1" applyFill="1" applyBorder="1" applyAlignment="1">
      <alignment horizontal="center"/>
    </xf>
    <xf numFmtId="2" fontId="10" fillId="33" borderId="53" xfId="0" applyNumberFormat="1" applyFont="1" applyFill="1" applyBorder="1" applyAlignment="1">
      <alignment horizontal="left" wrapText="1"/>
    </xf>
    <xf numFmtId="2" fontId="10" fillId="33" borderId="31" xfId="0" applyNumberFormat="1" applyFont="1" applyFill="1" applyBorder="1" applyAlignment="1">
      <alignment horizontal="left" wrapText="1"/>
    </xf>
    <xf numFmtId="0" fontId="10" fillId="33" borderId="31" xfId="0" applyFont="1" applyFill="1" applyBorder="1" applyAlignment="1" applyProtection="1">
      <alignment horizontal="left" wrapText="1"/>
      <protection locked="0"/>
    </xf>
    <xf numFmtId="0" fontId="10" fillId="33" borderId="32" xfId="0" applyFont="1" applyFill="1" applyBorder="1" applyAlignment="1" applyProtection="1">
      <alignment horizontal="left" wrapText="1"/>
      <protection locked="0"/>
    </xf>
    <xf numFmtId="0" fontId="10" fillId="13" borderId="53" xfId="0" applyFont="1" applyFill="1" applyBorder="1" applyAlignment="1" applyProtection="1">
      <alignment horizontal="left" wrapText="1"/>
      <protection locked="0"/>
    </xf>
    <xf numFmtId="2" fontId="10" fillId="13" borderId="31" xfId="0" applyNumberFormat="1" applyFont="1" applyFill="1" applyBorder="1" applyAlignment="1">
      <alignment horizontal="left" wrapText="1"/>
    </xf>
    <xf numFmtId="0" fontId="10" fillId="13" borderId="31" xfId="0" applyFont="1" applyFill="1" applyBorder="1" applyAlignment="1" applyProtection="1">
      <alignment horizontal="left" wrapText="1"/>
      <protection locked="0"/>
    </xf>
    <xf numFmtId="0" fontId="10" fillId="13" borderId="32" xfId="0" applyFont="1" applyFill="1" applyBorder="1" applyAlignment="1" applyProtection="1">
      <alignment horizontal="left" wrapText="1"/>
      <protection locked="0"/>
    </xf>
    <xf numFmtId="0" fontId="10" fillId="38" borderId="53" xfId="0" applyFont="1" applyFill="1" applyBorder="1" applyAlignment="1">
      <alignment wrapText="1"/>
    </xf>
    <xf numFmtId="2" fontId="10" fillId="38" borderId="31" xfId="0" applyNumberFormat="1" applyFont="1" applyFill="1" applyBorder="1" applyAlignment="1">
      <alignment wrapText="1"/>
    </xf>
    <xf numFmtId="0" fontId="10" fillId="38" borderId="31" xfId="0" applyFont="1" applyFill="1" applyBorder="1" applyAlignment="1">
      <alignment wrapText="1"/>
    </xf>
    <xf numFmtId="0" fontId="10" fillId="38" borderId="32" xfId="0" applyFont="1" applyFill="1" applyBorder="1" applyAlignment="1">
      <alignment wrapText="1"/>
    </xf>
    <xf numFmtId="2" fontId="10" fillId="34" borderId="53" xfId="0" applyNumberFormat="1" applyFont="1" applyFill="1" applyBorder="1" applyAlignment="1">
      <alignment wrapText="1"/>
    </xf>
    <xf numFmtId="2" fontId="10" fillId="34" borderId="31" xfId="0" applyNumberFormat="1" applyFont="1" applyFill="1" applyBorder="1" applyAlignment="1">
      <alignment wrapText="1"/>
    </xf>
    <xf numFmtId="0" fontId="10" fillId="34" borderId="31" xfId="0" applyFont="1" applyFill="1" applyBorder="1" applyAlignment="1">
      <alignment wrapText="1"/>
    </xf>
    <xf numFmtId="0" fontId="10" fillId="34" borderId="32" xfId="0" applyFont="1" applyFill="1" applyBorder="1" applyAlignment="1">
      <alignment wrapText="1"/>
    </xf>
    <xf numFmtId="165" fontId="10" fillId="33" borderId="28" xfId="0" applyNumberFormat="1" applyFont="1" applyFill="1" applyBorder="1" applyAlignment="1">
      <alignment horizontal="center" vertical="top" wrapText="1"/>
    </xf>
    <xf numFmtId="1" fontId="10" fillId="33" borderId="28" xfId="0" applyNumberFormat="1" applyFont="1" applyFill="1" applyBorder="1" applyAlignment="1">
      <alignment horizontal="center" vertical="top" wrapText="1"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13" borderId="53" xfId="0" applyFont="1" applyFill="1" applyBorder="1" applyAlignment="1" applyProtection="1">
      <alignment/>
      <protection locked="0"/>
    </xf>
    <xf numFmtId="0" fontId="1" fillId="13" borderId="31" xfId="0" applyFont="1" applyFill="1" applyBorder="1" applyAlignment="1" applyProtection="1">
      <alignment/>
      <protection locked="0"/>
    </xf>
    <xf numFmtId="0" fontId="1" fillId="13" borderId="32" xfId="0" applyFont="1" applyFill="1" applyBorder="1" applyAlignment="1" applyProtection="1">
      <alignment/>
      <protection locked="0"/>
    </xf>
    <xf numFmtId="0" fontId="1" fillId="38" borderId="35" xfId="0" applyFont="1" applyFill="1" applyBorder="1" applyAlignment="1" applyProtection="1">
      <alignment/>
      <protection locked="0"/>
    </xf>
    <xf numFmtId="0" fontId="1" fillId="38" borderId="31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 locked="0"/>
    </xf>
    <xf numFmtId="0" fontId="1" fillId="34" borderId="53" xfId="0" applyFont="1" applyFill="1" applyBorder="1" applyAlignment="1" applyProtection="1">
      <alignment/>
      <protection locked="0"/>
    </xf>
    <xf numFmtId="0" fontId="1" fillId="34" borderId="31" xfId="0" applyFont="1" applyFill="1" applyBorder="1" applyAlignment="1" applyProtection="1">
      <alignment/>
      <protection locked="0"/>
    </xf>
    <xf numFmtId="0" fontId="3" fillId="34" borderId="31" xfId="0" applyFont="1" applyFill="1" applyBorder="1" applyAlignment="1" applyProtection="1">
      <alignment/>
      <protection locked="0"/>
    </xf>
    <xf numFmtId="0" fontId="3" fillId="34" borderId="32" xfId="0" applyFont="1" applyFill="1" applyBorder="1" applyAlignment="1" applyProtection="1">
      <alignment/>
      <protection locked="0"/>
    </xf>
    <xf numFmtId="0" fontId="1" fillId="13" borderId="28" xfId="0" applyFont="1" applyFill="1" applyBorder="1" applyAlignment="1">
      <alignment vertical="top"/>
    </xf>
    <xf numFmtId="3" fontId="10" fillId="13" borderId="28" xfId="0" applyNumberFormat="1" applyFont="1" applyFill="1" applyBorder="1" applyAlignment="1">
      <alignment horizontal="center" vertical="top"/>
    </xf>
    <xf numFmtId="165" fontId="10" fillId="13" borderId="28" xfId="0" applyNumberFormat="1" applyFont="1" applyFill="1" applyBorder="1" applyAlignment="1">
      <alignment horizontal="center" vertical="top"/>
    </xf>
    <xf numFmtId="1" fontId="10" fillId="13" borderId="28" xfId="0" applyNumberFormat="1" applyFont="1" applyFill="1" applyBorder="1" applyAlignment="1">
      <alignment horizontal="center" vertical="top"/>
    </xf>
    <xf numFmtId="3" fontId="10" fillId="33" borderId="23" xfId="0" applyNumberFormat="1" applyFont="1" applyFill="1" applyBorder="1" applyAlignment="1">
      <alignment horizontal="center" vertical="top"/>
    </xf>
    <xf numFmtId="0" fontId="1" fillId="38" borderId="28" xfId="0" applyFont="1" applyFill="1" applyBorder="1" applyAlignment="1">
      <alignment vertical="top"/>
    </xf>
    <xf numFmtId="3" fontId="10" fillId="38" borderId="28" xfId="0" applyNumberFormat="1" applyFont="1" applyFill="1" applyBorder="1" applyAlignment="1">
      <alignment horizontal="center" vertical="top"/>
    </xf>
    <xf numFmtId="165" fontId="10" fillId="38" borderId="28" xfId="0" applyNumberFormat="1" applyFont="1" applyFill="1" applyBorder="1" applyAlignment="1">
      <alignment horizontal="center" vertical="top"/>
    </xf>
    <xf numFmtId="1" fontId="10" fillId="38" borderId="28" xfId="0" applyNumberFormat="1" applyFont="1" applyFill="1" applyBorder="1" applyAlignment="1">
      <alignment horizontal="center" vertical="top"/>
    </xf>
    <xf numFmtId="3" fontId="10" fillId="13" borderId="23" xfId="0" applyNumberFormat="1" applyFont="1" applyFill="1" applyBorder="1" applyAlignment="1">
      <alignment horizontal="center" vertical="top"/>
    </xf>
    <xf numFmtId="0" fontId="1" fillId="34" borderId="28" xfId="0" applyFont="1" applyFill="1" applyBorder="1" applyAlignment="1">
      <alignment vertical="top"/>
    </xf>
    <xf numFmtId="3" fontId="10" fillId="34" borderId="28" xfId="0" applyNumberFormat="1" applyFont="1" applyFill="1" applyBorder="1" applyAlignment="1">
      <alignment horizontal="center" vertical="top"/>
    </xf>
    <xf numFmtId="165" fontId="10" fillId="34" borderId="28" xfId="0" applyNumberFormat="1" applyFont="1" applyFill="1" applyBorder="1" applyAlignment="1">
      <alignment horizontal="center" vertical="top"/>
    </xf>
    <xf numFmtId="1" fontId="10" fillId="34" borderId="28" xfId="0" applyNumberFormat="1" applyFont="1" applyFill="1" applyBorder="1" applyAlignment="1">
      <alignment horizontal="center" vertical="top"/>
    </xf>
    <xf numFmtId="3" fontId="10" fillId="38" borderId="23" xfId="0" applyNumberFormat="1" applyFont="1" applyFill="1" applyBorder="1" applyAlignment="1">
      <alignment horizontal="center" vertical="top"/>
    </xf>
    <xf numFmtId="3" fontId="10" fillId="34" borderId="23" xfId="0" applyNumberFormat="1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66" fontId="1" fillId="39" borderId="25" xfId="0" applyNumberFormat="1" applyFont="1" applyFill="1" applyBorder="1" applyAlignment="1">
      <alignment horizontal="center"/>
    </xf>
    <xf numFmtId="166" fontId="1" fillId="36" borderId="41" xfId="0" applyNumberFormat="1" applyFont="1" applyFill="1" applyBorder="1" applyAlignment="1">
      <alignment horizontal="center"/>
    </xf>
    <xf numFmtId="166" fontId="1" fillId="36" borderId="36" xfId="0" applyNumberFormat="1" applyFont="1" applyFill="1" applyBorder="1" applyAlignment="1">
      <alignment horizontal="center"/>
    </xf>
    <xf numFmtId="166" fontId="1" fillId="36" borderId="25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 quotePrefix="1">
      <alignment horizontal="center"/>
    </xf>
    <xf numFmtId="0" fontId="1" fillId="33" borderId="23" xfId="0" applyFont="1" applyFill="1" applyBorder="1" applyAlignment="1" applyProtection="1">
      <alignment horizontal="left"/>
      <protection locked="0"/>
    </xf>
    <xf numFmtId="165" fontId="1" fillId="33" borderId="23" xfId="0" applyNumberFormat="1" applyFont="1" applyFill="1" applyBorder="1" applyAlignment="1" applyProtection="1">
      <alignment horizontal="center"/>
      <protection/>
    </xf>
    <xf numFmtId="166" fontId="1" fillId="13" borderId="28" xfId="0" applyNumberFormat="1" applyFont="1" applyFill="1" applyBorder="1" applyAlignment="1" applyProtection="1">
      <alignment horizontal="center"/>
      <protection locked="0"/>
    </xf>
    <xf numFmtId="165" fontId="1" fillId="35" borderId="14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 applyProtection="1">
      <alignment horizontal="center"/>
      <protection locked="0"/>
    </xf>
    <xf numFmtId="165" fontId="1" fillId="33" borderId="33" xfId="0" applyNumberFormat="1" applyFont="1" applyFill="1" applyBorder="1" applyAlignment="1">
      <alignment horizontal="center"/>
    </xf>
    <xf numFmtId="165" fontId="1" fillId="33" borderId="24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165" fontId="1" fillId="33" borderId="27" xfId="0" applyNumberFormat="1" applyFont="1" applyFill="1" applyBorder="1" applyAlignment="1">
      <alignment horizontal="center"/>
    </xf>
    <xf numFmtId="165" fontId="1" fillId="13" borderId="34" xfId="0" applyNumberFormat="1" applyFont="1" applyFill="1" applyBorder="1" applyAlignment="1">
      <alignment horizontal="center"/>
    </xf>
    <xf numFmtId="165" fontId="1" fillId="13" borderId="24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/>
    </xf>
    <xf numFmtId="165" fontId="1" fillId="13" borderId="11" xfId="0" applyNumberFormat="1" applyFont="1" applyFill="1" applyBorder="1" applyAlignment="1">
      <alignment horizontal="center"/>
    </xf>
    <xf numFmtId="165" fontId="1" fillId="13" borderId="22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165" fontId="1" fillId="38" borderId="33" xfId="0" applyNumberFormat="1" applyFont="1" applyFill="1" applyBorder="1" applyAlignment="1">
      <alignment horizontal="center"/>
    </xf>
    <xf numFmtId="165" fontId="1" fillId="38" borderId="24" xfId="0" applyNumberFormat="1" applyFont="1" applyFill="1" applyBorder="1" applyAlignment="1">
      <alignment horizontal="center"/>
    </xf>
    <xf numFmtId="165" fontId="1" fillId="38" borderId="27" xfId="0" applyNumberFormat="1" applyFont="1" applyFill="1" applyBorder="1" applyAlignment="1">
      <alignment horizontal="center"/>
    </xf>
    <xf numFmtId="165" fontId="1" fillId="34" borderId="33" xfId="0" applyNumberFormat="1" applyFont="1" applyFill="1" applyBorder="1" applyAlignment="1">
      <alignment horizontal="center"/>
    </xf>
    <xf numFmtId="165" fontId="1" fillId="34" borderId="24" xfId="0" applyNumberFormat="1" applyFont="1" applyFill="1" applyBorder="1" applyAlignment="1">
      <alignment horizontal="center"/>
    </xf>
    <xf numFmtId="165" fontId="1" fillId="34" borderId="27" xfId="0" applyNumberFormat="1" applyFont="1" applyFill="1" applyBorder="1" applyAlignment="1">
      <alignment horizontal="center"/>
    </xf>
    <xf numFmtId="0" fontId="1" fillId="36" borderId="55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2" fontId="1" fillId="13" borderId="46" xfId="0" applyNumberFormat="1" applyFont="1" applyFill="1" applyBorder="1" applyAlignment="1" applyProtection="1">
      <alignment horizontal="center"/>
      <protection/>
    </xf>
    <xf numFmtId="2" fontId="1" fillId="13" borderId="45" xfId="0" applyNumberFormat="1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/>
    </xf>
    <xf numFmtId="167" fontId="1" fillId="34" borderId="42" xfId="0" applyNumberFormat="1" applyFont="1" applyFill="1" applyBorder="1" applyAlignment="1">
      <alignment horizontal="center"/>
    </xf>
    <xf numFmtId="2" fontId="1" fillId="34" borderId="42" xfId="0" applyNumberFormat="1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/>
    </xf>
    <xf numFmtId="165" fontId="1" fillId="34" borderId="42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2" fontId="1" fillId="34" borderId="50" xfId="0" applyNumberFormat="1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/>
    </xf>
    <xf numFmtId="2" fontId="1" fillId="38" borderId="44" xfId="0" applyNumberFormat="1" applyFont="1" applyFill="1" applyBorder="1" applyAlignment="1">
      <alignment horizontal="center"/>
    </xf>
    <xf numFmtId="165" fontId="1" fillId="38" borderId="44" xfId="0" applyNumberFormat="1" applyFont="1" applyFill="1" applyBorder="1" applyAlignment="1">
      <alignment horizontal="center"/>
    </xf>
    <xf numFmtId="2" fontId="1" fillId="38" borderId="48" xfId="0" applyNumberFormat="1" applyFont="1" applyFill="1" applyBorder="1" applyAlignment="1">
      <alignment horizontal="center"/>
    </xf>
    <xf numFmtId="2" fontId="1" fillId="38" borderId="49" xfId="0" applyNumberFormat="1" applyFont="1" applyFill="1" applyBorder="1" applyAlignment="1">
      <alignment horizontal="center"/>
    </xf>
    <xf numFmtId="2" fontId="1" fillId="38" borderId="50" xfId="0" applyNumberFormat="1" applyFont="1" applyFill="1" applyBorder="1" applyAlignment="1">
      <alignment horizontal="center"/>
    </xf>
    <xf numFmtId="2" fontId="1" fillId="38" borderId="51" xfId="0" applyNumberFormat="1" applyFont="1" applyFill="1" applyBorder="1" applyAlignment="1">
      <alignment horizontal="center"/>
    </xf>
    <xf numFmtId="1" fontId="10" fillId="35" borderId="35" xfId="0" applyNumberFormat="1" applyFont="1" applyFill="1" applyBorder="1" applyAlignment="1">
      <alignment horizontal="center"/>
    </xf>
    <xf numFmtId="1" fontId="10" fillId="35" borderId="31" xfId="0" applyNumberFormat="1" applyFont="1" applyFill="1" applyBorder="1" applyAlignment="1">
      <alignment horizontal="center"/>
    </xf>
    <xf numFmtId="1" fontId="10" fillId="35" borderId="32" xfId="0" applyNumberFormat="1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166" fontId="1" fillId="40" borderId="28" xfId="0" applyNumberFormat="1" applyFont="1" applyFill="1" applyBorder="1" applyAlignment="1">
      <alignment horizontal="center"/>
    </xf>
    <xf numFmtId="166" fontId="1" fillId="40" borderId="10" xfId="0" applyNumberFormat="1" applyFont="1" applyFill="1" applyBorder="1" applyAlignment="1">
      <alignment horizontal="center"/>
    </xf>
    <xf numFmtId="166" fontId="1" fillId="4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 textRotation="90" wrapText="1"/>
    </xf>
    <xf numFmtId="0" fontId="1" fillId="38" borderId="59" xfId="0" applyFont="1" applyFill="1" applyBorder="1" applyAlignment="1">
      <alignment horizontal="center" vertical="center" textRotation="90" wrapText="1"/>
    </xf>
    <xf numFmtId="0" fontId="1" fillId="38" borderId="60" xfId="0" applyFont="1" applyFill="1" applyBorder="1" applyAlignment="1">
      <alignment horizontal="center" vertical="center" textRotation="90" wrapText="1"/>
    </xf>
    <xf numFmtId="0" fontId="1" fillId="38" borderId="61" xfId="0" applyFont="1" applyFill="1" applyBorder="1" applyAlignment="1">
      <alignment horizontal="center" vertical="center" textRotation="90" wrapText="1"/>
    </xf>
    <xf numFmtId="0" fontId="4" fillId="34" borderId="58" xfId="0" applyFont="1" applyFill="1" applyBorder="1" applyAlignment="1">
      <alignment horizontal="center" vertical="center" textRotation="90" wrapText="1"/>
    </xf>
    <xf numFmtId="0" fontId="4" fillId="34" borderId="62" xfId="0" applyFont="1" applyFill="1" applyBorder="1" applyAlignment="1">
      <alignment horizontal="center" vertical="center" textRotation="90" wrapText="1"/>
    </xf>
    <xf numFmtId="0" fontId="1" fillId="34" borderId="59" xfId="0" applyFont="1" applyFill="1" applyBorder="1" applyAlignment="1">
      <alignment horizontal="center" vertical="center" textRotation="90" wrapText="1"/>
    </xf>
    <xf numFmtId="0" fontId="1" fillId="34" borderId="61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33" borderId="58" xfId="0" applyFont="1" applyFill="1" applyBorder="1" applyAlignment="1">
      <alignment horizontal="center" vertical="center" textRotation="90" wrapText="1"/>
    </xf>
    <xf numFmtId="0" fontId="4" fillId="33" borderId="59" xfId="0" applyFont="1" applyFill="1" applyBorder="1" applyAlignment="1">
      <alignment horizontal="center" vertical="center" textRotation="90" wrapText="1"/>
    </xf>
    <xf numFmtId="0" fontId="4" fillId="33" borderId="61" xfId="0" applyFont="1" applyFill="1" applyBorder="1" applyAlignment="1">
      <alignment horizontal="center" vertical="center" textRotation="90" wrapText="1"/>
    </xf>
    <xf numFmtId="0" fontId="4" fillId="13" borderId="62" xfId="0" applyFont="1" applyFill="1" applyBorder="1" applyAlignment="1">
      <alignment horizontal="center" vertical="center" textRotation="90" wrapText="1"/>
    </xf>
    <xf numFmtId="0" fontId="1" fillId="13" borderId="59" xfId="0" applyFont="1" applyFill="1" applyBorder="1" applyAlignment="1">
      <alignment horizontal="center" vertical="center" textRotation="90" wrapText="1"/>
    </xf>
    <xf numFmtId="0" fontId="1" fillId="13" borderId="60" xfId="0" applyFont="1" applyFill="1" applyBorder="1" applyAlignment="1">
      <alignment horizontal="center" vertical="center" textRotation="90" wrapText="1"/>
    </xf>
    <xf numFmtId="0" fontId="1" fillId="13" borderId="6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34" borderId="28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4" fillId="34" borderId="57" xfId="0" applyFont="1" applyFill="1" applyBorder="1" applyAlignment="1">
      <alignment horizontal="center" vertical="center" textRotation="90" wrapText="1"/>
    </xf>
    <xf numFmtId="0" fontId="4" fillId="34" borderId="66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1" fillId="34" borderId="52" xfId="0" applyFont="1" applyFill="1" applyBorder="1" applyAlignment="1">
      <alignment horizontal="center" vertical="center" textRotation="90" wrapText="1"/>
    </xf>
    <xf numFmtId="0" fontId="1" fillId="34" borderId="55" xfId="0" applyFont="1" applyFill="1" applyBorder="1" applyAlignment="1">
      <alignment horizontal="center" vertical="center" textRotation="90" wrapText="1"/>
    </xf>
    <xf numFmtId="0" fontId="1" fillId="34" borderId="56" xfId="0" applyFont="1" applyFill="1" applyBorder="1" applyAlignment="1">
      <alignment horizontal="center" vertical="center" textRotation="90" wrapText="1"/>
    </xf>
    <xf numFmtId="0" fontId="4" fillId="38" borderId="52" xfId="0" applyFont="1" applyFill="1" applyBorder="1" applyAlignment="1">
      <alignment horizontal="center" vertical="center" textRotation="90" wrapText="1"/>
    </xf>
    <xf numFmtId="0" fontId="1" fillId="38" borderId="55" xfId="0" applyFont="1" applyFill="1" applyBorder="1" applyAlignment="1">
      <alignment horizontal="center" vertical="center" textRotation="90" wrapText="1"/>
    </xf>
    <xf numFmtId="0" fontId="1" fillId="38" borderId="67" xfId="0" applyFont="1" applyFill="1" applyBorder="1" applyAlignment="1">
      <alignment horizontal="center" vertical="center" textRotation="90" wrapText="1"/>
    </xf>
    <xf numFmtId="0" fontId="1" fillId="38" borderId="56" xfId="0" applyFont="1" applyFill="1" applyBorder="1" applyAlignment="1">
      <alignment horizontal="center" vertical="center" textRotation="90" wrapText="1"/>
    </xf>
    <xf numFmtId="0" fontId="1" fillId="33" borderId="64" xfId="0" applyFont="1" applyFill="1" applyBorder="1" applyAlignment="1">
      <alignment horizontal="center" vertical="center" textRotation="90" wrapText="1"/>
    </xf>
    <xf numFmtId="0" fontId="1" fillId="33" borderId="68" xfId="0" applyFont="1" applyFill="1" applyBorder="1" applyAlignment="1">
      <alignment horizontal="center" vertical="center" textRotation="90" wrapText="1"/>
    </xf>
    <xf numFmtId="0" fontId="1" fillId="33" borderId="52" xfId="0" applyFont="1" applyFill="1" applyBorder="1" applyAlignment="1">
      <alignment horizontal="center" vertical="center" textRotation="90" wrapText="1"/>
    </xf>
    <xf numFmtId="0" fontId="1" fillId="33" borderId="55" xfId="0" applyFont="1" applyFill="1" applyBorder="1" applyAlignment="1">
      <alignment horizontal="center" vertical="center" textRotation="90" wrapText="1"/>
    </xf>
    <xf numFmtId="0" fontId="1" fillId="33" borderId="56" xfId="0" applyFont="1" applyFill="1" applyBorder="1" applyAlignment="1">
      <alignment horizontal="center" vertical="center" textRotation="90" wrapText="1"/>
    </xf>
    <xf numFmtId="0" fontId="4" fillId="13" borderId="52" xfId="0" applyFont="1" applyFill="1" applyBorder="1" applyAlignment="1">
      <alignment horizontal="center" vertical="center" textRotation="90" wrapText="1"/>
    </xf>
    <xf numFmtId="0" fontId="1" fillId="13" borderId="55" xfId="0" applyFont="1" applyFill="1" applyBorder="1" applyAlignment="1">
      <alignment horizontal="center" vertical="center" textRotation="90" wrapText="1"/>
    </xf>
    <xf numFmtId="0" fontId="1" fillId="34" borderId="28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50" fillId="0" borderId="69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23" xfId="0" applyFont="1" applyFill="1" applyBorder="1" applyAlignment="1">
      <alignment horizontal="center" vertical="center" textRotation="90" wrapText="1"/>
    </xf>
    <xf numFmtId="0" fontId="1" fillId="38" borderId="70" xfId="0" applyFont="1" applyFill="1" applyBorder="1" applyAlignment="1">
      <alignment horizontal="center" vertical="center" textRotation="90" wrapText="1"/>
    </xf>
    <xf numFmtId="0" fontId="4" fillId="13" borderId="63" xfId="0" applyFont="1" applyFill="1" applyBorder="1" applyAlignment="1">
      <alignment horizontal="center" vertical="center" textRotation="90" wrapText="1"/>
    </xf>
    <xf numFmtId="0" fontId="4" fillId="13" borderId="64" xfId="0" applyFont="1" applyFill="1" applyBorder="1" applyAlignment="1">
      <alignment horizontal="center" vertical="center" textRotation="90" wrapText="1"/>
    </xf>
    <xf numFmtId="0" fontId="4" fillId="13" borderId="68" xfId="0" applyFont="1" applyFill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textRotation="90" wrapText="1"/>
    </xf>
    <xf numFmtId="0" fontId="4" fillId="34" borderId="52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13" borderId="52" xfId="0" applyFont="1" applyFill="1" applyBorder="1" applyAlignment="1">
      <alignment horizontal="center" vertical="center" textRotation="90" wrapText="1"/>
    </xf>
    <xf numFmtId="0" fontId="1" fillId="13" borderId="56" xfId="0" applyFont="1" applyFill="1" applyBorder="1" applyAlignment="1">
      <alignment horizontal="center" vertical="center" textRotation="90" wrapText="1"/>
    </xf>
    <xf numFmtId="0" fontId="4" fillId="34" borderId="64" xfId="0" applyFont="1" applyFill="1" applyBorder="1" applyAlignment="1">
      <alignment horizontal="center" vertical="center" textRotation="90" wrapText="1"/>
    </xf>
    <xf numFmtId="0" fontId="1" fillId="34" borderId="64" xfId="0" applyFont="1" applyFill="1" applyBorder="1" applyAlignment="1">
      <alignment horizontal="center" vertical="center" textRotation="90" wrapText="1"/>
    </xf>
    <xf numFmtId="0" fontId="1" fillId="34" borderId="68" xfId="0" applyFont="1" applyFill="1" applyBorder="1" applyAlignment="1">
      <alignment horizontal="center" vertical="center" textRotation="90" wrapText="1"/>
    </xf>
    <xf numFmtId="0" fontId="4" fillId="38" borderId="28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3" borderId="64" xfId="0" applyFont="1" applyFill="1" applyBorder="1" applyAlignment="1">
      <alignment horizontal="center" vertical="center" textRotation="90" wrapText="1"/>
    </xf>
    <xf numFmtId="0" fontId="4" fillId="33" borderId="68" xfId="0" applyFont="1" applyFill="1" applyBorder="1" applyAlignment="1">
      <alignment horizontal="center" vertical="center" textRotation="90" wrapText="1"/>
    </xf>
    <xf numFmtId="0" fontId="4" fillId="38" borderId="63" xfId="0" applyFont="1" applyFill="1" applyBorder="1" applyAlignment="1">
      <alignment horizontal="center" vertical="center" textRotation="90" wrapText="1"/>
    </xf>
    <xf numFmtId="0" fontId="4" fillId="38" borderId="64" xfId="0" applyFont="1" applyFill="1" applyBorder="1" applyAlignment="1">
      <alignment horizontal="center" vertical="center" textRotation="90" wrapText="1"/>
    </xf>
    <xf numFmtId="0" fontId="4" fillId="38" borderId="68" xfId="0" applyFont="1" applyFill="1" applyBorder="1" applyAlignment="1">
      <alignment horizontal="center" vertical="center" textRotation="90" wrapText="1"/>
    </xf>
    <xf numFmtId="0" fontId="1" fillId="33" borderId="71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0" fontId="1" fillId="33" borderId="39" xfId="0" applyFont="1" applyFill="1" applyBorder="1" applyAlignment="1">
      <alignment horizontal="center" vertical="center" textRotation="90" wrapText="1"/>
    </xf>
    <xf numFmtId="0" fontId="1" fillId="13" borderId="71" xfId="0" applyFont="1" applyFill="1" applyBorder="1" applyAlignment="1">
      <alignment horizontal="center" vertical="center" textRotation="90" wrapText="1"/>
    </xf>
    <xf numFmtId="0" fontId="1" fillId="13" borderId="40" xfId="0" applyFont="1" applyFill="1" applyBorder="1" applyAlignment="1">
      <alignment horizontal="center" vertical="center" textRotation="90" wrapText="1"/>
    </xf>
    <xf numFmtId="0" fontId="1" fillId="13" borderId="39" xfId="0" applyFont="1" applyFill="1" applyBorder="1" applyAlignment="1">
      <alignment horizontal="center" vertical="center" textRotation="90" wrapText="1"/>
    </xf>
    <xf numFmtId="0" fontId="1" fillId="38" borderId="63" xfId="0" applyFont="1" applyFill="1" applyBorder="1" applyAlignment="1">
      <alignment horizontal="center" vertical="center" textRotation="90" wrapText="1"/>
    </xf>
    <xf numFmtId="0" fontId="1" fillId="38" borderId="64" xfId="0" applyFont="1" applyFill="1" applyBorder="1" applyAlignment="1">
      <alignment horizontal="center" vertical="center" textRotation="90" wrapText="1"/>
    </xf>
    <xf numFmtId="0" fontId="1" fillId="38" borderId="68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4" fillId="13" borderId="58" xfId="0" applyFont="1" applyFill="1" applyBorder="1" applyAlignment="1">
      <alignment horizontal="center" vertical="center" textRotation="90" wrapText="1"/>
    </xf>
    <xf numFmtId="0" fontId="4" fillId="38" borderId="6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textRotation="90" wrapText="1"/>
    </xf>
    <xf numFmtId="0" fontId="1" fillId="33" borderId="61" xfId="0" applyFont="1" applyFill="1" applyBorder="1" applyAlignment="1">
      <alignment horizontal="center" vertical="center" textRotation="90" wrapText="1"/>
    </xf>
    <xf numFmtId="0" fontId="4" fillId="13" borderId="70" xfId="0" applyFont="1" applyFill="1" applyBorder="1" applyAlignment="1">
      <alignment horizontal="center" vertical="center" textRotation="90" wrapText="1"/>
    </xf>
    <xf numFmtId="0" fontId="1" fillId="13" borderId="67" xfId="0" applyFont="1" applyFill="1" applyBorder="1" applyAlignment="1">
      <alignment horizontal="center" vertical="center" textRotation="90" wrapText="1"/>
    </xf>
    <xf numFmtId="0" fontId="4" fillId="33" borderId="71" xfId="0" applyFont="1" applyFill="1" applyBorder="1" applyAlignment="1">
      <alignment horizontal="center" vertical="center" textRotation="90" wrapText="1"/>
    </xf>
    <xf numFmtId="0" fontId="4" fillId="33" borderId="40" xfId="0" applyFont="1" applyFill="1" applyBorder="1" applyAlignment="1">
      <alignment horizontal="center" vertical="center" textRotation="90" wrapText="1"/>
    </xf>
    <xf numFmtId="0" fontId="1" fillId="38" borderId="52" xfId="0" applyFont="1" applyFill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1" fillId="34" borderId="39" xfId="0" applyFont="1" applyFill="1" applyBorder="1" applyAlignment="1">
      <alignment horizontal="center" vertical="center" textRotation="90" wrapText="1"/>
    </xf>
    <xf numFmtId="0" fontId="1" fillId="33" borderId="70" xfId="0" applyFont="1" applyFill="1" applyBorder="1" applyAlignment="1">
      <alignment horizontal="center" vertical="center" textRotation="90" wrapText="1"/>
    </xf>
    <xf numFmtId="0" fontId="1" fillId="13" borderId="64" xfId="0" applyFont="1" applyFill="1" applyBorder="1" applyAlignment="1">
      <alignment horizontal="center" vertical="center" textRotation="90" wrapText="1"/>
    </xf>
    <xf numFmtId="0" fontId="1" fillId="13" borderId="68" xfId="0" applyFont="1" applyFill="1" applyBorder="1" applyAlignment="1">
      <alignment horizontal="center" vertical="center" textRotation="90" wrapText="1"/>
    </xf>
    <xf numFmtId="0" fontId="1" fillId="38" borderId="42" xfId="0" applyFont="1" applyFill="1" applyBorder="1" applyAlignment="1">
      <alignment horizontal="center" vertical="center" textRotation="90" wrapText="1"/>
    </xf>
    <xf numFmtId="0" fontId="1" fillId="38" borderId="14" xfId="0" applyFont="1" applyFill="1" applyBorder="1" applyAlignment="1">
      <alignment horizontal="center" vertical="center" textRotation="90" wrapText="1"/>
    </xf>
    <xf numFmtId="2" fontId="1" fillId="0" borderId="49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34" borderId="71" xfId="0" applyFont="1" applyFill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textRotation="90" wrapText="1"/>
    </xf>
    <xf numFmtId="0" fontId="1" fillId="13" borderId="58" xfId="0" applyFont="1" applyFill="1" applyBorder="1" applyAlignment="1">
      <alignment horizontal="center" vertical="center" textRotation="90" wrapText="1"/>
    </xf>
    <xf numFmtId="0" fontId="1" fillId="38" borderId="58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3" borderId="23" xfId="0" applyFont="1" applyFill="1" applyBorder="1" applyAlignment="1">
      <alignment horizontal="center" vertical="center" textRotation="90" wrapText="1"/>
    </xf>
    <xf numFmtId="0" fontId="4" fillId="38" borderId="70" xfId="0" applyFont="1" applyFill="1" applyBorder="1" applyAlignment="1">
      <alignment horizontal="center" vertical="center" textRotation="90" wrapText="1"/>
    </xf>
    <xf numFmtId="0" fontId="4" fillId="33" borderId="39" xfId="0" applyFont="1" applyFill="1" applyBorder="1" applyAlignment="1">
      <alignment horizontal="center" vertical="center" textRotation="90" wrapText="1"/>
    </xf>
    <xf numFmtId="0" fontId="1" fillId="38" borderId="28" xfId="0" applyFont="1" applyFill="1" applyBorder="1" applyAlignment="1">
      <alignment horizontal="center" vertical="center" textRotation="90" wrapText="1"/>
    </xf>
    <xf numFmtId="0" fontId="1" fillId="39" borderId="21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39" borderId="23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165" fontId="1" fillId="39" borderId="21" xfId="0" applyNumberFormat="1" applyFont="1" applyFill="1" applyBorder="1" applyAlignment="1">
      <alignment horizontal="center"/>
    </xf>
    <xf numFmtId="165" fontId="1" fillId="39" borderId="10" xfId="0" applyNumberFormat="1" applyFont="1" applyFill="1" applyBorder="1" applyAlignment="1">
      <alignment horizontal="center"/>
    </xf>
    <xf numFmtId="165" fontId="1" fillId="39" borderId="23" xfId="0" applyNumberFormat="1" applyFont="1" applyFill="1" applyBorder="1" applyAlignment="1">
      <alignment horizontal="center"/>
    </xf>
    <xf numFmtId="165" fontId="1" fillId="36" borderId="21" xfId="0" applyNumberFormat="1" applyFont="1" applyFill="1" applyBorder="1" applyAlignment="1">
      <alignment horizontal="center"/>
    </xf>
    <xf numFmtId="1" fontId="1" fillId="39" borderId="28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" fontId="1" fillId="39" borderId="23" xfId="0" applyNumberFormat="1" applyFont="1" applyFill="1" applyBorder="1" applyAlignment="1">
      <alignment horizontal="center"/>
    </xf>
    <xf numFmtId="1" fontId="1" fillId="36" borderId="28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36" borderId="23" xfId="0" applyNumberFormat="1" applyFont="1" applyFill="1" applyBorder="1" applyAlignment="1">
      <alignment horizontal="center"/>
    </xf>
    <xf numFmtId="167" fontId="1" fillId="39" borderId="28" xfId="0" applyNumberFormat="1" applyFont="1" applyFill="1" applyBorder="1" applyAlignment="1">
      <alignment horizontal="center"/>
    </xf>
    <xf numFmtId="165" fontId="1" fillId="39" borderId="28" xfId="0" applyNumberFormat="1" applyFont="1" applyFill="1" applyBorder="1" applyAlignment="1">
      <alignment horizontal="center"/>
    </xf>
    <xf numFmtId="2" fontId="1" fillId="39" borderId="28" xfId="0" applyNumberFormat="1" applyFont="1" applyFill="1" applyBorder="1" applyAlignment="1">
      <alignment horizontal="center"/>
    </xf>
    <xf numFmtId="2" fontId="1" fillId="39" borderId="36" xfId="0" applyNumberFormat="1" applyFont="1" applyFill="1" applyBorder="1" applyAlignment="1">
      <alignment horizontal="center"/>
    </xf>
    <xf numFmtId="167" fontId="1" fillId="39" borderId="10" xfId="0" applyNumberFormat="1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2" fontId="1" fillId="39" borderId="25" xfId="0" applyNumberFormat="1" applyFont="1" applyFill="1" applyBorder="1" applyAlignment="1">
      <alignment horizontal="center"/>
    </xf>
    <xf numFmtId="167" fontId="1" fillId="39" borderId="23" xfId="0" applyNumberFormat="1" applyFont="1" applyFill="1" applyBorder="1" applyAlignment="1">
      <alignment horizontal="center"/>
    </xf>
    <xf numFmtId="2" fontId="1" fillId="39" borderId="23" xfId="0" applyNumberFormat="1" applyFont="1" applyFill="1" applyBorder="1" applyAlignment="1">
      <alignment horizontal="center"/>
    </xf>
    <xf numFmtId="2" fontId="1" fillId="39" borderId="26" xfId="0" applyNumberFormat="1" applyFont="1" applyFill="1" applyBorder="1" applyAlignment="1">
      <alignment horizontal="center"/>
    </xf>
    <xf numFmtId="2" fontId="1" fillId="36" borderId="36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9"/>
  <sheetViews>
    <sheetView tabSelected="1" zoomScalePageLayoutView="0" workbookViewId="0" topLeftCell="A1">
      <selection activeCell="U1250" sqref="U1250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57421875" style="1" customWidth="1"/>
    <col min="14" max="14" width="9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1024" t="s">
        <v>548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</row>
    <row r="2" spans="1:17" s="17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1" s="19" customFormat="1" ht="13.5" customHeight="1">
      <c r="A3" s="1027" t="s">
        <v>31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U3" s="875"/>
    </row>
    <row r="4" spans="1:17" s="17" customFormat="1" ht="13.5" customHeight="1" thickBot="1">
      <c r="A4" s="936" t="s">
        <v>1028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</row>
    <row r="5" spans="1:17" ht="12.75" customHeight="1">
      <c r="A5" s="1035" t="s">
        <v>1</v>
      </c>
      <c r="B5" s="1032" t="s">
        <v>0</v>
      </c>
      <c r="C5" s="1022" t="s">
        <v>2</v>
      </c>
      <c r="D5" s="1022" t="s">
        <v>3</v>
      </c>
      <c r="E5" s="1022" t="s">
        <v>13</v>
      </c>
      <c r="F5" s="1028" t="s">
        <v>14</v>
      </c>
      <c r="G5" s="1029"/>
      <c r="H5" s="1029"/>
      <c r="I5" s="1030"/>
      <c r="J5" s="1022" t="s">
        <v>4</v>
      </c>
      <c r="K5" s="1022" t="s">
        <v>15</v>
      </c>
      <c r="L5" s="1022" t="s">
        <v>5</v>
      </c>
      <c r="M5" s="1022" t="s">
        <v>6</v>
      </c>
      <c r="N5" s="1022" t="s">
        <v>16</v>
      </c>
      <c r="O5" s="1022" t="s">
        <v>17</v>
      </c>
      <c r="P5" s="1025" t="s">
        <v>25</v>
      </c>
      <c r="Q5" s="1017" t="s">
        <v>26</v>
      </c>
    </row>
    <row r="6" spans="1:22" s="2" customFormat="1" ht="33.75">
      <c r="A6" s="1036"/>
      <c r="B6" s="1033"/>
      <c r="C6" s="1034"/>
      <c r="D6" s="1023"/>
      <c r="E6" s="1023"/>
      <c r="F6" s="9" t="s">
        <v>18</v>
      </c>
      <c r="G6" s="9" t="s">
        <v>19</v>
      </c>
      <c r="H6" s="9" t="s">
        <v>20</v>
      </c>
      <c r="I6" s="9" t="s">
        <v>21</v>
      </c>
      <c r="J6" s="1023"/>
      <c r="K6" s="1023"/>
      <c r="L6" s="1023"/>
      <c r="M6" s="1023"/>
      <c r="N6" s="1023"/>
      <c r="O6" s="1023"/>
      <c r="P6" s="1026"/>
      <c r="Q6" s="1018"/>
      <c r="S6" s="178"/>
      <c r="T6" s="178"/>
      <c r="U6" s="178"/>
      <c r="V6" s="178"/>
    </row>
    <row r="7" spans="1:22" s="3" customFormat="1" ht="13.5" customHeight="1" thickBot="1">
      <c r="A7" s="1037"/>
      <c r="B7" s="1033"/>
      <c r="C7" s="1034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128</v>
      </c>
      <c r="N7" s="10" t="s">
        <v>10</v>
      </c>
      <c r="O7" s="10" t="s">
        <v>129</v>
      </c>
      <c r="P7" s="15" t="s">
        <v>27</v>
      </c>
      <c r="Q7" s="11" t="s">
        <v>28</v>
      </c>
      <c r="S7" s="179"/>
      <c r="T7" s="179"/>
      <c r="U7" s="180"/>
      <c r="V7" s="180"/>
    </row>
    <row r="8" spans="1:23" ht="12.75" customHeight="1">
      <c r="A8" s="1038" t="s">
        <v>51</v>
      </c>
      <c r="B8" s="116">
        <v>1</v>
      </c>
      <c r="C8" s="29" t="s">
        <v>407</v>
      </c>
      <c r="D8" s="30">
        <v>47</v>
      </c>
      <c r="E8" s="30">
        <v>2007</v>
      </c>
      <c r="F8" s="412">
        <v>37.175</v>
      </c>
      <c r="G8" s="412">
        <v>9.520782</v>
      </c>
      <c r="H8" s="412">
        <v>3.76</v>
      </c>
      <c r="I8" s="412">
        <v>23.894218000000002</v>
      </c>
      <c r="J8" s="430">
        <v>2877.05</v>
      </c>
      <c r="K8" s="412">
        <v>23.894192</v>
      </c>
      <c r="L8" s="430">
        <v>2877.05</v>
      </c>
      <c r="M8" s="436">
        <f aca="true" t="shared" si="0" ref="M8:M48">K8/L8</f>
        <v>0.008305101405954016</v>
      </c>
      <c r="N8" s="30">
        <v>299.096</v>
      </c>
      <c r="O8" s="260">
        <f aca="true" t="shared" si="1" ref="O8:O48">M8*N8</f>
        <v>2.4840226101152223</v>
      </c>
      <c r="P8" s="260">
        <f aca="true" t="shared" si="2" ref="P8:P48">M8*60*1000</f>
        <v>498.30608435724093</v>
      </c>
      <c r="Q8" s="253">
        <f aca="true" t="shared" si="3" ref="Q8:Q48">P8*N8/1000</f>
        <v>149.04135660691333</v>
      </c>
      <c r="R8" s="87"/>
      <c r="S8" s="181"/>
      <c r="T8" s="181"/>
      <c r="U8" s="182"/>
      <c r="V8" s="183"/>
      <c r="W8" s="12"/>
    </row>
    <row r="9" spans="1:23" ht="12.75">
      <c r="A9" s="998"/>
      <c r="B9" s="109">
        <v>2</v>
      </c>
      <c r="C9" s="16" t="s">
        <v>69</v>
      </c>
      <c r="D9" s="31">
        <v>40</v>
      </c>
      <c r="E9" s="31">
        <v>2007</v>
      </c>
      <c r="F9" s="254">
        <v>30.998</v>
      </c>
      <c r="G9" s="254">
        <v>6.809738</v>
      </c>
      <c r="H9" s="254">
        <v>3.2</v>
      </c>
      <c r="I9" s="254">
        <v>20.988263</v>
      </c>
      <c r="J9" s="176">
        <v>2350.71</v>
      </c>
      <c r="K9" s="254">
        <v>20.988243999999998</v>
      </c>
      <c r="L9" s="176">
        <v>2350.71</v>
      </c>
      <c r="M9" s="133">
        <f t="shared" si="0"/>
        <v>0.00892847012179299</v>
      </c>
      <c r="N9" s="31">
        <v>299.096</v>
      </c>
      <c r="O9" s="132">
        <f t="shared" si="1"/>
        <v>2.670469699547796</v>
      </c>
      <c r="P9" s="132">
        <f t="shared" si="2"/>
        <v>535.7082073075794</v>
      </c>
      <c r="Q9" s="134">
        <f t="shared" si="3"/>
        <v>160.2281819728678</v>
      </c>
      <c r="R9" s="87"/>
      <c r="S9" s="181"/>
      <c r="T9" s="181"/>
      <c r="U9" s="182"/>
      <c r="V9" s="183"/>
      <c r="W9" s="12"/>
    </row>
    <row r="10" spans="1:23" ht="12.75">
      <c r="A10" s="998"/>
      <c r="B10" s="109">
        <v>3</v>
      </c>
      <c r="C10" s="16" t="s">
        <v>549</v>
      </c>
      <c r="D10" s="31">
        <v>116</v>
      </c>
      <c r="E10" s="31">
        <v>2007</v>
      </c>
      <c r="F10" s="254">
        <v>94.267</v>
      </c>
      <c r="G10" s="254">
        <v>20.065584</v>
      </c>
      <c r="H10" s="254">
        <v>9.28</v>
      </c>
      <c r="I10" s="254">
        <v>64.921416</v>
      </c>
      <c r="J10" s="176">
        <v>7056.51</v>
      </c>
      <c r="K10" s="254">
        <v>64.921416</v>
      </c>
      <c r="L10" s="176">
        <v>7056.51</v>
      </c>
      <c r="M10" s="133">
        <f t="shared" si="0"/>
        <v>0.009200215970784423</v>
      </c>
      <c r="N10" s="31">
        <v>297.897</v>
      </c>
      <c r="O10" s="132">
        <f t="shared" si="1"/>
        <v>2.7407167370487673</v>
      </c>
      <c r="P10" s="132">
        <f t="shared" si="2"/>
        <v>552.0129582470654</v>
      </c>
      <c r="Q10" s="134">
        <f t="shared" si="3"/>
        <v>164.44300422292605</v>
      </c>
      <c r="R10" s="87"/>
      <c r="S10" s="87"/>
      <c r="T10" s="87"/>
      <c r="U10" s="14"/>
      <c r="V10" s="12"/>
      <c r="W10" s="12"/>
    </row>
    <row r="11" spans="1:23" ht="12.75">
      <c r="A11" s="998"/>
      <c r="B11" s="109">
        <v>4</v>
      </c>
      <c r="C11" s="16" t="s">
        <v>550</v>
      </c>
      <c r="D11" s="31">
        <v>166</v>
      </c>
      <c r="E11" s="31">
        <v>2007</v>
      </c>
      <c r="F11" s="254">
        <v>148.902</v>
      </c>
      <c r="G11" s="254">
        <v>37.516414</v>
      </c>
      <c r="H11" s="254">
        <v>13.28</v>
      </c>
      <c r="I11" s="254">
        <v>98.105586</v>
      </c>
      <c r="J11" s="176">
        <v>10458.57</v>
      </c>
      <c r="K11" s="254">
        <v>98.105505</v>
      </c>
      <c r="L11" s="176">
        <v>10458.57</v>
      </c>
      <c r="M11" s="133">
        <f t="shared" si="0"/>
        <v>0.009380393782323969</v>
      </c>
      <c r="N11" s="31">
        <v>299.096</v>
      </c>
      <c r="O11" s="132">
        <f t="shared" si="1"/>
        <v>2.80563825871797</v>
      </c>
      <c r="P11" s="132">
        <f t="shared" si="2"/>
        <v>562.8236269394381</v>
      </c>
      <c r="Q11" s="134">
        <f t="shared" si="3"/>
        <v>168.3382955230782</v>
      </c>
      <c r="R11" s="87"/>
      <c r="S11" s="87"/>
      <c r="T11" s="87"/>
      <c r="U11" s="14"/>
      <c r="V11" s="12"/>
      <c r="W11" s="12"/>
    </row>
    <row r="12" spans="1:23" ht="12.75">
      <c r="A12" s="998"/>
      <c r="B12" s="109">
        <v>5</v>
      </c>
      <c r="C12" s="16" t="s">
        <v>126</v>
      </c>
      <c r="D12" s="31">
        <v>58</v>
      </c>
      <c r="E12" s="31">
        <v>2007</v>
      </c>
      <c r="F12" s="254">
        <v>52.013</v>
      </c>
      <c r="G12" s="254">
        <v>10.22397</v>
      </c>
      <c r="H12" s="254">
        <v>4.64</v>
      </c>
      <c r="I12" s="254">
        <v>37.14903</v>
      </c>
      <c r="J12" s="176">
        <v>3796.56</v>
      </c>
      <c r="K12" s="254">
        <v>37.149004</v>
      </c>
      <c r="L12" s="176">
        <v>3796.56</v>
      </c>
      <c r="M12" s="133">
        <f t="shared" si="0"/>
        <v>0.009784911604189055</v>
      </c>
      <c r="N12" s="31">
        <v>299.096</v>
      </c>
      <c r="O12" s="132">
        <f t="shared" si="1"/>
        <v>2.9266279211665296</v>
      </c>
      <c r="P12" s="132">
        <f t="shared" si="2"/>
        <v>587.0946962513433</v>
      </c>
      <c r="Q12" s="134">
        <f t="shared" si="3"/>
        <v>175.59767526999178</v>
      </c>
      <c r="R12" s="87"/>
      <c r="S12" s="87"/>
      <c r="T12" s="87"/>
      <c r="U12" s="14"/>
      <c r="V12" s="12"/>
      <c r="W12" s="12"/>
    </row>
    <row r="13" spans="1:23" ht="12.75">
      <c r="A13" s="998"/>
      <c r="B13" s="109">
        <v>6</v>
      </c>
      <c r="C13" s="224" t="s">
        <v>127</v>
      </c>
      <c r="D13" s="225">
        <v>60</v>
      </c>
      <c r="E13" s="225">
        <v>1965</v>
      </c>
      <c r="F13" s="427">
        <v>45.097</v>
      </c>
      <c r="G13" s="427">
        <v>8.065527</v>
      </c>
      <c r="H13" s="427">
        <v>9.6</v>
      </c>
      <c r="I13" s="427">
        <v>27.431473</v>
      </c>
      <c r="J13" s="431">
        <v>2700.04</v>
      </c>
      <c r="K13" s="427">
        <v>27.431477</v>
      </c>
      <c r="L13" s="431">
        <v>2700.04</v>
      </c>
      <c r="M13" s="437">
        <f t="shared" si="0"/>
        <v>0.01015965578287729</v>
      </c>
      <c r="N13" s="225">
        <v>299.096</v>
      </c>
      <c r="O13" s="438">
        <f t="shared" si="1"/>
        <v>3.0387124060354664</v>
      </c>
      <c r="P13" s="438">
        <f t="shared" si="2"/>
        <v>609.5793469726375</v>
      </c>
      <c r="Q13" s="439">
        <f t="shared" si="3"/>
        <v>182.322744362128</v>
      </c>
      <c r="R13" s="87"/>
      <c r="S13" s="87"/>
      <c r="T13" s="87"/>
      <c r="U13" s="14"/>
      <c r="V13" s="12"/>
      <c r="W13" s="12"/>
    </row>
    <row r="14" spans="1:23" ht="12.75">
      <c r="A14" s="998"/>
      <c r="B14" s="109">
        <v>7</v>
      </c>
      <c r="C14" s="16" t="s">
        <v>70</v>
      </c>
      <c r="D14" s="31">
        <v>52</v>
      </c>
      <c r="E14" s="31">
        <v>2009</v>
      </c>
      <c r="F14" s="254">
        <v>39.9</v>
      </c>
      <c r="G14" s="254">
        <v>8.046739</v>
      </c>
      <c r="H14" s="254">
        <v>4.16</v>
      </c>
      <c r="I14" s="254">
        <v>27.693261</v>
      </c>
      <c r="J14" s="176">
        <v>2687.24</v>
      </c>
      <c r="K14" s="254">
        <v>27.693235</v>
      </c>
      <c r="L14" s="176">
        <v>2687.24</v>
      </c>
      <c r="M14" s="133">
        <f t="shared" si="0"/>
        <v>0.010305456527887351</v>
      </c>
      <c r="N14" s="31">
        <v>299.096</v>
      </c>
      <c r="O14" s="132">
        <f t="shared" si="1"/>
        <v>3.082320825664995</v>
      </c>
      <c r="P14" s="132">
        <f t="shared" si="2"/>
        <v>618.327391673241</v>
      </c>
      <c r="Q14" s="134">
        <f t="shared" si="3"/>
        <v>184.9392495398997</v>
      </c>
      <c r="R14" s="87"/>
      <c r="S14" s="87"/>
      <c r="T14" s="87"/>
      <c r="U14" s="14"/>
      <c r="V14" s="12"/>
      <c r="W14" s="12"/>
    </row>
    <row r="15" spans="1:23" ht="12.75">
      <c r="A15" s="998"/>
      <c r="B15" s="109">
        <v>8</v>
      </c>
      <c r="C15" s="16" t="s">
        <v>73</v>
      </c>
      <c r="D15" s="31">
        <v>56</v>
      </c>
      <c r="E15" s="31">
        <v>2008</v>
      </c>
      <c r="F15" s="254">
        <v>46.908</v>
      </c>
      <c r="G15" s="254">
        <v>10.012447</v>
      </c>
      <c r="H15" s="254">
        <v>4.48</v>
      </c>
      <c r="I15" s="254">
        <v>32.415553</v>
      </c>
      <c r="J15" s="176">
        <v>3105.9</v>
      </c>
      <c r="K15" s="254">
        <v>32.415526</v>
      </c>
      <c r="L15" s="176">
        <v>3105.9</v>
      </c>
      <c r="M15" s="133">
        <f t="shared" si="0"/>
        <v>0.010436757783573199</v>
      </c>
      <c r="N15" s="31">
        <v>299.096</v>
      </c>
      <c r="O15" s="132">
        <f t="shared" si="1"/>
        <v>3.1215925060356096</v>
      </c>
      <c r="P15" s="132">
        <f t="shared" si="2"/>
        <v>626.205467014392</v>
      </c>
      <c r="Q15" s="134">
        <f t="shared" si="3"/>
        <v>187.2955503621366</v>
      </c>
      <c r="R15" s="87"/>
      <c r="S15" s="87"/>
      <c r="T15" s="87"/>
      <c r="U15" s="14"/>
      <c r="V15" s="12"/>
      <c r="W15" s="12"/>
    </row>
    <row r="16" spans="1:23" ht="12.75">
      <c r="A16" s="998"/>
      <c r="B16" s="109">
        <v>9</v>
      </c>
      <c r="C16" s="16" t="s">
        <v>72</v>
      </c>
      <c r="D16" s="31">
        <v>64</v>
      </c>
      <c r="E16" s="31">
        <v>2006</v>
      </c>
      <c r="F16" s="254">
        <v>58</v>
      </c>
      <c r="G16" s="254">
        <v>11.299265</v>
      </c>
      <c r="H16" s="254">
        <v>5.12</v>
      </c>
      <c r="I16" s="254">
        <v>41.580736</v>
      </c>
      <c r="J16" s="176">
        <v>3331.47</v>
      </c>
      <c r="K16" s="254">
        <v>41.580704999999995</v>
      </c>
      <c r="L16" s="176">
        <v>3331.47</v>
      </c>
      <c r="M16" s="133">
        <f t="shared" si="0"/>
        <v>0.012481188484362757</v>
      </c>
      <c r="N16" s="31">
        <v>299.096</v>
      </c>
      <c r="O16" s="132">
        <f t="shared" si="1"/>
        <v>3.7330735509189634</v>
      </c>
      <c r="P16" s="132">
        <f t="shared" si="2"/>
        <v>748.8713090617655</v>
      </c>
      <c r="Q16" s="134">
        <f t="shared" si="3"/>
        <v>223.98441305513782</v>
      </c>
      <c r="R16" s="87"/>
      <c r="S16" s="87"/>
      <c r="T16" s="87"/>
      <c r="U16" s="14"/>
      <c r="V16" s="12"/>
      <c r="W16" s="12"/>
    </row>
    <row r="17" spans="1:23" ht="13.5" thickBot="1">
      <c r="A17" s="999"/>
      <c r="B17" s="110">
        <v>10</v>
      </c>
      <c r="C17" s="65" t="s">
        <v>74</v>
      </c>
      <c r="D17" s="64">
        <v>21</v>
      </c>
      <c r="E17" s="64">
        <v>2005</v>
      </c>
      <c r="F17" s="216">
        <v>29.481</v>
      </c>
      <c r="G17" s="216">
        <v>5.530221</v>
      </c>
      <c r="H17" s="216">
        <v>1.68</v>
      </c>
      <c r="I17" s="216">
        <v>22.270778999999997</v>
      </c>
      <c r="J17" s="334">
        <v>1763.3</v>
      </c>
      <c r="K17" s="216">
        <v>22.270764</v>
      </c>
      <c r="L17" s="334">
        <v>1763.3</v>
      </c>
      <c r="M17" s="136">
        <f t="shared" si="0"/>
        <v>0.01263016162876425</v>
      </c>
      <c r="N17" s="64">
        <v>299.096</v>
      </c>
      <c r="O17" s="135">
        <f t="shared" si="1"/>
        <v>3.777630822516872</v>
      </c>
      <c r="P17" s="135">
        <f t="shared" si="2"/>
        <v>757.809697725855</v>
      </c>
      <c r="Q17" s="137">
        <f t="shared" si="3"/>
        <v>226.65784935101232</v>
      </c>
      <c r="R17" s="87"/>
      <c r="S17" s="87"/>
      <c r="T17" s="87"/>
      <c r="U17" s="14"/>
      <c r="V17" s="12"/>
      <c r="W17" s="12"/>
    </row>
    <row r="18" spans="1:23" ht="12.75" customHeight="1">
      <c r="A18" s="1039" t="s">
        <v>46</v>
      </c>
      <c r="B18" s="111">
        <v>1</v>
      </c>
      <c r="C18" s="32" t="s">
        <v>75</v>
      </c>
      <c r="D18" s="33">
        <v>60</v>
      </c>
      <c r="E18" s="33">
        <v>1994</v>
      </c>
      <c r="F18" s="262">
        <v>46.229</v>
      </c>
      <c r="G18" s="262">
        <v>7.158335</v>
      </c>
      <c r="H18" s="262">
        <v>9.52</v>
      </c>
      <c r="I18" s="262">
        <v>29.550664</v>
      </c>
      <c r="J18" s="432">
        <v>2203.49</v>
      </c>
      <c r="K18" s="262">
        <v>29.550632999999998</v>
      </c>
      <c r="L18" s="432">
        <v>2203.49</v>
      </c>
      <c r="M18" s="440">
        <f t="shared" si="0"/>
        <v>0.013410831453739296</v>
      </c>
      <c r="N18" s="33">
        <v>299.096</v>
      </c>
      <c r="O18" s="264">
        <f t="shared" si="1"/>
        <v>4.011126044487608</v>
      </c>
      <c r="P18" s="264">
        <f t="shared" si="2"/>
        <v>804.6498872243577</v>
      </c>
      <c r="Q18" s="441">
        <f t="shared" si="3"/>
        <v>240.6675626692565</v>
      </c>
      <c r="R18" s="87"/>
      <c r="S18" s="87"/>
      <c r="T18" s="87"/>
      <c r="U18" s="14"/>
      <c r="V18" s="12"/>
      <c r="W18" s="12"/>
    </row>
    <row r="19" spans="1:24" s="7" customFormat="1" ht="12.75">
      <c r="A19" s="903"/>
      <c r="B19" s="112">
        <v>2</v>
      </c>
      <c r="C19" s="34" t="s">
        <v>551</v>
      </c>
      <c r="D19" s="35">
        <v>71</v>
      </c>
      <c r="E19" s="35">
        <v>2006</v>
      </c>
      <c r="F19" s="263">
        <v>73</v>
      </c>
      <c r="G19" s="263">
        <v>16.3506</v>
      </c>
      <c r="H19" s="263">
        <v>5.68</v>
      </c>
      <c r="I19" s="263">
        <v>50.9694</v>
      </c>
      <c r="J19" s="118">
        <v>3533.18</v>
      </c>
      <c r="K19" s="263">
        <v>50.969404000000004</v>
      </c>
      <c r="L19" s="118">
        <v>3533.18</v>
      </c>
      <c r="M19" s="139">
        <f t="shared" si="0"/>
        <v>0.014425929049751218</v>
      </c>
      <c r="N19" s="35">
        <v>297.897</v>
      </c>
      <c r="O19" s="138">
        <f t="shared" si="1"/>
        <v>4.297440986133738</v>
      </c>
      <c r="P19" s="138">
        <f t="shared" si="2"/>
        <v>865.555742985073</v>
      </c>
      <c r="Q19" s="168">
        <f t="shared" si="3"/>
        <v>257.8464591680243</v>
      </c>
      <c r="R19" s="87"/>
      <c r="S19" s="87"/>
      <c r="T19" s="87"/>
      <c r="U19" s="14"/>
      <c r="V19" s="12"/>
      <c r="W19" s="12"/>
      <c r="X19" s="1"/>
    </row>
    <row r="20" spans="1:24" ht="12.75">
      <c r="A20" s="903"/>
      <c r="B20" s="112">
        <v>3</v>
      </c>
      <c r="C20" s="34" t="s">
        <v>77</v>
      </c>
      <c r="D20" s="35">
        <v>40</v>
      </c>
      <c r="E20" s="35">
        <v>1996</v>
      </c>
      <c r="F20" s="263">
        <v>57.355</v>
      </c>
      <c r="G20" s="263">
        <v>7.880224</v>
      </c>
      <c r="H20" s="263">
        <v>7.19516</v>
      </c>
      <c r="I20" s="263">
        <v>42.279616</v>
      </c>
      <c r="J20" s="118">
        <v>2861.83</v>
      </c>
      <c r="K20" s="263">
        <v>42.279617</v>
      </c>
      <c r="L20" s="118">
        <v>2861.83</v>
      </c>
      <c r="M20" s="139">
        <f t="shared" si="0"/>
        <v>0.01477362981029621</v>
      </c>
      <c r="N20" s="35">
        <v>297.897</v>
      </c>
      <c r="O20" s="138">
        <f t="shared" si="1"/>
        <v>4.40101999959781</v>
      </c>
      <c r="P20" s="138">
        <f t="shared" si="2"/>
        <v>886.4177886177727</v>
      </c>
      <c r="Q20" s="168">
        <f t="shared" si="3"/>
        <v>264.06119997586865</v>
      </c>
      <c r="R20" s="87"/>
      <c r="S20" s="87"/>
      <c r="T20" s="87"/>
      <c r="U20" s="14"/>
      <c r="V20" s="13"/>
      <c r="W20" s="13"/>
      <c r="X20" s="8"/>
    </row>
    <row r="21" spans="1:23" ht="12.75">
      <c r="A21" s="903"/>
      <c r="B21" s="112">
        <v>4</v>
      </c>
      <c r="C21" s="34" t="s">
        <v>76</v>
      </c>
      <c r="D21" s="35">
        <v>59</v>
      </c>
      <c r="E21" s="35">
        <v>2001</v>
      </c>
      <c r="F21" s="263">
        <v>71.912</v>
      </c>
      <c r="G21" s="263">
        <v>11.036071</v>
      </c>
      <c r="H21" s="263">
        <v>9.12</v>
      </c>
      <c r="I21" s="263">
        <v>51.755929</v>
      </c>
      <c r="J21" s="118">
        <v>3432.18</v>
      </c>
      <c r="K21" s="263">
        <v>51.755932</v>
      </c>
      <c r="L21" s="118">
        <v>3432.18</v>
      </c>
      <c r="M21" s="139">
        <f t="shared" si="0"/>
        <v>0.015079608878322234</v>
      </c>
      <c r="N21" s="35">
        <v>297.897</v>
      </c>
      <c r="O21" s="138">
        <f t="shared" si="1"/>
        <v>4.492170246025559</v>
      </c>
      <c r="P21" s="138">
        <f t="shared" si="2"/>
        <v>904.776532699334</v>
      </c>
      <c r="Q21" s="168">
        <f t="shared" si="3"/>
        <v>269.5302147615335</v>
      </c>
      <c r="R21" s="87"/>
      <c r="S21" s="87"/>
      <c r="T21" s="87"/>
      <c r="U21" s="14"/>
      <c r="V21" s="12"/>
      <c r="W21" s="12"/>
    </row>
    <row r="22" spans="1:24" ht="12.75">
      <c r="A22" s="903"/>
      <c r="B22" s="112">
        <v>5</v>
      </c>
      <c r="C22" s="34" t="s">
        <v>80</v>
      </c>
      <c r="D22" s="35">
        <v>40</v>
      </c>
      <c r="E22" s="35">
        <v>1995</v>
      </c>
      <c r="F22" s="263">
        <v>61.464</v>
      </c>
      <c r="G22" s="263">
        <v>9.049428</v>
      </c>
      <c r="H22" s="263">
        <v>6.4</v>
      </c>
      <c r="I22" s="263">
        <v>46.014572</v>
      </c>
      <c r="J22" s="118">
        <v>2737.48</v>
      </c>
      <c r="K22" s="263">
        <v>46.014572</v>
      </c>
      <c r="L22" s="118">
        <v>2737.48</v>
      </c>
      <c r="M22" s="139">
        <f t="shared" si="0"/>
        <v>0.016809098879261217</v>
      </c>
      <c r="N22" s="35">
        <v>299.096</v>
      </c>
      <c r="O22" s="138">
        <f t="shared" si="1"/>
        <v>5.027534238391513</v>
      </c>
      <c r="P22" s="138">
        <f t="shared" si="2"/>
        <v>1008.545932755673</v>
      </c>
      <c r="Q22" s="168">
        <f t="shared" si="3"/>
        <v>301.6520543034908</v>
      </c>
      <c r="R22" s="87"/>
      <c r="S22" s="87"/>
      <c r="T22" s="87"/>
      <c r="U22" s="14"/>
      <c r="V22" s="12"/>
      <c r="W22" s="12"/>
      <c r="X22" s="7"/>
    </row>
    <row r="23" spans="1:24" ht="12.75">
      <c r="A23" s="903"/>
      <c r="B23" s="112">
        <v>6</v>
      </c>
      <c r="C23" s="34" t="s">
        <v>78</v>
      </c>
      <c r="D23" s="35">
        <v>42</v>
      </c>
      <c r="E23" s="35">
        <v>2000</v>
      </c>
      <c r="F23" s="263">
        <v>62.874</v>
      </c>
      <c r="G23" s="263">
        <v>6.956928</v>
      </c>
      <c r="H23" s="263">
        <v>6.64</v>
      </c>
      <c r="I23" s="263">
        <v>49.277072</v>
      </c>
      <c r="J23" s="118">
        <v>2801.5899999999997</v>
      </c>
      <c r="K23" s="263">
        <v>48.531829</v>
      </c>
      <c r="L23" s="118">
        <v>2759.22</v>
      </c>
      <c r="M23" s="139">
        <f t="shared" si="0"/>
        <v>0.017588966809460645</v>
      </c>
      <c r="N23" s="35">
        <v>297.897</v>
      </c>
      <c r="O23" s="138">
        <f t="shared" si="1"/>
        <v>5.239700445637898</v>
      </c>
      <c r="P23" s="138">
        <f t="shared" si="2"/>
        <v>1055.3380085676388</v>
      </c>
      <c r="Q23" s="168">
        <f t="shared" si="3"/>
        <v>314.38202673827385</v>
      </c>
      <c r="R23" s="87"/>
      <c r="S23" s="87"/>
      <c r="T23" s="87"/>
      <c r="U23" s="14"/>
      <c r="V23" s="13"/>
      <c r="W23" s="13"/>
      <c r="X23" s="8"/>
    </row>
    <row r="24" spans="1:23" ht="12.75">
      <c r="A24" s="903"/>
      <c r="B24" s="112">
        <v>7</v>
      </c>
      <c r="C24" s="34" t="s">
        <v>552</v>
      </c>
      <c r="D24" s="35">
        <v>39</v>
      </c>
      <c r="E24" s="35">
        <v>1999</v>
      </c>
      <c r="F24" s="263">
        <v>54.441</v>
      </c>
      <c r="G24" s="263">
        <v>5.9364</v>
      </c>
      <c r="H24" s="263">
        <v>6.24</v>
      </c>
      <c r="I24" s="263">
        <v>42.2646</v>
      </c>
      <c r="J24" s="118">
        <v>2296.95</v>
      </c>
      <c r="K24" s="263">
        <v>42.264596</v>
      </c>
      <c r="L24" s="118">
        <v>2296.95</v>
      </c>
      <c r="M24" s="139">
        <f t="shared" si="0"/>
        <v>0.018400311717712618</v>
      </c>
      <c r="N24" s="35">
        <v>297.897</v>
      </c>
      <c r="O24" s="138">
        <f t="shared" si="1"/>
        <v>5.481397659771435</v>
      </c>
      <c r="P24" s="138">
        <f t="shared" si="2"/>
        <v>1104.0187030627571</v>
      </c>
      <c r="Q24" s="168">
        <f t="shared" si="3"/>
        <v>328.8838595862861</v>
      </c>
      <c r="R24" s="87"/>
      <c r="S24" s="87"/>
      <c r="T24" s="87"/>
      <c r="U24" s="14"/>
      <c r="V24" s="12"/>
      <c r="W24" s="12"/>
    </row>
    <row r="25" spans="1:24" s="8" customFormat="1" ht="12.75">
      <c r="A25" s="903"/>
      <c r="B25" s="112">
        <v>8</v>
      </c>
      <c r="C25" s="34" t="s">
        <v>553</v>
      </c>
      <c r="D25" s="35">
        <v>50</v>
      </c>
      <c r="E25" s="35">
        <v>2000</v>
      </c>
      <c r="F25" s="263">
        <v>62.05</v>
      </c>
      <c r="G25" s="263">
        <v>5.362632</v>
      </c>
      <c r="H25" s="263">
        <v>8</v>
      </c>
      <c r="I25" s="263">
        <v>48.687368</v>
      </c>
      <c r="J25" s="118">
        <v>2639.49</v>
      </c>
      <c r="K25" s="263">
        <v>48.687372</v>
      </c>
      <c r="L25" s="118">
        <v>2639.49</v>
      </c>
      <c r="M25" s="139">
        <f t="shared" si="0"/>
        <v>0.01844574974711024</v>
      </c>
      <c r="N25" s="35">
        <v>297.897</v>
      </c>
      <c r="O25" s="138">
        <f t="shared" si="1"/>
        <v>5.494933512414899</v>
      </c>
      <c r="P25" s="138">
        <f t="shared" si="2"/>
        <v>1106.7449848266144</v>
      </c>
      <c r="Q25" s="168">
        <f t="shared" si="3"/>
        <v>329.6960107448939</v>
      </c>
      <c r="R25" s="87"/>
      <c r="S25" s="87"/>
      <c r="T25" s="87"/>
      <c r="U25" s="14"/>
      <c r="V25" s="12"/>
      <c r="W25" s="12"/>
      <c r="X25" s="1"/>
    </row>
    <row r="26" spans="1:24" s="8" customFormat="1" ht="12.75">
      <c r="A26" s="903"/>
      <c r="B26" s="112">
        <v>9</v>
      </c>
      <c r="C26" s="34" t="s">
        <v>130</v>
      </c>
      <c r="D26" s="35">
        <v>28</v>
      </c>
      <c r="E26" s="35">
        <v>2000</v>
      </c>
      <c r="F26" s="263">
        <v>38.031</v>
      </c>
      <c r="G26" s="263">
        <v>4.167501</v>
      </c>
      <c r="H26" s="263">
        <v>4.4</v>
      </c>
      <c r="I26" s="263">
        <v>29.4635</v>
      </c>
      <c r="J26" s="118">
        <v>1548.2</v>
      </c>
      <c r="K26" s="263">
        <v>29.4635</v>
      </c>
      <c r="L26" s="118">
        <v>1548.2</v>
      </c>
      <c r="M26" s="139">
        <f t="shared" si="0"/>
        <v>0.01903080997287172</v>
      </c>
      <c r="N26" s="35">
        <v>297.897</v>
      </c>
      <c r="O26" s="138">
        <f t="shared" si="1"/>
        <v>5.669221198488566</v>
      </c>
      <c r="P26" s="138">
        <f t="shared" si="2"/>
        <v>1141.8485983723033</v>
      </c>
      <c r="Q26" s="168">
        <f t="shared" si="3"/>
        <v>340.153271909314</v>
      </c>
      <c r="R26" s="87"/>
      <c r="S26" s="87"/>
      <c r="T26" s="87"/>
      <c r="U26" s="14"/>
      <c r="V26" s="12"/>
      <c r="W26" s="12"/>
      <c r="X26" s="1"/>
    </row>
    <row r="27" spans="1:23" ht="13.5" customHeight="1" thickBot="1">
      <c r="A27" s="905"/>
      <c r="B27" s="113">
        <v>10</v>
      </c>
      <c r="C27" s="83" t="s">
        <v>79</v>
      </c>
      <c r="D27" s="38">
        <v>28</v>
      </c>
      <c r="E27" s="38">
        <v>1999</v>
      </c>
      <c r="F27" s="265">
        <v>51.274</v>
      </c>
      <c r="G27" s="265">
        <v>4.947</v>
      </c>
      <c r="H27" s="265">
        <v>3.92</v>
      </c>
      <c r="I27" s="265">
        <v>42.407</v>
      </c>
      <c r="J27" s="184">
        <v>2196.98</v>
      </c>
      <c r="K27" s="265">
        <v>42.406998</v>
      </c>
      <c r="L27" s="184">
        <v>2196.98</v>
      </c>
      <c r="M27" s="218">
        <f t="shared" si="0"/>
        <v>0.0193024051197553</v>
      </c>
      <c r="N27" s="38">
        <v>297.897</v>
      </c>
      <c r="O27" s="171">
        <f t="shared" si="1"/>
        <v>5.750128577959745</v>
      </c>
      <c r="P27" s="171">
        <f t="shared" si="2"/>
        <v>1158.1443071853182</v>
      </c>
      <c r="Q27" s="172">
        <f t="shared" si="3"/>
        <v>345.0077146775847</v>
      </c>
      <c r="R27" s="87"/>
      <c r="S27" s="87"/>
      <c r="T27" s="87"/>
      <c r="U27" s="14"/>
      <c r="V27" s="12"/>
      <c r="W27" s="12"/>
    </row>
    <row r="28" spans="1:23" ht="12.75" customHeight="1">
      <c r="A28" s="1040" t="s">
        <v>47</v>
      </c>
      <c r="B28" s="269">
        <v>1</v>
      </c>
      <c r="C28" s="270" t="s">
        <v>89</v>
      </c>
      <c r="D28" s="231">
        <v>44</v>
      </c>
      <c r="E28" s="231" t="s">
        <v>71</v>
      </c>
      <c r="F28" s="423">
        <v>64.578</v>
      </c>
      <c r="G28" s="423">
        <v>6.49528</v>
      </c>
      <c r="H28" s="423">
        <v>7.04</v>
      </c>
      <c r="I28" s="423">
        <v>51.04272</v>
      </c>
      <c r="J28" s="434">
        <v>2337.92</v>
      </c>
      <c r="K28" s="423">
        <v>51.042719</v>
      </c>
      <c r="L28" s="434">
        <v>2337.92</v>
      </c>
      <c r="M28" s="444">
        <f t="shared" si="0"/>
        <v>0.021832534475088965</v>
      </c>
      <c r="N28" s="231">
        <v>299.096</v>
      </c>
      <c r="O28" s="424">
        <f t="shared" si="1"/>
        <v>6.530023731361209</v>
      </c>
      <c r="P28" s="424">
        <f t="shared" si="2"/>
        <v>1309.9520685053378</v>
      </c>
      <c r="Q28" s="445">
        <f t="shared" si="3"/>
        <v>391.8014238816725</v>
      </c>
      <c r="R28" s="87"/>
      <c r="S28" s="87"/>
      <c r="T28" s="87"/>
      <c r="U28" s="14"/>
      <c r="V28" s="12"/>
      <c r="W28" s="12"/>
    </row>
    <row r="29" spans="1:24" s="7" customFormat="1" ht="12.75">
      <c r="A29" s="881"/>
      <c r="B29" s="271">
        <v>2</v>
      </c>
      <c r="C29" s="272" t="s">
        <v>83</v>
      </c>
      <c r="D29" s="232">
        <v>60</v>
      </c>
      <c r="E29" s="232">
        <v>1981</v>
      </c>
      <c r="F29" s="288">
        <v>96.872</v>
      </c>
      <c r="G29" s="288">
        <v>7.204071</v>
      </c>
      <c r="H29" s="288">
        <v>9.6</v>
      </c>
      <c r="I29" s="288">
        <v>80.067929</v>
      </c>
      <c r="J29" s="279">
        <v>3285.91</v>
      </c>
      <c r="K29" s="288">
        <v>80.067935</v>
      </c>
      <c r="L29" s="279">
        <v>3285.91</v>
      </c>
      <c r="M29" s="290">
        <f t="shared" si="0"/>
        <v>0.024367050527859865</v>
      </c>
      <c r="N29" s="232">
        <v>299.096</v>
      </c>
      <c r="O29" s="289">
        <f t="shared" si="1"/>
        <v>7.288087344680775</v>
      </c>
      <c r="P29" s="289">
        <f t="shared" si="2"/>
        <v>1462.023031671592</v>
      </c>
      <c r="Q29" s="291">
        <f t="shared" si="3"/>
        <v>437.2852406808465</v>
      </c>
      <c r="R29" s="87"/>
      <c r="S29" s="87"/>
      <c r="T29" s="87"/>
      <c r="U29" s="14"/>
      <c r="V29" s="12"/>
      <c r="W29" s="12"/>
      <c r="X29" s="1"/>
    </row>
    <row r="30" spans="1:24" ht="12.75">
      <c r="A30" s="881"/>
      <c r="B30" s="271">
        <v>3</v>
      </c>
      <c r="C30" s="272" t="s">
        <v>84</v>
      </c>
      <c r="D30" s="232">
        <v>145</v>
      </c>
      <c r="E30" s="232">
        <v>1980</v>
      </c>
      <c r="F30" s="288">
        <v>259.932</v>
      </c>
      <c r="G30" s="288">
        <v>20.15428</v>
      </c>
      <c r="H30" s="288">
        <v>34.32</v>
      </c>
      <c r="I30" s="288">
        <v>205.457721</v>
      </c>
      <c r="J30" s="279">
        <v>8328.31</v>
      </c>
      <c r="K30" s="288">
        <v>205.457719</v>
      </c>
      <c r="L30" s="279">
        <v>8328.31</v>
      </c>
      <c r="M30" s="290">
        <f t="shared" si="0"/>
        <v>0.02466979723377252</v>
      </c>
      <c r="N30" s="232">
        <v>299.096</v>
      </c>
      <c r="O30" s="289">
        <f t="shared" si="1"/>
        <v>7.378637673432426</v>
      </c>
      <c r="P30" s="289">
        <f t="shared" si="2"/>
        <v>1480.1878340263513</v>
      </c>
      <c r="Q30" s="291">
        <f t="shared" si="3"/>
        <v>442.7182604059456</v>
      </c>
      <c r="R30" s="87"/>
      <c r="S30" s="87"/>
      <c r="T30" s="87"/>
      <c r="U30" s="14"/>
      <c r="V30" s="12"/>
      <c r="W30" s="12"/>
      <c r="X30" s="7"/>
    </row>
    <row r="31" spans="1:23" s="7" customFormat="1" ht="12.75">
      <c r="A31" s="881"/>
      <c r="B31" s="271">
        <v>4</v>
      </c>
      <c r="C31" s="272" t="s">
        <v>554</v>
      </c>
      <c r="D31" s="232">
        <v>40</v>
      </c>
      <c r="E31" s="232">
        <v>1985</v>
      </c>
      <c r="F31" s="288">
        <v>65.405</v>
      </c>
      <c r="G31" s="288">
        <v>5.242174</v>
      </c>
      <c r="H31" s="288">
        <v>6.4</v>
      </c>
      <c r="I31" s="288">
        <v>53.762826</v>
      </c>
      <c r="J31" s="279">
        <v>2161.15</v>
      </c>
      <c r="K31" s="288">
        <v>53.76282</v>
      </c>
      <c r="L31" s="279">
        <v>2161.15</v>
      </c>
      <c r="M31" s="290">
        <f t="shared" si="0"/>
        <v>0.024876949772112068</v>
      </c>
      <c r="N31" s="232">
        <v>299.096</v>
      </c>
      <c r="O31" s="289">
        <f t="shared" si="1"/>
        <v>7.440596169039631</v>
      </c>
      <c r="P31" s="289">
        <f t="shared" si="2"/>
        <v>1492.616986326724</v>
      </c>
      <c r="Q31" s="291">
        <f t="shared" si="3"/>
        <v>446.4357701423778</v>
      </c>
      <c r="R31" s="87"/>
      <c r="S31" s="87"/>
      <c r="T31" s="87"/>
      <c r="U31" s="14"/>
      <c r="V31" s="12"/>
      <c r="W31" s="12"/>
    </row>
    <row r="32" spans="1:23" ht="12.75">
      <c r="A32" s="881"/>
      <c r="B32" s="271">
        <v>5</v>
      </c>
      <c r="C32" s="272" t="s">
        <v>82</v>
      </c>
      <c r="D32" s="232">
        <v>60</v>
      </c>
      <c r="E32" s="232">
        <v>1985</v>
      </c>
      <c r="F32" s="288">
        <v>96.476</v>
      </c>
      <c r="G32" s="288">
        <v>7.352228</v>
      </c>
      <c r="H32" s="288">
        <v>9.6</v>
      </c>
      <c r="I32" s="288">
        <v>79.523772</v>
      </c>
      <c r="J32" s="279">
        <v>3189.58</v>
      </c>
      <c r="K32" s="288">
        <v>79.523779</v>
      </c>
      <c r="L32" s="279">
        <v>3189.58</v>
      </c>
      <c r="M32" s="290">
        <f t="shared" si="0"/>
        <v>0.024932366957405052</v>
      </c>
      <c r="N32" s="232">
        <v>299.096</v>
      </c>
      <c r="O32" s="289">
        <f t="shared" si="1"/>
        <v>7.457171227492021</v>
      </c>
      <c r="P32" s="289">
        <f t="shared" si="2"/>
        <v>1495.9420174443032</v>
      </c>
      <c r="Q32" s="291">
        <f t="shared" si="3"/>
        <v>447.4302736495213</v>
      </c>
      <c r="R32" s="87"/>
      <c r="S32" s="87"/>
      <c r="T32" s="87"/>
      <c r="U32" s="14"/>
      <c r="V32" s="12"/>
      <c r="W32" s="12"/>
    </row>
    <row r="33" spans="1:23" ht="12.75">
      <c r="A33" s="881"/>
      <c r="B33" s="271">
        <v>6</v>
      </c>
      <c r="C33" s="272" t="s">
        <v>87</v>
      </c>
      <c r="D33" s="232">
        <v>22</v>
      </c>
      <c r="E33" s="232">
        <v>1989</v>
      </c>
      <c r="F33" s="288">
        <v>35.597</v>
      </c>
      <c r="G33" s="288">
        <v>2.351184</v>
      </c>
      <c r="H33" s="288">
        <v>3.52</v>
      </c>
      <c r="I33" s="288">
        <v>29.725816</v>
      </c>
      <c r="J33" s="279">
        <v>1179.64</v>
      </c>
      <c r="K33" s="288">
        <v>29.725814</v>
      </c>
      <c r="L33" s="279">
        <v>1179.64</v>
      </c>
      <c r="M33" s="290">
        <f t="shared" si="0"/>
        <v>0.025199055644094807</v>
      </c>
      <c r="N33" s="232">
        <v>299.096</v>
      </c>
      <c r="O33" s="289">
        <f t="shared" si="1"/>
        <v>7.53693674692618</v>
      </c>
      <c r="P33" s="289">
        <f t="shared" si="2"/>
        <v>1511.9433386456885</v>
      </c>
      <c r="Q33" s="291">
        <f t="shared" si="3"/>
        <v>452.21620481557085</v>
      </c>
      <c r="R33" s="87"/>
      <c r="S33" s="87"/>
      <c r="T33" s="87"/>
      <c r="U33" s="14"/>
      <c r="V33" s="12"/>
      <c r="W33" s="12"/>
    </row>
    <row r="34" spans="1:24" s="7" customFormat="1" ht="12.75">
      <c r="A34" s="881"/>
      <c r="B34" s="271">
        <v>7</v>
      </c>
      <c r="C34" s="272" t="s">
        <v>81</v>
      </c>
      <c r="D34" s="232">
        <v>38</v>
      </c>
      <c r="E34" s="232" t="s">
        <v>71</v>
      </c>
      <c r="F34" s="288">
        <v>69.619</v>
      </c>
      <c r="G34" s="288">
        <v>5.116563</v>
      </c>
      <c r="H34" s="288">
        <v>6</v>
      </c>
      <c r="I34" s="288">
        <v>58.502437</v>
      </c>
      <c r="J34" s="279">
        <v>2277.52</v>
      </c>
      <c r="K34" s="288">
        <v>58.502438</v>
      </c>
      <c r="L34" s="279">
        <v>2277.52</v>
      </c>
      <c r="M34" s="290">
        <f t="shared" si="0"/>
        <v>0.025686904176472652</v>
      </c>
      <c r="N34" s="232">
        <v>299.096</v>
      </c>
      <c r="O34" s="289">
        <f t="shared" si="1"/>
        <v>7.682850291566265</v>
      </c>
      <c r="P34" s="289">
        <f t="shared" si="2"/>
        <v>1541.214250588359</v>
      </c>
      <c r="Q34" s="291">
        <f t="shared" si="3"/>
        <v>460.9710174939758</v>
      </c>
      <c r="R34" s="87"/>
      <c r="S34" s="87"/>
      <c r="T34" s="87"/>
      <c r="U34" s="14"/>
      <c r="V34" s="12"/>
      <c r="W34" s="12"/>
      <c r="X34" s="1"/>
    </row>
    <row r="35" spans="1:24" ht="12.75">
      <c r="A35" s="881"/>
      <c r="B35" s="271">
        <v>8</v>
      </c>
      <c r="C35" s="272" t="s">
        <v>86</v>
      </c>
      <c r="D35" s="232">
        <v>49</v>
      </c>
      <c r="E35" s="232">
        <v>1986</v>
      </c>
      <c r="F35" s="288">
        <v>90.762</v>
      </c>
      <c r="G35" s="288">
        <v>5.791356</v>
      </c>
      <c r="H35" s="288">
        <v>10.24</v>
      </c>
      <c r="I35" s="288">
        <v>74.730644</v>
      </c>
      <c r="J35" s="279">
        <v>2820.68</v>
      </c>
      <c r="K35" s="288">
        <v>74.73064</v>
      </c>
      <c r="L35" s="279">
        <v>2820.68</v>
      </c>
      <c r="M35" s="290">
        <f t="shared" si="0"/>
        <v>0.026493838365216897</v>
      </c>
      <c r="N35" s="232">
        <v>299.096</v>
      </c>
      <c r="O35" s="289">
        <f t="shared" si="1"/>
        <v>7.924201079682913</v>
      </c>
      <c r="P35" s="289">
        <f t="shared" si="2"/>
        <v>1589.630301913014</v>
      </c>
      <c r="Q35" s="291">
        <f t="shared" si="3"/>
        <v>475.4520647809748</v>
      </c>
      <c r="R35" s="87"/>
      <c r="S35" s="87"/>
      <c r="T35" s="87"/>
      <c r="U35" s="14"/>
      <c r="V35" s="12"/>
      <c r="W35" s="12"/>
      <c r="X35" s="7"/>
    </row>
    <row r="36" spans="1:23" s="7" customFormat="1" ht="12.75">
      <c r="A36" s="881"/>
      <c r="B36" s="271">
        <v>9</v>
      </c>
      <c r="C36" s="272" t="s">
        <v>85</v>
      </c>
      <c r="D36" s="232">
        <v>72</v>
      </c>
      <c r="E36" s="232">
        <v>1980</v>
      </c>
      <c r="F36" s="288">
        <v>139.5137</v>
      </c>
      <c r="G36" s="288">
        <v>12.199782</v>
      </c>
      <c r="H36" s="288">
        <v>17.28</v>
      </c>
      <c r="I36" s="288">
        <v>110.033918</v>
      </c>
      <c r="J36" s="279">
        <v>4129.55</v>
      </c>
      <c r="K36" s="288">
        <v>110.033914</v>
      </c>
      <c r="L36" s="279">
        <v>4129.55</v>
      </c>
      <c r="M36" s="290">
        <f t="shared" si="0"/>
        <v>0.026645497451296143</v>
      </c>
      <c r="N36" s="232">
        <v>299.096</v>
      </c>
      <c r="O36" s="289">
        <f t="shared" si="1"/>
        <v>7.969561705692872</v>
      </c>
      <c r="P36" s="289">
        <f t="shared" si="2"/>
        <v>1598.7298470777687</v>
      </c>
      <c r="Q36" s="291">
        <f t="shared" si="3"/>
        <v>478.1737023415723</v>
      </c>
      <c r="R36" s="87"/>
      <c r="S36" s="87"/>
      <c r="T36" s="87"/>
      <c r="U36" s="14"/>
      <c r="V36" s="12"/>
      <c r="W36" s="12"/>
    </row>
    <row r="37" spans="1:23" ht="13.5" thickBot="1">
      <c r="A37" s="883"/>
      <c r="B37" s="275">
        <v>10</v>
      </c>
      <c r="C37" s="276" t="s">
        <v>88</v>
      </c>
      <c r="D37" s="246">
        <v>37</v>
      </c>
      <c r="E37" s="246">
        <v>1987</v>
      </c>
      <c r="F37" s="292">
        <v>70.868</v>
      </c>
      <c r="G37" s="292">
        <v>4.906782</v>
      </c>
      <c r="H37" s="292">
        <v>8.64</v>
      </c>
      <c r="I37" s="292">
        <v>57.321218</v>
      </c>
      <c r="J37" s="281">
        <v>2115.27</v>
      </c>
      <c r="K37" s="292">
        <v>57.321224</v>
      </c>
      <c r="L37" s="281">
        <v>2115.27</v>
      </c>
      <c r="M37" s="294">
        <f t="shared" si="0"/>
        <v>0.027098774151763132</v>
      </c>
      <c r="N37" s="246">
        <v>299.096</v>
      </c>
      <c r="O37" s="293">
        <f t="shared" si="1"/>
        <v>8.105134953695746</v>
      </c>
      <c r="P37" s="293">
        <f t="shared" si="2"/>
        <v>1625.926449105788</v>
      </c>
      <c r="Q37" s="295">
        <f t="shared" si="3"/>
        <v>486.3080972217448</v>
      </c>
      <c r="R37" s="87"/>
      <c r="S37" s="87"/>
      <c r="T37" s="87"/>
      <c r="U37" s="14"/>
      <c r="V37" s="12"/>
      <c r="W37" s="12"/>
    </row>
    <row r="38" spans="1:23" s="7" customFormat="1" ht="12.75" customHeight="1">
      <c r="A38" s="1031" t="s">
        <v>52</v>
      </c>
      <c r="B38" s="114">
        <v>1</v>
      </c>
      <c r="C38" s="277" t="s">
        <v>93</v>
      </c>
      <c r="D38" s="39">
        <v>40</v>
      </c>
      <c r="E38" s="39">
        <v>1960</v>
      </c>
      <c r="F38" s="429">
        <v>49.499</v>
      </c>
      <c r="G38" s="429">
        <v>5.507246</v>
      </c>
      <c r="H38" s="429">
        <v>0.4</v>
      </c>
      <c r="I38" s="429">
        <v>43.591754</v>
      </c>
      <c r="J38" s="360">
        <v>1514.97</v>
      </c>
      <c r="K38" s="429">
        <v>42.091478</v>
      </c>
      <c r="L38" s="360">
        <v>1462.83</v>
      </c>
      <c r="M38" s="449">
        <f t="shared" si="0"/>
        <v>0.028774005181736773</v>
      </c>
      <c r="N38" s="39">
        <v>299.096</v>
      </c>
      <c r="O38" s="450">
        <f t="shared" si="1"/>
        <v>8.606189853836742</v>
      </c>
      <c r="P38" s="450">
        <f t="shared" si="2"/>
        <v>1726.4403109042064</v>
      </c>
      <c r="Q38" s="451">
        <f t="shared" si="3"/>
        <v>516.3713912302045</v>
      </c>
      <c r="R38" s="87"/>
      <c r="S38" s="87"/>
      <c r="T38" s="87"/>
      <c r="U38" s="14"/>
      <c r="V38" s="12"/>
      <c r="W38" s="12"/>
    </row>
    <row r="39" spans="1:24" s="7" customFormat="1" ht="12.75">
      <c r="A39" s="1008"/>
      <c r="B39" s="41">
        <v>2</v>
      </c>
      <c r="C39" s="49" t="s">
        <v>95</v>
      </c>
      <c r="D39" s="41">
        <v>24</v>
      </c>
      <c r="E39" s="41">
        <v>1961</v>
      </c>
      <c r="F39" s="315">
        <v>31.513</v>
      </c>
      <c r="G39" s="315">
        <v>3.669135</v>
      </c>
      <c r="H39" s="315">
        <v>0</v>
      </c>
      <c r="I39" s="315">
        <v>27.843865</v>
      </c>
      <c r="J39" s="317">
        <v>911.79</v>
      </c>
      <c r="K39" s="315">
        <v>27.843864</v>
      </c>
      <c r="L39" s="317">
        <v>911.79</v>
      </c>
      <c r="M39" s="309">
        <f t="shared" si="0"/>
        <v>0.03053758431217715</v>
      </c>
      <c r="N39" s="41">
        <v>299.096</v>
      </c>
      <c r="O39" s="310">
        <f t="shared" si="1"/>
        <v>9.133669317434936</v>
      </c>
      <c r="P39" s="310">
        <f t="shared" si="2"/>
        <v>1832.255058730629</v>
      </c>
      <c r="Q39" s="311">
        <f t="shared" si="3"/>
        <v>548.0201590460962</v>
      </c>
      <c r="R39" s="87"/>
      <c r="S39" s="87"/>
      <c r="T39" s="87"/>
      <c r="U39" s="14"/>
      <c r="V39" s="12"/>
      <c r="W39" s="12"/>
      <c r="X39" s="1"/>
    </row>
    <row r="40" spans="1:23" ht="12.75">
      <c r="A40" s="1008"/>
      <c r="B40" s="115">
        <v>3</v>
      </c>
      <c r="C40" s="49" t="s">
        <v>97</v>
      </c>
      <c r="D40" s="41">
        <v>108</v>
      </c>
      <c r="E40" s="41" t="s">
        <v>71</v>
      </c>
      <c r="F40" s="315">
        <v>110.02</v>
      </c>
      <c r="G40" s="315">
        <v>10.071388</v>
      </c>
      <c r="H40" s="315">
        <v>17.13</v>
      </c>
      <c r="I40" s="315">
        <v>82.818612</v>
      </c>
      <c r="J40" s="317">
        <v>2584.77</v>
      </c>
      <c r="K40" s="315">
        <v>82.818615</v>
      </c>
      <c r="L40" s="317">
        <v>2584.77</v>
      </c>
      <c r="M40" s="309">
        <f t="shared" si="0"/>
        <v>0.032040999779477476</v>
      </c>
      <c r="N40" s="41">
        <v>299.096</v>
      </c>
      <c r="O40" s="310">
        <f t="shared" si="1"/>
        <v>9.583334870042595</v>
      </c>
      <c r="P40" s="310">
        <f t="shared" si="2"/>
        <v>1922.4599867686484</v>
      </c>
      <c r="Q40" s="311">
        <f t="shared" si="3"/>
        <v>575.0000922025556</v>
      </c>
      <c r="R40" s="87"/>
      <c r="S40" s="87"/>
      <c r="T40" s="87"/>
      <c r="U40" s="14"/>
      <c r="V40" s="12"/>
      <c r="W40" s="12"/>
    </row>
    <row r="41" spans="1:23" ht="12.75">
      <c r="A41" s="1008"/>
      <c r="B41" s="115">
        <v>4</v>
      </c>
      <c r="C41" s="49" t="s">
        <v>96</v>
      </c>
      <c r="D41" s="41">
        <v>108</v>
      </c>
      <c r="E41" s="41">
        <v>1971</v>
      </c>
      <c r="F41" s="315">
        <v>111.041</v>
      </c>
      <c r="G41" s="315">
        <v>7.708448</v>
      </c>
      <c r="H41" s="315">
        <v>17.28</v>
      </c>
      <c r="I41" s="315">
        <v>86.052552</v>
      </c>
      <c r="J41" s="317">
        <v>2657.8</v>
      </c>
      <c r="K41" s="315">
        <v>84.032205</v>
      </c>
      <c r="L41" s="317">
        <v>2595.4</v>
      </c>
      <c r="M41" s="309">
        <f t="shared" si="0"/>
        <v>0.03237736187100254</v>
      </c>
      <c r="N41" s="41">
        <v>299.096</v>
      </c>
      <c r="O41" s="310">
        <f t="shared" si="1"/>
        <v>9.683939426169376</v>
      </c>
      <c r="P41" s="310">
        <f t="shared" si="2"/>
        <v>1942.6417122601524</v>
      </c>
      <c r="Q41" s="311">
        <f t="shared" si="3"/>
        <v>581.0363655701625</v>
      </c>
      <c r="R41" s="87"/>
      <c r="S41" s="87"/>
      <c r="T41" s="87"/>
      <c r="U41" s="14"/>
      <c r="V41" s="12"/>
      <c r="W41" s="12"/>
    </row>
    <row r="42" spans="1:23" ht="12.75">
      <c r="A42" s="1008"/>
      <c r="B42" s="115">
        <v>5</v>
      </c>
      <c r="C42" s="49" t="s">
        <v>91</v>
      </c>
      <c r="D42" s="41">
        <v>13</v>
      </c>
      <c r="E42" s="41">
        <v>1961</v>
      </c>
      <c r="F42" s="315">
        <v>21.962</v>
      </c>
      <c r="G42" s="315">
        <v>2.635795</v>
      </c>
      <c r="H42" s="315">
        <v>0.13</v>
      </c>
      <c r="I42" s="315">
        <v>19.196205</v>
      </c>
      <c r="J42" s="317">
        <v>591.36</v>
      </c>
      <c r="K42" s="315">
        <v>16.114347</v>
      </c>
      <c r="L42" s="317">
        <v>496.42</v>
      </c>
      <c r="M42" s="309">
        <f t="shared" si="0"/>
        <v>0.03246111558760727</v>
      </c>
      <c r="N42" s="41">
        <v>299.096</v>
      </c>
      <c r="O42" s="310">
        <f t="shared" si="1"/>
        <v>9.708989827790983</v>
      </c>
      <c r="P42" s="310">
        <f t="shared" si="2"/>
        <v>1947.6669352564359</v>
      </c>
      <c r="Q42" s="311">
        <f t="shared" si="3"/>
        <v>582.539389667459</v>
      </c>
      <c r="R42" s="87"/>
      <c r="S42" s="87"/>
      <c r="T42" s="87"/>
      <c r="U42" s="14"/>
      <c r="V42" s="12"/>
      <c r="W42" s="12"/>
    </row>
    <row r="43" spans="1:23" ht="12.75">
      <c r="A43" s="1008"/>
      <c r="B43" s="41">
        <v>6</v>
      </c>
      <c r="C43" s="49" t="s">
        <v>94</v>
      </c>
      <c r="D43" s="143">
        <v>35</v>
      </c>
      <c r="E43" s="143">
        <v>1965</v>
      </c>
      <c r="F43" s="315">
        <v>32.329</v>
      </c>
      <c r="G43" s="315">
        <v>7.669745</v>
      </c>
      <c r="H43" s="315">
        <v>0.826</v>
      </c>
      <c r="I43" s="315">
        <v>23.833255</v>
      </c>
      <c r="J43" s="317">
        <v>687.58</v>
      </c>
      <c r="K43" s="315">
        <v>23.833254</v>
      </c>
      <c r="L43" s="317">
        <v>687.58</v>
      </c>
      <c r="M43" s="309">
        <f t="shared" si="0"/>
        <v>0.03466251781610867</v>
      </c>
      <c r="N43" s="41">
        <v>299.096</v>
      </c>
      <c r="O43" s="310">
        <f t="shared" si="1"/>
        <v>10.36742042872684</v>
      </c>
      <c r="P43" s="310">
        <f t="shared" si="2"/>
        <v>2079.7510689665205</v>
      </c>
      <c r="Q43" s="311">
        <f t="shared" si="3"/>
        <v>622.0452257236104</v>
      </c>
      <c r="R43" s="87"/>
      <c r="S43" s="87"/>
      <c r="T43" s="87"/>
      <c r="U43" s="14"/>
      <c r="V43" s="12"/>
      <c r="W43" s="12"/>
    </row>
    <row r="44" spans="1:24" ht="12.75">
      <c r="A44" s="1008"/>
      <c r="B44" s="115">
        <v>7</v>
      </c>
      <c r="C44" s="49" t="s">
        <v>90</v>
      </c>
      <c r="D44" s="41">
        <v>11</v>
      </c>
      <c r="E44" s="41">
        <v>1910</v>
      </c>
      <c r="F44" s="315">
        <v>20.385</v>
      </c>
      <c r="G44" s="315">
        <v>0.850935</v>
      </c>
      <c r="H44" s="315">
        <v>0</v>
      </c>
      <c r="I44" s="315">
        <v>19.534065</v>
      </c>
      <c r="J44" s="317">
        <v>542.57</v>
      </c>
      <c r="K44" s="315">
        <v>16.225045</v>
      </c>
      <c r="L44" s="317">
        <v>450.66</v>
      </c>
      <c r="M44" s="309">
        <f t="shared" si="0"/>
        <v>0.03600285137354103</v>
      </c>
      <c r="N44" s="41">
        <v>299.096</v>
      </c>
      <c r="O44" s="310">
        <f t="shared" si="1"/>
        <v>10.768308834420628</v>
      </c>
      <c r="P44" s="310">
        <f t="shared" si="2"/>
        <v>2160.1710824124616</v>
      </c>
      <c r="Q44" s="311">
        <f t="shared" si="3"/>
        <v>646.0985300652377</v>
      </c>
      <c r="R44" s="87"/>
      <c r="S44" s="87"/>
      <c r="T44" s="87"/>
      <c r="U44" s="14"/>
      <c r="V44" s="12"/>
      <c r="W44" s="12"/>
      <c r="X44" s="7"/>
    </row>
    <row r="45" spans="1:23" ht="12.75">
      <c r="A45" s="1008"/>
      <c r="B45" s="115">
        <v>8</v>
      </c>
      <c r="C45" s="49" t="s">
        <v>92</v>
      </c>
      <c r="D45" s="41">
        <v>6</v>
      </c>
      <c r="E45" s="41">
        <v>1958</v>
      </c>
      <c r="F45" s="315">
        <v>13.424</v>
      </c>
      <c r="G45" s="315">
        <v>0.32208</v>
      </c>
      <c r="H45" s="315">
        <v>0.06</v>
      </c>
      <c r="I45" s="315">
        <v>13.04192</v>
      </c>
      <c r="J45" s="317">
        <v>310.34</v>
      </c>
      <c r="K45" s="315">
        <v>13.04192</v>
      </c>
      <c r="L45" s="317">
        <v>310.34</v>
      </c>
      <c r="M45" s="309">
        <f t="shared" si="0"/>
        <v>0.042024618160726945</v>
      </c>
      <c r="N45" s="41">
        <v>299.096</v>
      </c>
      <c r="O45" s="310">
        <f t="shared" si="1"/>
        <v>12.569395193400787</v>
      </c>
      <c r="P45" s="310">
        <f t="shared" si="2"/>
        <v>2521.477089643617</v>
      </c>
      <c r="Q45" s="311">
        <f t="shared" si="3"/>
        <v>754.1637116040473</v>
      </c>
      <c r="R45" s="87"/>
      <c r="S45" s="87"/>
      <c r="T45" s="87"/>
      <c r="U45" s="14"/>
      <c r="V45" s="12"/>
      <c r="W45" s="12"/>
    </row>
    <row r="46" spans="1:23" s="7" customFormat="1" ht="12.75">
      <c r="A46" s="1008"/>
      <c r="B46" s="115">
        <v>9</v>
      </c>
      <c r="C46" s="49" t="s">
        <v>100</v>
      </c>
      <c r="D46" s="41">
        <v>4</v>
      </c>
      <c r="E46" s="41">
        <v>1963</v>
      </c>
      <c r="F46" s="315">
        <v>6.765</v>
      </c>
      <c r="G46" s="315">
        <v>0.2684</v>
      </c>
      <c r="H46" s="315">
        <v>0.04</v>
      </c>
      <c r="I46" s="315">
        <v>6.4566</v>
      </c>
      <c r="J46" s="317">
        <v>150.99</v>
      </c>
      <c r="K46" s="315">
        <v>6.4566</v>
      </c>
      <c r="L46" s="317">
        <v>150.99</v>
      </c>
      <c r="M46" s="309">
        <f t="shared" si="0"/>
        <v>0.04276177230280151</v>
      </c>
      <c r="N46" s="41">
        <v>299.096</v>
      </c>
      <c r="O46" s="310">
        <f t="shared" si="1"/>
        <v>12.78987504867872</v>
      </c>
      <c r="P46" s="310">
        <f t="shared" si="2"/>
        <v>2565.7063381680905</v>
      </c>
      <c r="Q46" s="311">
        <f t="shared" si="3"/>
        <v>767.3925029207231</v>
      </c>
      <c r="R46" s="87"/>
      <c r="S46" s="87"/>
      <c r="T46" s="87"/>
      <c r="U46" s="14"/>
      <c r="V46" s="12"/>
      <c r="W46" s="12"/>
    </row>
    <row r="47" spans="1:23" ht="12.75">
      <c r="A47" s="1008"/>
      <c r="B47" s="41">
        <v>10</v>
      </c>
      <c r="C47" s="49" t="s">
        <v>98</v>
      </c>
      <c r="D47" s="41">
        <v>7</v>
      </c>
      <c r="E47" s="41" t="s">
        <v>71</v>
      </c>
      <c r="F47" s="315">
        <v>19.288</v>
      </c>
      <c r="G47" s="315">
        <v>0.5368</v>
      </c>
      <c r="H47" s="315">
        <v>0</v>
      </c>
      <c r="I47" s="315">
        <v>18.7512</v>
      </c>
      <c r="J47" s="317">
        <v>355.81</v>
      </c>
      <c r="K47" s="315">
        <v>16.808676</v>
      </c>
      <c r="L47" s="317">
        <v>318.95</v>
      </c>
      <c r="M47" s="309">
        <f t="shared" si="0"/>
        <v>0.05270003448816429</v>
      </c>
      <c r="N47" s="41">
        <v>299.096</v>
      </c>
      <c r="O47" s="310">
        <f t="shared" si="1"/>
        <v>15.762369515271986</v>
      </c>
      <c r="P47" s="310">
        <f t="shared" si="2"/>
        <v>3162.002069289857</v>
      </c>
      <c r="Q47" s="311">
        <f t="shared" si="3"/>
        <v>945.7421709163191</v>
      </c>
      <c r="R47" s="87"/>
      <c r="S47" s="87"/>
      <c r="T47" s="87"/>
      <c r="U47" s="14"/>
      <c r="V47" s="12"/>
      <c r="W47" s="12"/>
    </row>
    <row r="48" spans="1:20" ht="13.5" customHeight="1" thickBot="1">
      <c r="A48" s="1009"/>
      <c r="B48" s="46">
        <v>11</v>
      </c>
      <c r="C48" s="51" t="s">
        <v>99</v>
      </c>
      <c r="D48" s="46">
        <v>4</v>
      </c>
      <c r="E48" s="46">
        <v>1963</v>
      </c>
      <c r="F48" s="316">
        <v>8.685</v>
      </c>
      <c r="G48" s="316">
        <v>0.2684</v>
      </c>
      <c r="H48" s="316">
        <v>0</v>
      </c>
      <c r="I48" s="316">
        <v>8.4166</v>
      </c>
      <c r="J48" s="358">
        <v>148.04</v>
      </c>
      <c r="K48" s="316">
        <v>8.4166</v>
      </c>
      <c r="L48" s="358">
        <v>148.04</v>
      </c>
      <c r="M48" s="306">
        <f t="shared" si="0"/>
        <v>0.056853553093758454</v>
      </c>
      <c r="N48" s="46">
        <v>297.897</v>
      </c>
      <c r="O48" s="307">
        <f t="shared" si="1"/>
        <v>16.936502905971363</v>
      </c>
      <c r="P48" s="307">
        <f t="shared" si="2"/>
        <v>3411.213185625507</v>
      </c>
      <c r="Q48" s="308">
        <f t="shared" si="3"/>
        <v>1016.1901743582815</v>
      </c>
      <c r="S48" s="87"/>
      <c r="T48" s="87"/>
    </row>
    <row r="49" spans="1:20" ht="15">
      <c r="A49" s="992" t="s">
        <v>35</v>
      </c>
      <c r="B49" s="992"/>
      <c r="C49" s="992"/>
      <c r="D49" s="992"/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S49" s="87"/>
      <c r="T49" s="87"/>
    </row>
    <row r="50" spans="1:20" ht="13.5" thickBot="1">
      <c r="A50" s="935" t="s">
        <v>555</v>
      </c>
      <c r="B50" s="935"/>
      <c r="C50" s="935"/>
      <c r="D50" s="935"/>
      <c r="E50" s="935"/>
      <c r="F50" s="935"/>
      <c r="G50" s="935"/>
      <c r="H50" s="935"/>
      <c r="I50" s="935"/>
      <c r="J50" s="935"/>
      <c r="K50" s="935"/>
      <c r="L50" s="935"/>
      <c r="M50" s="935"/>
      <c r="N50" s="935"/>
      <c r="O50" s="935"/>
      <c r="P50" s="935"/>
      <c r="Q50" s="935"/>
      <c r="S50" s="87"/>
      <c r="T50" s="87"/>
    </row>
    <row r="51" spans="1:20" ht="12.75" customHeight="1">
      <c r="A51" s="890" t="s">
        <v>1</v>
      </c>
      <c r="B51" s="892" t="s">
        <v>0</v>
      </c>
      <c r="C51" s="888" t="s">
        <v>2</v>
      </c>
      <c r="D51" s="888" t="s">
        <v>3</v>
      </c>
      <c r="E51" s="888" t="s">
        <v>13</v>
      </c>
      <c r="F51" s="896" t="s">
        <v>14</v>
      </c>
      <c r="G51" s="897"/>
      <c r="H51" s="897"/>
      <c r="I51" s="898"/>
      <c r="J51" s="888" t="s">
        <v>4</v>
      </c>
      <c r="K51" s="888" t="s">
        <v>15</v>
      </c>
      <c r="L51" s="888" t="s">
        <v>5</v>
      </c>
      <c r="M51" s="888" t="s">
        <v>6</v>
      </c>
      <c r="N51" s="888" t="s">
        <v>16</v>
      </c>
      <c r="O51" s="888" t="s">
        <v>17</v>
      </c>
      <c r="P51" s="888" t="s">
        <v>25</v>
      </c>
      <c r="Q51" s="1015" t="s">
        <v>26</v>
      </c>
      <c r="S51" s="87"/>
      <c r="T51" s="87"/>
    </row>
    <row r="52" spans="1:20" ht="55.5" customHeight="1">
      <c r="A52" s="1021"/>
      <c r="B52" s="964"/>
      <c r="C52" s="889"/>
      <c r="D52" s="889"/>
      <c r="E52" s="889"/>
      <c r="F52" s="154" t="s">
        <v>18</v>
      </c>
      <c r="G52" s="155" t="s">
        <v>19</v>
      </c>
      <c r="H52" s="155" t="s">
        <v>32</v>
      </c>
      <c r="I52" s="154" t="s">
        <v>21</v>
      </c>
      <c r="J52" s="889"/>
      <c r="K52" s="889"/>
      <c r="L52" s="889"/>
      <c r="M52" s="889"/>
      <c r="N52" s="889"/>
      <c r="O52" s="889"/>
      <c r="P52" s="889"/>
      <c r="Q52" s="1016"/>
      <c r="S52" s="87"/>
      <c r="T52" s="87"/>
    </row>
    <row r="53" spans="1:20" ht="13.5" customHeight="1" thickBot="1">
      <c r="A53" s="212"/>
      <c r="B53" s="213"/>
      <c r="C53" s="214"/>
      <c r="D53" s="59" t="s">
        <v>7</v>
      </c>
      <c r="E53" s="209" t="s">
        <v>8</v>
      </c>
      <c r="F53" s="209" t="s">
        <v>9</v>
      </c>
      <c r="G53" s="209" t="s">
        <v>9</v>
      </c>
      <c r="H53" s="209" t="s">
        <v>9</v>
      </c>
      <c r="I53" s="209" t="s">
        <v>9</v>
      </c>
      <c r="J53" s="209" t="s">
        <v>22</v>
      </c>
      <c r="K53" s="209" t="s">
        <v>9</v>
      </c>
      <c r="L53" s="209" t="s">
        <v>22</v>
      </c>
      <c r="M53" s="209" t="s">
        <v>128</v>
      </c>
      <c r="N53" s="210" t="s">
        <v>10</v>
      </c>
      <c r="O53" s="209" t="s">
        <v>129</v>
      </c>
      <c r="P53" s="210" t="s">
        <v>27</v>
      </c>
      <c r="Q53" s="211" t="s">
        <v>28</v>
      </c>
      <c r="S53" s="87"/>
      <c r="T53" s="87"/>
    </row>
    <row r="54" spans="1:20" ht="12.75">
      <c r="A54" s="925" t="s">
        <v>51</v>
      </c>
      <c r="B54" s="31">
        <v>1</v>
      </c>
      <c r="C54" s="29" t="s">
        <v>280</v>
      </c>
      <c r="D54" s="30">
        <v>64</v>
      </c>
      <c r="E54" s="30" t="s">
        <v>71</v>
      </c>
      <c r="F54" s="412">
        <v>34.22</v>
      </c>
      <c r="G54" s="412">
        <v>7.9</v>
      </c>
      <c r="H54" s="834">
        <v>10.19</v>
      </c>
      <c r="I54" s="412">
        <v>16.13</v>
      </c>
      <c r="J54" s="430">
        <v>2419.35</v>
      </c>
      <c r="K54" s="412">
        <f aca="true" t="shared" si="4" ref="K54:K93">I54/J54*L54</f>
        <v>15.920987041974083</v>
      </c>
      <c r="L54" s="30">
        <v>2388</v>
      </c>
      <c r="M54" s="436">
        <f aca="true" t="shared" si="5" ref="M54:M93">K54/L54</f>
        <v>0.006667080000826668</v>
      </c>
      <c r="N54" s="260">
        <v>325.58</v>
      </c>
      <c r="O54" s="654">
        <f aca="true" t="shared" si="6" ref="O54:O93">M54*N54</f>
        <v>2.1706679066691468</v>
      </c>
      <c r="P54" s="260">
        <f aca="true" t="shared" si="7" ref="P54:P93">M54*60*1000</f>
        <v>400.0248000496001</v>
      </c>
      <c r="Q54" s="253">
        <f aca="true" t="shared" si="8" ref="Q54:Q93">P54*N54/1000</f>
        <v>130.2400744001488</v>
      </c>
      <c r="S54" s="87"/>
      <c r="T54" s="87"/>
    </row>
    <row r="55" spans="1:20" ht="12.75">
      <c r="A55" s="925"/>
      <c r="B55" s="31">
        <v>2</v>
      </c>
      <c r="C55" s="16" t="s">
        <v>101</v>
      </c>
      <c r="D55" s="31">
        <v>86</v>
      </c>
      <c r="E55" s="31">
        <v>2006</v>
      </c>
      <c r="F55" s="254">
        <v>57.51</v>
      </c>
      <c r="G55" s="254">
        <v>12.55</v>
      </c>
      <c r="H55" s="835">
        <v>4.13</v>
      </c>
      <c r="I55" s="254">
        <f>F55-G55-H55</f>
        <v>40.82999999999999</v>
      </c>
      <c r="J55" s="176">
        <v>5060</v>
      </c>
      <c r="K55" s="254">
        <f t="shared" si="4"/>
        <v>40.82999999999999</v>
      </c>
      <c r="L55" s="31">
        <v>5060</v>
      </c>
      <c r="M55" s="133">
        <f t="shared" si="5"/>
        <v>0.008069169960474307</v>
      </c>
      <c r="N55" s="132">
        <v>325.58</v>
      </c>
      <c r="O55" s="252">
        <f t="shared" si="6"/>
        <v>2.627160355731225</v>
      </c>
      <c r="P55" s="132">
        <f t="shared" si="7"/>
        <v>484.1501976284584</v>
      </c>
      <c r="Q55" s="134">
        <f t="shared" si="8"/>
        <v>157.62962134387348</v>
      </c>
      <c r="S55" s="87"/>
      <c r="T55" s="87"/>
    </row>
    <row r="56" spans="1:20" ht="12.75">
      <c r="A56" s="925"/>
      <c r="B56" s="31">
        <v>3</v>
      </c>
      <c r="C56" s="16" t="s">
        <v>103</v>
      </c>
      <c r="D56" s="31">
        <v>60</v>
      </c>
      <c r="E56" s="31">
        <v>2005</v>
      </c>
      <c r="F56" s="254">
        <v>65.04</v>
      </c>
      <c r="G56" s="254">
        <v>11.23</v>
      </c>
      <c r="H56" s="835">
        <v>4.96</v>
      </c>
      <c r="I56" s="254">
        <f>F56-G56-H56</f>
        <v>48.85</v>
      </c>
      <c r="J56" s="176">
        <v>4933</v>
      </c>
      <c r="K56" s="254">
        <f t="shared" si="4"/>
        <v>47.404206365294954</v>
      </c>
      <c r="L56" s="31">
        <v>4787</v>
      </c>
      <c r="M56" s="133">
        <f t="shared" si="5"/>
        <v>0.009902696128116764</v>
      </c>
      <c r="N56" s="132">
        <v>325.58</v>
      </c>
      <c r="O56" s="252">
        <f t="shared" si="6"/>
        <v>3.224119805392256</v>
      </c>
      <c r="P56" s="132">
        <f t="shared" si="7"/>
        <v>594.1617676870059</v>
      </c>
      <c r="Q56" s="134">
        <f t="shared" si="8"/>
        <v>193.44718832353536</v>
      </c>
      <c r="S56" s="87"/>
      <c r="T56" s="87"/>
    </row>
    <row r="57" spans="1:20" ht="12.75">
      <c r="A57" s="925"/>
      <c r="B57" s="31">
        <v>4</v>
      </c>
      <c r="C57" s="16" t="s">
        <v>134</v>
      </c>
      <c r="D57" s="31">
        <v>60</v>
      </c>
      <c r="E57" s="31">
        <v>1968</v>
      </c>
      <c r="F57" s="254">
        <v>42.31</v>
      </c>
      <c r="G57" s="254">
        <v>7.68</v>
      </c>
      <c r="H57" s="835">
        <v>4.67</v>
      </c>
      <c r="I57" s="254">
        <v>29.96</v>
      </c>
      <c r="J57" s="176">
        <v>2715.4</v>
      </c>
      <c r="K57" s="254">
        <f t="shared" si="4"/>
        <v>29.955586653899978</v>
      </c>
      <c r="L57" s="31">
        <v>2715</v>
      </c>
      <c r="M57" s="133">
        <f t="shared" si="5"/>
        <v>0.01103336525005524</v>
      </c>
      <c r="N57" s="132">
        <v>325.58</v>
      </c>
      <c r="O57" s="252">
        <f t="shared" si="6"/>
        <v>3.592243058112985</v>
      </c>
      <c r="P57" s="132">
        <f t="shared" si="7"/>
        <v>662.0019150033144</v>
      </c>
      <c r="Q57" s="134">
        <f t="shared" si="8"/>
        <v>215.53458348677907</v>
      </c>
      <c r="S57" s="87"/>
      <c r="T57" s="87"/>
    </row>
    <row r="58" spans="1:20" ht="12.75">
      <c r="A58" s="925"/>
      <c r="B58" s="31">
        <v>5</v>
      </c>
      <c r="C58" s="16" t="s">
        <v>106</v>
      </c>
      <c r="D58" s="31">
        <v>39</v>
      </c>
      <c r="E58" s="31">
        <v>2007</v>
      </c>
      <c r="F58" s="254">
        <v>37.62</v>
      </c>
      <c r="G58" s="254">
        <v>6.89</v>
      </c>
      <c r="H58" s="835">
        <v>4.47</v>
      </c>
      <c r="I58" s="254">
        <f>F58-G58-H58</f>
        <v>26.259999999999998</v>
      </c>
      <c r="J58" s="176">
        <v>2368.8</v>
      </c>
      <c r="K58" s="254">
        <f t="shared" si="4"/>
        <v>26.26221715636609</v>
      </c>
      <c r="L58" s="836">
        <v>2369</v>
      </c>
      <c r="M58" s="133">
        <f t="shared" si="5"/>
        <v>0.01108578183046268</v>
      </c>
      <c r="N58" s="132">
        <v>325.58</v>
      </c>
      <c r="O58" s="252">
        <f t="shared" si="6"/>
        <v>3.6093088483620392</v>
      </c>
      <c r="P58" s="132">
        <f t="shared" si="7"/>
        <v>665.1469098277609</v>
      </c>
      <c r="Q58" s="134">
        <f t="shared" si="8"/>
        <v>216.55853090172238</v>
      </c>
      <c r="S58" s="87"/>
      <c r="T58" s="87"/>
    </row>
    <row r="59" spans="1:20" s="96" customFormat="1" ht="12.75" customHeight="1">
      <c r="A59" s="925"/>
      <c r="B59" s="95">
        <v>6</v>
      </c>
      <c r="C59" s="16" t="s">
        <v>102</v>
      </c>
      <c r="D59" s="31">
        <v>51</v>
      </c>
      <c r="E59" s="31">
        <v>2005</v>
      </c>
      <c r="F59" s="254">
        <v>44.81</v>
      </c>
      <c r="G59" s="254">
        <v>6.68</v>
      </c>
      <c r="H59" s="835">
        <v>3.88</v>
      </c>
      <c r="I59" s="254">
        <f>F59-G59-H59</f>
        <v>34.25</v>
      </c>
      <c r="J59" s="176">
        <v>3073.9</v>
      </c>
      <c r="K59" s="254">
        <f t="shared" si="4"/>
        <v>33.44887602069033</v>
      </c>
      <c r="L59" s="31">
        <v>3002</v>
      </c>
      <c r="M59" s="133">
        <f t="shared" si="5"/>
        <v>0.011142197208757604</v>
      </c>
      <c r="N59" s="132">
        <v>325.58</v>
      </c>
      <c r="O59" s="252">
        <f t="shared" si="6"/>
        <v>3.627676567227301</v>
      </c>
      <c r="P59" s="132">
        <f t="shared" si="7"/>
        <v>668.5318325254563</v>
      </c>
      <c r="Q59" s="134">
        <f t="shared" si="8"/>
        <v>217.66059403363803</v>
      </c>
      <c r="S59" s="87"/>
      <c r="T59" s="87"/>
    </row>
    <row r="60" spans="1:20" ht="12.75">
      <c r="A60" s="925"/>
      <c r="B60" s="31">
        <v>7</v>
      </c>
      <c r="C60" s="16" t="s">
        <v>138</v>
      </c>
      <c r="D60" s="31">
        <v>60</v>
      </c>
      <c r="E60" s="31">
        <v>1965</v>
      </c>
      <c r="F60" s="254">
        <v>46.87</v>
      </c>
      <c r="G60" s="254">
        <v>7.09</v>
      </c>
      <c r="H60" s="835">
        <v>9.52</v>
      </c>
      <c r="I60" s="254">
        <f>F60-G60-H60</f>
        <v>30.26</v>
      </c>
      <c r="J60" s="176">
        <v>2708.9</v>
      </c>
      <c r="K60" s="254">
        <f t="shared" si="4"/>
        <v>30.260000000000005</v>
      </c>
      <c r="L60" s="176">
        <v>2708.9</v>
      </c>
      <c r="M60" s="133">
        <f t="shared" si="5"/>
        <v>0.011170585846653624</v>
      </c>
      <c r="N60" s="132">
        <v>325.58</v>
      </c>
      <c r="O60" s="252">
        <f t="shared" si="6"/>
        <v>3.636919339953487</v>
      </c>
      <c r="P60" s="132">
        <f t="shared" si="7"/>
        <v>670.2351507992174</v>
      </c>
      <c r="Q60" s="134">
        <f t="shared" si="8"/>
        <v>218.2151603972092</v>
      </c>
      <c r="S60" s="87"/>
      <c r="T60" s="87"/>
    </row>
    <row r="61" spans="1:20" ht="12.75">
      <c r="A61" s="925"/>
      <c r="B61" s="31">
        <v>8</v>
      </c>
      <c r="C61" s="16" t="s">
        <v>105</v>
      </c>
      <c r="D61" s="31">
        <v>118</v>
      </c>
      <c r="E61" s="31">
        <v>2007</v>
      </c>
      <c r="F61" s="254">
        <v>126.11</v>
      </c>
      <c r="G61" s="254">
        <v>20.91</v>
      </c>
      <c r="H61" s="835">
        <v>16.32</v>
      </c>
      <c r="I61" s="254">
        <f>F61-G61-H61</f>
        <v>88.88</v>
      </c>
      <c r="J61" s="176">
        <v>7738</v>
      </c>
      <c r="K61" s="254">
        <f t="shared" si="4"/>
        <v>80.20794003618506</v>
      </c>
      <c r="L61" s="31">
        <v>6983</v>
      </c>
      <c r="M61" s="133">
        <f t="shared" si="5"/>
        <v>0.011486172137503232</v>
      </c>
      <c r="N61" s="132">
        <v>325.58</v>
      </c>
      <c r="O61" s="252">
        <f t="shared" si="6"/>
        <v>3.739667924528302</v>
      </c>
      <c r="P61" s="132">
        <f t="shared" si="7"/>
        <v>689.170328250194</v>
      </c>
      <c r="Q61" s="134">
        <f t="shared" si="8"/>
        <v>224.38007547169812</v>
      </c>
      <c r="S61" s="87"/>
      <c r="T61" s="87"/>
    </row>
    <row r="62" spans="1:20" ht="12.75">
      <c r="A62" s="925"/>
      <c r="B62" s="91">
        <v>9</v>
      </c>
      <c r="C62" s="16" t="s">
        <v>104</v>
      </c>
      <c r="D62" s="31">
        <v>38</v>
      </c>
      <c r="E62" s="31">
        <v>2004</v>
      </c>
      <c r="F62" s="254">
        <v>34.36</v>
      </c>
      <c r="G62" s="254">
        <v>5.86</v>
      </c>
      <c r="H62" s="835">
        <v>0.78</v>
      </c>
      <c r="I62" s="254">
        <f>F62-G62-H62</f>
        <v>27.72</v>
      </c>
      <c r="J62" s="176">
        <v>2372</v>
      </c>
      <c r="K62" s="254">
        <f t="shared" si="4"/>
        <v>27.72</v>
      </c>
      <c r="L62" s="31">
        <v>2372</v>
      </c>
      <c r="M62" s="133">
        <f t="shared" si="5"/>
        <v>0.011686340640809444</v>
      </c>
      <c r="N62" s="132">
        <v>325.58</v>
      </c>
      <c r="O62" s="252">
        <f t="shared" si="6"/>
        <v>3.8048387858347383</v>
      </c>
      <c r="P62" s="132">
        <f t="shared" si="7"/>
        <v>701.1804384485666</v>
      </c>
      <c r="Q62" s="134">
        <f t="shared" si="8"/>
        <v>228.29032715008432</v>
      </c>
      <c r="S62" s="87"/>
      <c r="T62" s="87"/>
    </row>
    <row r="63" spans="1:20" ht="12.75" customHeight="1" thickBot="1">
      <c r="A63" s="926"/>
      <c r="B63" s="64">
        <v>10</v>
      </c>
      <c r="C63" s="65" t="s">
        <v>132</v>
      </c>
      <c r="D63" s="64">
        <v>100</v>
      </c>
      <c r="E63" s="64">
        <v>1972</v>
      </c>
      <c r="F63" s="216">
        <v>79.1</v>
      </c>
      <c r="G63" s="216">
        <v>11.71</v>
      </c>
      <c r="H63" s="837">
        <v>14.02</v>
      </c>
      <c r="I63" s="216">
        <v>53.37</v>
      </c>
      <c r="J63" s="334">
        <v>4426.6</v>
      </c>
      <c r="K63" s="216">
        <f t="shared" si="4"/>
        <v>53.37482266299191</v>
      </c>
      <c r="L63" s="64">
        <v>4427</v>
      </c>
      <c r="M63" s="136">
        <f t="shared" si="5"/>
        <v>0.01205665747978132</v>
      </c>
      <c r="N63" s="135">
        <v>325.58</v>
      </c>
      <c r="O63" s="655">
        <f t="shared" si="6"/>
        <v>3.9254065422672024</v>
      </c>
      <c r="P63" s="135">
        <f t="shared" si="7"/>
        <v>723.3994487868792</v>
      </c>
      <c r="Q63" s="137">
        <f t="shared" si="8"/>
        <v>235.52439253603214</v>
      </c>
      <c r="S63" s="87"/>
      <c r="T63" s="87"/>
    </row>
    <row r="64" spans="1:20" ht="14.25" customHeight="1">
      <c r="A64" s="1001" t="s">
        <v>278</v>
      </c>
      <c r="B64" s="67">
        <v>1</v>
      </c>
      <c r="C64" s="88" t="s">
        <v>131</v>
      </c>
      <c r="D64" s="67">
        <v>72</v>
      </c>
      <c r="E64" s="67">
        <v>2005</v>
      </c>
      <c r="F64" s="267">
        <v>86.92</v>
      </c>
      <c r="G64" s="267">
        <v>15.96</v>
      </c>
      <c r="H64" s="838">
        <v>3.03</v>
      </c>
      <c r="I64" s="267">
        <v>67.93</v>
      </c>
      <c r="J64" s="121">
        <v>5350</v>
      </c>
      <c r="K64" s="267">
        <f t="shared" si="4"/>
        <v>67.93</v>
      </c>
      <c r="L64" s="67">
        <v>5350</v>
      </c>
      <c r="M64" s="147">
        <f t="shared" si="5"/>
        <v>0.012697196261682244</v>
      </c>
      <c r="N64" s="148">
        <v>325.58</v>
      </c>
      <c r="O64" s="452">
        <f t="shared" si="6"/>
        <v>4.133953158878505</v>
      </c>
      <c r="P64" s="148">
        <f t="shared" si="7"/>
        <v>761.8317757009346</v>
      </c>
      <c r="Q64" s="170">
        <f t="shared" si="8"/>
        <v>248.03718953271027</v>
      </c>
      <c r="S64" s="87"/>
      <c r="T64" s="87"/>
    </row>
    <row r="65" spans="1:20" ht="12.75">
      <c r="A65" s="1011"/>
      <c r="B65" s="35">
        <v>2</v>
      </c>
      <c r="C65" s="34" t="s">
        <v>107</v>
      </c>
      <c r="D65" s="35">
        <v>18</v>
      </c>
      <c r="E65" s="35">
        <v>2006</v>
      </c>
      <c r="F65" s="263">
        <v>29.11</v>
      </c>
      <c r="G65" s="263">
        <v>2.03</v>
      </c>
      <c r="H65" s="839">
        <v>1.68</v>
      </c>
      <c r="I65" s="263">
        <f>F65-G65-H65</f>
        <v>25.4</v>
      </c>
      <c r="J65" s="118">
        <v>1988.3</v>
      </c>
      <c r="K65" s="263">
        <f t="shared" si="4"/>
        <v>19.340944525474022</v>
      </c>
      <c r="L65" s="35">
        <v>1514</v>
      </c>
      <c r="M65" s="139">
        <f t="shared" si="5"/>
        <v>0.012774732183272141</v>
      </c>
      <c r="N65" s="138">
        <v>325.58</v>
      </c>
      <c r="O65" s="452">
        <f t="shared" si="6"/>
        <v>4.159197304229743</v>
      </c>
      <c r="P65" s="138">
        <f t="shared" si="7"/>
        <v>766.4839309963285</v>
      </c>
      <c r="Q65" s="168">
        <f t="shared" si="8"/>
        <v>249.5518382537846</v>
      </c>
      <c r="S65" s="87"/>
      <c r="T65" s="87"/>
    </row>
    <row r="66" spans="1:20" ht="12.75">
      <c r="A66" s="1011"/>
      <c r="B66" s="35">
        <v>3</v>
      </c>
      <c r="C66" s="34" t="s">
        <v>133</v>
      </c>
      <c r="D66" s="35">
        <v>61</v>
      </c>
      <c r="E66" s="35">
        <v>1973</v>
      </c>
      <c r="F66" s="263">
        <v>49.09</v>
      </c>
      <c r="G66" s="263">
        <v>7.39</v>
      </c>
      <c r="H66" s="839">
        <v>6.06</v>
      </c>
      <c r="I66" s="263">
        <v>35.61</v>
      </c>
      <c r="J66" s="118">
        <v>2678.3</v>
      </c>
      <c r="K66" s="263">
        <f t="shared" si="4"/>
        <v>35.60601127580928</v>
      </c>
      <c r="L66" s="35">
        <v>2678</v>
      </c>
      <c r="M66" s="139">
        <f t="shared" si="5"/>
        <v>0.013295747302393308</v>
      </c>
      <c r="N66" s="138">
        <v>325.58</v>
      </c>
      <c r="O66" s="452">
        <f t="shared" si="6"/>
        <v>4.328829406713213</v>
      </c>
      <c r="P66" s="138">
        <f t="shared" si="7"/>
        <v>797.7448381435985</v>
      </c>
      <c r="Q66" s="168">
        <f t="shared" si="8"/>
        <v>259.7297644027928</v>
      </c>
      <c r="S66" s="87"/>
      <c r="T66" s="87"/>
    </row>
    <row r="67" spans="1:20" ht="12.75">
      <c r="A67" s="1011"/>
      <c r="B67" s="35">
        <v>4</v>
      </c>
      <c r="C67" s="34" t="s">
        <v>109</v>
      </c>
      <c r="D67" s="35">
        <v>22</v>
      </c>
      <c r="E67" s="35">
        <v>2006</v>
      </c>
      <c r="F67" s="263">
        <v>28.86</v>
      </c>
      <c r="G67" s="263">
        <v>3.97</v>
      </c>
      <c r="H67" s="839">
        <v>2.15</v>
      </c>
      <c r="I67" s="263">
        <f>F67-G67-H67</f>
        <v>22.740000000000002</v>
      </c>
      <c r="J67" s="118">
        <v>1698.2</v>
      </c>
      <c r="K67" s="263">
        <f t="shared" si="4"/>
        <v>22.737321870215524</v>
      </c>
      <c r="L67" s="35">
        <v>1698</v>
      </c>
      <c r="M67" s="139">
        <f t="shared" si="5"/>
        <v>0.013390648922388412</v>
      </c>
      <c r="N67" s="138">
        <v>325.58</v>
      </c>
      <c r="O67" s="452">
        <f t="shared" si="6"/>
        <v>4.359727476151219</v>
      </c>
      <c r="P67" s="138">
        <f t="shared" si="7"/>
        <v>803.4389353433047</v>
      </c>
      <c r="Q67" s="168">
        <f t="shared" si="8"/>
        <v>261.58364856907315</v>
      </c>
      <c r="S67" s="87"/>
      <c r="T67" s="87"/>
    </row>
    <row r="68" spans="1:20" ht="12.75">
      <c r="A68" s="1011"/>
      <c r="B68" s="35">
        <v>5</v>
      </c>
      <c r="C68" s="34" t="s">
        <v>136</v>
      </c>
      <c r="D68" s="35">
        <v>61</v>
      </c>
      <c r="E68" s="35">
        <v>1975</v>
      </c>
      <c r="F68" s="263">
        <v>68.9</v>
      </c>
      <c r="G68" s="263">
        <v>8.28</v>
      </c>
      <c r="H68" s="839">
        <v>9.6</v>
      </c>
      <c r="I68" s="263">
        <f>F68-G68-H68</f>
        <v>51.02</v>
      </c>
      <c r="J68" s="118">
        <v>3635</v>
      </c>
      <c r="K68" s="263">
        <f t="shared" si="4"/>
        <v>51.02</v>
      </c>
      <c r="L68" s="35">
        <v>3635</v>
      </c>
      <c r="M68" s="139">
        <f t="shared" si="5"/>
        <v>0.014035763411279231</v>
      </c>
      <c r="N68" s="138">
        <v>325.58</v>
      </c>
      <c r="O68" s="452">
        <f t="shared" si="6"/>
        <v>4.569763851444292</v>
      </c>
      <c r="P68" s="138">
        <f t="shared" si="7"/>
        <v>842.1458046767539</v>
      </c>
      <c r="Q68" s="168">
        <f t="shared" si="8"/>
        <v>274.1858310866575</v>
      </c>
      <c r="S68" s="87"/>
      <c r="T68" s="87"/>
    </row>
    <row r="69" spans="1:20" ht="12.75">
      <c r="A69" s="1011"/>
      <c r="B69" s="35">
        <v>6</v>
      </c>
      <c r="C69" s="34" t="s">
        <v>137</v>
      </c>
      <c r="D69" s="35">
        <v>54</v>
      </c>
      <c r="E69" s="35">
        <v>1980</v>
      </c>
      <c r="F69" s="263">
        <v>72.37</v>
      </c>
      <c r="G69" s="263">
        <v>6.74</v>
      </c>
      <c r="H69" s="839">
        <v>14.56</v>
      </c>
      <c r="I69" s="263">
        <v>51.07</v>
      </c>
      <c r="J69" s="118">
        <v>3508.9</v>
      </c>
      <c r="K69" s="263">
        <f t="shared" si="4"/>
        <v>51.07</v>
      </c>
      <c r="L69" s="118">
        <v>3508.9</v>
      </c>
      <c r="M69" s="139">
        <f t="shared" si="5"/>
        <v>0.014554418763715124</v>
      </c>
      <c r="N69" s="138">
        <v>325.58</v>
      </c>
      <c r="O69" s="452">
        <f t="shared" si="6"/>
        <v>4.73862766109037</v>
      </c>
      <c r="P69" s="138">
        <f t="shared" si="7"/>
        <v>873.2651258229074</v>
      </c>
      <c r="Q69" s="168">
        <f t="shared" si="8"/>
        <v>284.3176596654222</v>
      </c>
      <c r="S69" s="87"/>
      <c r="T69" s="87"/>
    </row>
    <row r="70" spans="1:20" ht="12.75">
      <c r="A70" s="1011"/>
      <c r="B70" s="35">
        <v>7</v>
      </c>
      <c r="C70" s="34" t="s">
        <v>135</v>
      </c>
      <c r="D70" s="35">
        <v>72</v>
      </c>
      <c r="E70" s="35">
        <v>1973</v>
      </c>
      <c r="F70" s="263">
        <v>74.71</v>
      </c>
      <c r="G70" s="263">
        <v>7.49</v>
      </c>
      <c r="H70" s="839">
        <v>11.52</v>
      </c>
      <c r="I70" s="263">
        <f>F70-G70-H70</f>
        <v>55.7</v>
      </c>
      <c r="J70" s="118">
        <v>3785.4</v>
      </c>
      <c r="K70" s="263">
        <f t="shared" si="4"/>
        <v>55.7</v>
      </c>
      <c r="L70" s="118">
        <v>3785.4</v>
      </c>
      <c r="M70" s="139">
        <f t="shared" si="5"/>
        <v>0.01471442912241771</v>
      </c>
      <c r="N70" s="138">
        <v>325.58</v>
      </c>
      <c r="O70" s="452">
        <f t="shared" si="6"/>
        <v>4.790723833676758</v>
      </c>
      <c r="P70" s="138">
        <f t="shared" si="7"/>
        <v>882.8657473450626</v>
      </c>
      <c r="Q70" s="168">
        <f t="shared" si="8"/>
        <v>287.44343002060543</v>
      </c>
      <c r="S70" s="87"/>
      <c r="T70" s="87"/>
    </row>
    <row r="71" spans="1:20" ht="12.75">
      <c r="A71" s="1011"/>
      <c r="B71" s="35">
        <v>8</v>
      </c>
      <c r="C71" s="34" t="s">
        <v>139</v>
      </c>
      <c r="D71" s="35">
        <v>54</v>
      </c>
      <c r="E71" s="35">
        <v>1985</v>
      </c>
      <c r="F71" s="263">
        <v>74.03</v>
      </c>
      <c r="G71" s="263">
        <v>8.42</v>
      </c>
      <c r="H71" s="839">
        <v>8.48</v>
      </c>
      <c r="I71" s="263">
        <f>F71-G71-H71</f>
        <v>57.129999999999995</v>
      </c>
      <c r="J71" s="118">
        <v>3480</v>
      </c>
      <c r="K71" s="263">
        <f t="shared" si="4"/>
        <v>57.129999999999995</v>
      </c>
      <c r="L71" s="35">
        <v>3480</v>
      </c>
      <c r="M71" s="139">
        <f t="shared" si="5"/>
        <v>0.016416666666666666</v>
      </c>
      <c r="N71" s="138">
        <v>325.58</v>
      </c>
      <c r="O71" s="452">
        <f t="shared" si="6"/>
        <v>5.344938333333333</v>
      </c>
      <c r="P71" s="138">
        <f t="shared" si="7"/>
        <v>985</v>
      </c>
      <c r="Q71" s="168">
        <f t="shared" si="8"/>
        <v>320.6963</v>
      </c>
      <c r="S71" s="87"/>
      <c r="T71" s="87"/>
    </row>
    <row r="72" spans="1:20" ht="12.75">
      <c r="A72" s="1011"/>
      <c r="B72" s="67">
        <v>9</v>
      </c>
      <c r="C72" s="34" t="s">
        <v>108</v>
      </c>
      <c r="D72" s="35">
        <v>50</v>
      </c>
      <c r="E72" s="35">
        <v>1988</v>
      </c>
      <c r="F72" s="263">
        <v>84.21</v>
      </c>
      <c r="G72" s="263">
        <v>9.39</v>
      </c>
      <c r="H72" s="839">
        <v>8</v>
      </c>
      <c r="I72" s="263">
        <f>F72-G72-H72</f>
        <v>66.82</v>
      </c>
      <c r="J72" s="118">
        <v>3582.3</v>
      </c>
      <c r="K72" s="263">
        <f t="shared" si="4"/>
        <v>66.82</v>
      </c>
      <c r="L72" s="118">
        <v>3582.3</v>
      </c>
      <c r="M72" s="139">
        <f t="shared" si="5"/>
        <v>0.018652820813443875</v>
      </c>
      <c r="N72" s="138">
        <v>325.58</v>
      </c>
      <c r="O72" s="452">
        <f t="shared" si="6"/>
        <v>6.072985400441056</v>
      </c>
      <c r="P72" s="138">
        <f t="shared" si="7"/>
        <v>1119.1692488066326</v>
      </c>
      <c r="Q72" s="168">
        <f t="shared" si="8"/>
        <v>364.37912402646344</v>
      </c>
      <c r="S72" s="87"/>
      <c r="T72" s="87"/>
    </row>
    <row r="73" spans="1:20" ht="13.5" thickBot="1">
      <c r="A73" s="1012"/>
      <c r="B73" s="38">
        <v>10</v>
      </c>
      <c r="C73" s="840" t="s">
        <v>140</v>
      </c>
      <c r="D73" s="68">
        <v>41</v>
      </c>
      <c r="E73" s="68">
        <v>1987</v>
      </c>
      <c r="F73" s="841">
        <v>64.38</v>
      </c>
      <c r="G73" s="841">
        <v>4.25</v>
      </c>
      <c r="H73" s="842">
        <v>6.1</v>
      </c>
      <c r="I73" s="841">
        <f>F73-G73-H73</f>
        <v>54.029999999999994</v>
      </c>
      <c r="J73" s="433">
        <v>2315.8</v>
      </c>
      <c r="K73" s="442">
        <f t="shared" si="4"/>
        <v>38.51953104758614</v>
      </c>
      <c r="L73" s="68">
        <v>1651</v>
      </c>
      <c r="M73" s="843">
        <f t="shared" si="5"/>
        <v>0.02333103031349857</v>
      </c>
      <c r="N73" s="442">
        <v>325.58</v>
      </c>
      <c r="O73" s="556">
        <f t="shared" si="6"/>
        <v>7.5961168494688645</v>
      </c>
      <c r="P73" s="442">
        <f t="shared" si="7"/>
        <v>1399.8618188099142</v>
      </c>
      <c r="Q73" s="443">
        <f t="shared" si="8"/>
        <v>455.76701096813184</v>
      </c>
      <c r="S73" s="87"/>
      <c r="T73" s="87"/>
    </row>
    <row r="74" spans="1:20" ht="12.75">
      <c r="A74" s="1013" t="s">
        <v>47</v>
      </c>
      <c r="B74" s="319">
        <v>1</v>
      </c>
      <c r="C74" s="270" t="s">
        <v>111</v>
      </c>
      <c r="D74" s="231">
        <v>59</v>
      </c>
      <c r="E74" s="231">
        <v>1981</v>
      </c>
      <c r="F74" s="423">
        <v>98.6</v>
      </c>
      <c r="G74" s="423">
        <v>8.81</v>
      </c>
      <c r="H74" s="844">
        <v>9.6</v>
      </c>
      <c r="I74" s="423">
        <f>F74-G74-H74</f>
        <v>80.19</v>
      </c>
      <c r="J74" s="434">
        <v>3418.8</v>
      </c>
      <c r="K74" s="424">
        <f t="shared" si="4"/>
        <v>78.7169884169884</v>
      </c>
      <c r="L74" s="231">
        <v>3356</v>
      </c>
      <c r="M74" s="444">
        <f t="shared" si="5"/>
        <v>0.02345559845559845</v>
      </c>
      <c r="N74" s="424">
        <v>325.58</v>
      </c>
      <c r="O74" s="712">
        <f t="shared" si="6"/>
        <v>7.636673745173742</v>
      </c>
      <c r="P74" s="424">
        <f t="shared" si="7"/>
        <v>1407.3359073359068</v>
      </c>
      <c r="Q74" s="445">
        <f t="shared" si="8"/>
        <v>458.2004247104245</v>
      </c>
      <c r="S74" s="87"/>
      <c r="T74" s="87"/>
    </row>
    <row r="75" spans="1:20" ht="12.75" customHeight="1">
      <c r="A75" s="1013"/>
      <c r="B75" s="283">
        <v>2</v>
      </c>
      <c r="C75" s="272" t="s">
        <v>141</v>
      </c>
      <c r="D75" s="232">
        <v>47</v>
      </c>
      <c r="E75" s="232">
        <v>1981</v>
      </c>
      <c r="F75" s="288">
        <v>92.05</v>
      </c>
      <c r="G75" s="288">
        <v>7.49</v>
      </c>
      <c r="H75" s="845">
        <v>11.36</v>
      </c>
      <c r="I75" s="288">
        <v>73.203</v>
      </c>
      <c r="J75" s="279">
        <v>2980.6</v>
      </c>
      <c r="K75" s="289">
        <f t="shared" si="4"/>
        <v>70.09372676642288</v>
      </c>
      <c r="L75" s="232">
        <v>2854</v>
      </c>
      <c r="M75" s="290">
        <f t="shared" si="5"/>
        <v>0.024559820170435485</v>
      </c>
      <c r="N75" s="289">
        <v>325.58</v>
      </c>
      <c r="O75" s="605">
        <f t="shared" si="6"/>
        <v>7.996186251090385</v>
      </c>
      <c r="P75" s="289">
        <f t="shared" si="7"/>
        <v>1473.589210226129</v>
      </c>
      <c r="Q75" s="291">
        <f t="shared" si="8"/>
        <v>479.771175065423</v>
      </c>
      <c r="S75" s="87"/>
      <c r="T75" s="87"/>
    </row>
    <row r="76" spans="1:20" ht="12.75" customHeight="1">
      <c r="A76" s="1013"/>
      <c r="B76" s="283">
        <v>3</v>
      </c>
      <c r="C76" s="272" t="s">
        <v>110</v>
      </c>
      <c r="D76" s="232">
        <v>57</v>
      </c>
      <c r="E76" s="232">
        <v>1982</v>
      </c>
      <c r="F76" s="288">
        <v>110.25</v>
      </c>
      <c r="G76" s="288">
        <v>6.95</v>
      </c>
      <c r="H76" s="845">
        <v>8.64</v>
      </c>
      <c r="I76" s="288">
        <f aca="true" t="shared" si="9" ref="I76:I82">F76-G76-H76</f>
        <v>94.66</v>
      </c>
      <c r="J76" s="279">
        <v>3486.1</v>
      </c>
      <c r="K76" s="288">
        <f t="shared" si="4"/>
        <v>93.46252832678351</v>
      </c>
      <c r="L76" s="279">
        <v>3442</v>
      </c>
      <c r="M76" s="290">
        <f t="shared" si="5"/>
        <v>0.027153552680645995</v>
      </c>
      <c r="N76" s="289">
        <v>325.58</v>
      </c>
      <c r="O76" s="605">
        <f t="shared" si="6"/>
        <v>8.840653681764723</v>
      </c>
      <c r="P76" s="289">
        <f t="shared" si="7"/>
        <v>1629.2131608387597</v>
      </c>
      <c r="Q76" s="291">
        <f t="shared" si="8"/>
        <v>530.4392209058833</v>
      </c>
      <c r="S76" s="87"/>
      <c r="T76" s="87"/>
    </row>
    <row r="77" spans="1:20" ht="12.75" customHeight="1">
      <c r="A77" s="1013"/>
      <c r="B77" s="283">
        <v>4</v>
      </c>
      <c r="C77" s="272" t="s">
        <v>115</v>
      </c>
      <c r="D77" s="232">
        <v>118</v>
      </c>
      <c r="E77" s="232">
        <v>1961</v>
      </c>
      <c r="F77" s="288">
        <v>82.53</v>
      </c>
      <c r="G77" s="288">
        <v>9.77</v>
      </c>
      <c r="H77" s="845"/>
      <c r="I77" s="288">
        <f t="shared" si="9"/>
        <v>72.76</v>
      </c>
      <c r="J77" s="279">
        <v>2622</v>
      </c>
      <c r="K77" s="289">
        <f t="shared" si="4"/>
        <v>69.59652173913044</v>
      </c>
      <c r="L77" s="232">
        <v>2508</v>
      </c>
      <c r="M77" s="290">
        <f t="shared" si="5"/>
        <v>0.02774980930587338</v>
      </c>
      <c r="N77" s="289">
        <v>325.58</v>
      </c>
      <c r="O77" s="605">
        <f t="shared" si="6"/>
        <v>9.034782913806254</v>
      </c>
      <c r="P77" s="289">
        <f t="shared" si="7"/>
        <v>1664.9885583524026</v>
      </c>
      <c r="Q77" s="291">
        <f t="shared" si="8"/>
        <v>542.0869748283752</v>
      </c>
      <c r="S77" s="87"/>
      <c r="T77" s="87"/>
    </row>
    <row r="78" spans="1:20" ht="12.75" customHeight="1">
      <c r="A78" s="1013"/>
      <c r="B78" s="283">
        <v>5</v>
      </c>
      <c r="C78" s="272" t="s">
        <v>112</v>
      </c>
      <c r="D78" s="232">
        <v>47</v>
      </c>
      <c r="E78" s="232">
        <v>1979</v>
      </c>
      <c r="F78" s="288">
        <v>99.92</v>
      </c>
      <c r="G78" s="288">
        <v>7.34</v>
      </c>
      <c r="H78" s="845">
        <v>7.6</v>
      </c>
      <c r="I78" s="288">
        <f t="shared" si="9"/>
        <v>84.98</v>
      </c>
      <c r="J78" s="279">
        <v>2974.6</v>
      </c>
      <c r="K78" s="289">
        <f t="shared" si="4"/>
        <v>83.3630202380152</v>
      </c>
      <c r="L78" s="232">
        <v>2918</v>
      </c>
      <c r="M78" s="290">
        <f t="shared" si="5"/>
        <v>0.02856854703153365</v>
      </c>
      <c r="N78" s="289">
        <v>325.58</v>
      </c>
      <c r="O78" s="605">
        <f t="shared" si="6"/>
        <v>9.301347542526726</v>
      </c>
      <c r="P78" s="289">
        <f t="shared" si="7"/>
        <v>1714.112821892019</v>
      </c>
      <c r="Q78" s="291">
        <f t="shared" si="8"/>
        <v>558.0808525516035</v>
      </c>
      <c r="S78" s="87"/>
      <c r="T78" s="87"/>
    </row>
    <row r="79" spans="1:20" ht="12.75" customHeight="1">
      <c r="A79" s="1013"/>
      <c r="B79" s="283">
        <v>6</v>
      </c>
      <c r="C79" s="272" t="s">
        <v>113</v>
      </c>
      <c r="D79" s="232">
        <v>54</v>
      </c>
      <c r="E79" s="232">
        <v>1987</v>
      </c>
      <c r="F79" s="288">
        <v>76.76</v>
      </c>
      <c r="G79" s="288">
        <v>4.84</v>
      </c>
      <c r="H79" s="845">
        <v>8.4</v>
      </c>
      <c r="I79" s="288">
        <f t="shared" si="9"/>
        <v>63.52</v>
      </c>
      <c r="J79" s="279">
        <v>2177.6</v>
      </c>
      <c r="K79" s="289">
        <f t="shared" si="4"/>
        <v>63.52</v>
      </c>
      <c r="L79" s="279">
        <v>2177.6</v>
      </c>
      <c r="M79" s="290">
        <f t="shared" si="5"/>
        <v>0.029169728141072743</v>
      </c>
      <c r="N79" s="289">
        <v>325.58</v>
      </c>
      <c r="O79" s="605">
        <f t="shared" si="6"/>
        <v>9.497080088170463</v>
      </c>
      <c r="P79" s="289">
        <f t="shared" si="7"/>
        <v>1750.1836884643644</v>
      </c>
      <c r="Q79" s="291">
        <f t="shared" si="8"/>
        <v>569.8248052902278</v>
      </c>
      <c r="S79" s="87"/>
      <c r="T79" s="87"/>
    </row>
    <row r="80" spans="1:20" s="96" customFormat="1" ht="12.75" customHeight="1">
      <c r="A80" s="1013"/>
      <c r="B80" s="318">
        <v>7</v>
      </c>
      <c r="C80" s="272" t="s">
        <v>116</v>
      </c>
      <c r="D80" s="232">
        <v>38</v>
      </c>
      <c r="E80" s="232">
        <v>1990</v>
      </c>
      <c r="F80" s="288">
        <v>73.31</v>
      </c>
      <c r="G80" s="288">
        <v>4.68</v>
      </c>
      <c r="H80" s="845">
        <v>5.84</v>
      </c>
      <c r="I80" s="288">
        <f t="shared" si="9"/>
        <v>62.78999999999999</v>
      </c>
      <c r="J80" s="279">
        <v>2119.3</v>
      </c>
      <c r="K80" s="289">
        <f t="shared" si="4"/>
        <v>62.78999999999999</v>
      </c>
      <c r="L80" s="279">
        <v>2119.3</v>
      </c>
      <c r="M80" s="290">
        <f t="shared" si="5"/>
        <v>0.02962770726183173</v>
      </c>
      <c r="N80" s="289">
        <v>325.58</v>
      </c>
      <c r="O80" s="605">
        <f t="shared" si="6"/>
        <v>9.646188930307174</v>
      </c>
      <c r="P80" s="289">
        <f t="shared" si="7"/>
        <v>1777.6624357099038</v>
      </c>
      <c r="Q80" s="291">
        <f t="shared" si="8"/>
        <v>578.7713358184304</v>
      </c>
      <c r="S80" s="87"/>
      <c r="T80" s="87"/>
    </row>
    <row r="81" spans="1:20" ht="12.75" customHeight="1">
      <c r="A81" s="1013"/>
      <c r="B81" s="319">
        <v>8</v>
      </c>
      <c r="C81" s="272" t="s">
        <v>114</v>
      </c>
      <c r="D81" s="232">
        <v>107</v>
      </c>
      <c r="E81" s="232">
        <v>1974</v>
      </c>
      <c r="F81" s="288">
        <v>101.57</v>
      </c>
      <c r="G81" s="288">
        <v>8.65</v>
      </c>
      <c r="H81" s="845">
        <v>17.04</v>
      </c>
      <c r="I81" s="288">
        <f t="shared" si="9"/>
        <v>75.88</v>
      </c>
      <c r="J81" s="279">
        <v>2560</v>
      </c>
      <c r="K81" s="289">
        <f t="shared" si="4"/>
        <v>74.190484375</v>
      </c>
      <c r="L81" s="232">
        <v>2503</v>
      </c>
      <c r="M81" s="290">
        <f t="shared" si="5"/>
        <v>0.029640625</v>
      </c>
      <c r="N81" s="289">
        <v>325.58</v>
      </c>
      <c r="O81" s="605">
        <f t="shared" si="6"/>
        <v>9.6503946875</v>
      </c>
      <c r="P81" s="289">
        <f t="shared" si="7"/>
        <v>1778.4375000000002</v>
      </c>
      <c r="Q81" s="291">
        <f t="shared" si="8"/>
        <v>579.02368125</v>
      </c>
      <c r="S81" s="87"/>
      <c r="T81" s="87"/>
    </row>
    <row r="82" spans="1:20" s="96" customFormat="1" ht="12.75" customHeight="1">
      <c r="A82" s="1013"/>
      <c r="B82" s="318">
        <v>9</v>
      </c>
      <c r="C82" s="272" t="s">
        <v>117</v>
      </c>
      <c r="D82" s="232">
        <v>108</v>
      </c>
      <c r="E82" s="232">
        <v>1968</v>
      </c>
      <c r="F82" s="288">
        <v>101.18</v>
      </c>
      <c r="G82" s="288">
        <v>7.05</v>
      </c>
      <c r="H82" s="845">
        <v>16.92</v>
      </c>
      <c r="I82" s="288">
        <f t="shared" si="9"/>
        <v>77.21000000000001</v>
      </c>
      <c r="J82" s="279">
        <v>2558.4</v>
      </c>
      <c r="K82" s="289">
        <f t="shared" si="4"/>
        <v>77.21000000000001</v>
      </c>
      <c r="L82" s="279">
        <v>2558.4</v>
      </c>
      <c r="M82" s="290">
        <f t="shared" si="5"/>
        <v>0.030179018136335212</v>
      </c>
      <c r="N82" s="289">
        <v>325.58</v>
      </c>
      <c r="O82" s="605">
        <f t="shared" si="6"/>
        <v>9.825684724828019</v>
      </c>
      <c r="P82" s="289">
        <f t="shared" si="7"/>
        <v>1810.7410881801127</v>
      </c>
      <c r="Q82" s="291">
        <f t="shared" si="8"/>
        <v>589.541083489681</v>
      </c>
      <c r="S82" s="87"/>
      <c r="T82" s="87"/>
    </row>
    <row r="83" spans="1:20" ht="12.75" customHeight="1" thickBot="1">
      <c r="A83" s="1014"/>
      <c r="B83" s="284">
        <v>10</v>
      </c>
      <c r="C83" s="276" t="s">
        <v>281</v>
      </c>
      <c r="D83" s="246">
        <v>28</v>
      </c>
      <c r="E83" s="246">
        <v>1957</v>
      </c>
      <c r="F83" s="292">
        <v>45.35</v>
      </c>
      <c r="G83" s="292"/>
      <c r="H83" s="846"/>
      <c r="I83" s="292">
        <v>45.35</v>
      </c>
      <c r="J83" s="281">
        <v>1461.6</v>
      </c>
      <c r="K83" s="293">
        <f t="shared" si="4"/>
        <v>40.340277093596065</v>
      </c>
      <c r="L83" s="281">
        <v>1300.14</v>
      </c>
      <c r="M83" s="294">
        <f t="shared" si="5"/>
        <v>0.031027640941434047</v>
      </c>
      <c r="N83" s="293">
        <v>325.58</v>
      </c>
      <c r="O83" s="713">
        <f t="shared" si="6"/>
        <v>10.101979337712097</v>
      </c>
      <c r="P83" s="293">
        <f t="shared" si="7"/>
        <v>1861.6584564860427</v>
      </c>
      <c r="Q83" s="295">
        <f t="shared" si="8"/>
        <v>606.1187602627258</v>
      </c>
      <c r="S83" s="87"/>
      <c r="T83" s="87"/>
    </row>
    <row r="84" spans="1:20" ht="12.75">
      <c r="A84" s="1008" t="s">
        <v>52</v>
      </c>
      <c r="B84" s="320">
        <v>1</v>
      </c>
      <c r="C84" s="277" t="s">
        <v>118</v>
      </c>
      <c r="D84" s="39">
        <v>92</v>
      </c>
      <c r="E84" s="39">
        <v>1991</v>
      </c>
      <c r="F84" s="429">
        <v>141.2</v>
      </c>
      <c r="G84" s="429">
        <v>7.43</v>
      </c>
      <c r="H84" s="847">
        <v>15.12</v>
      </c>
      <c r="I84" s="458">
        <f>F84-G84-H84</f>
        <v>118.64999999999998</v>
      </c>
      <c r="J84" s="360">
        <v>3720.6</v>
      </c>
      <c r="K84" s="450">
        <f t="shared" si="4"/>
        <v>113.0820029027576</v>
      </c>
      <c r="L84" s="39">
        <v>3546</v>
      </c>
      <c r="M84" s="449">
        <f t="shared" si="5"/>
        <v>0.031890017739074336</v>
      </c>
      <c r="N84" s="450">
        <v>325.58</v>
      </c>
      <c r="O84" s="453">
        <f t="shared" si="6"/>
        <v>10.382751975487821</v>
      </c>
      <c r="P84" s="450">
        <f t="shared" si="7"/>
        <v>1913.40106434446</v>
      </c>
      <c r="Q84" s="451">
        <f t="shared" si="8"/>
        <v>622.9651185292693</v>
      </c>
      <c r="S84" s="87"/>
      <c r="T84" s="87"/>
    </row>
    <row r="85" spans="1:20" ht="12.75" customHeight="1">
      <c r="A85" s="1008"/>
      <c r="B85" s="40">
        <v>2</v>
      </c>
      <c r="C85" s="49" t="s">
        <v>123</v>
      </c>
      <c r="D85" s="41">
        <v>19</v>
      </c>
      <c r="E85" s="41">
        <v>1959</v>
      </c>
      <c r="F85" s="315">
        <v>35.16</v>
      </c>
      <c r="G85" s="315">
        <v>2.44</v>
      </c>
      <c r="H85" s="848"/>
      <c r="I85" s="315">
        <f>F85-G85-H85</f>
        <v>32.72</v>
      </c>
      <c r="J85" s="317">
        <v>1005.8</v>
      </c>
      <c r="K85" s="310">
        <f t="shared" si="4"/>
        <v>32.72</v>
      </c>
      <c r="L85" s="317">
        <v>1005.8</v>
      </c>
      <c r="M85" s="309">
        <f t="shared" si="5"/>
        <v>0.032531318353549415</v>
      </c>
      <c r="N85" s="310">
        <v>325.58</v>
      </c>
      <c r="O85" s="454">
        <f t="shared" si="6"/>
        <v>10.591546629548619</v>
      </c>
      <c r="P85" s="310">
        <f t="shared" si="7"/>
        <v>1951.879101212965</v>
      </c>
      <c r="Q85" s="311">
        <f t="shared" si="8"/>
        <v>635.4927977729171</v>
      </c>
      <c r="S85" s="87"/>
      <c r="T85" s="87"/>
    </row>
    <row r="86" spans="1:20" ht="12.75" customHeight="1">
      <c r="A86" s="1008"/>
      <c r="B86" s="40">
        <v>3</v>
      </c>
      <c r="C86" s="49" t="s">
        <v>120</v>
      </c>
      <c r="D86" s="41">
        <v>103</v>
      </c>
      <c r="E86" s="41">
        <v>1972</v>
      </c>
      <c r="F86" s="315">
        <v>113.57</v>
      </c>
      <c r="G86" s="315">
        <v>6.67</v>
      </c>
      <c r="H86" s="848">
        <v>15.9</v>
      </c>
      <c r="I86" s="315">
        <f>F86-G86-H86</f>
        <v>90.99999999999999</v>
      </c>
      <c r="J86" s="317">
        <v>2557</v>
      </c>
      <c r="K86" s="310">
        <f t="shared" si="4"/>
        <v>86.9429018380915</v>
      </c>
      <c r="L86" s="41">
        <v>2443</v>
      </c>
      <c r="M86" s="309">
        <f t="shared" si="5"/>
        <v>0.0355885803676183</v>
      </c>
      <c r="N86" s="310">
        <v>325.58</v>
      </c>
      <c r="O86" s="454">
        <f t="shared" si="6"/>
        <v>11.586929996089165</v>
      </c>
      <c r="P86" s="310">
        <f t="shared" si="7"/>
        <v>2135.314822057098</v>
      </c>
      <c r="Q86" s="311">
        <f t="shared" si="8"/>
        <v>695.21579976535</v>
      </c>
      <c r="S86" s="87"/>
      <c r="T86" s="87"/>
    </row>
    <row r="87" spans="1:20" ht="12.75" customHeight="1">
      <c r="A87" s="1008"/>
      <c r="B87" s="40">
        <v>4</v>
      </c>
      <c r="C87" s="49" t="s">
        <v>122</v>
      </c>
      <c r="D87" s="41">
        <v>25</v>
      </c>
      <c r="E87" s="41">
        <v>1957</v>
      </c>
      <c r="F87" s="315">
        <v>56.65</v>
      </c>
      <c r="G87" s="315"/>
      <c r="H87" s="848"/>
      <c r="I87" s="315">
        <v>56.65</v>
      </c>
      <c r="J87" s="317">
        <v>1561.5</v>
      </c>
      <c r="K87" s="310">
        <f t="shared" si="4"/>
        <v>56.650000000000006</v>
      </c>
      <c r="L87" s="317">
        <v>1561.5</v>
      </c>
      <c r="M87" s="309">
        <f t="shared" si="5"/>
        <v>0.03627921869996798</v>
      </c>
      <c r="N87" s="310">
        <v>325.58</v>
      </c>
      <c r="O87" s="454">
        <f t="shared" si="6"/>
        <v>11.811788024335575</v>
      </c>
      <c r="P87" s="310">
        <f t="shared" si="7"/>
        <v>2176.7531219980788</v>
      </c>
      <c r="Q87" s="311">
        <f t="shared" si="8"/>
        <v>708.7072814601345</v>
      </c>
      <c r="S87" s="87"/>
      <c r="T87" s="87"/>
    </row>
    <row r="88" spans="1:20" ht="12.75" customHeight="1">
      <c r="A88" s="1008"/>
      <c r="B88" s="40">
        <v>5</v>
      </c>
      <c r="C88" s="49" t="s">
        <v>121</v>
      </c>
      <c r="D88" s="41">
        <v>55</v>
      </c>
      <c r="E88" s="41">
        <v>1977</v>
      </c>
      <c r="F88" s="315">
        <v>94.51</v>
      </c>
      <c r="G88" s="315">
        <v>4.62</v>
      </c>
      <c r="H88" s="848">
        <v>8.56</v>
      </c>
      <c r="I88" s="459">
        <f>F88-G88-H88</f>
        <v>81.33</v>
      </c>
      <c r="J88" s="317">
        <v>2217.3</v>
      </c>
      <c r="K88" s="310">
        <f t="shared" si="4"/>
        <v>81.33</v>
      </c>
      <c r="L88" s="317">
        <v>2217.3</v>
      </c>
      <c r="M88" s="309">
        <f t="shared" si="5"/>
        <v>0.036679745636585034</v>
      </c>
      <c r="N88" s="310">
        <v>325.58</v>
      </c>
      <c r="O88" s="454">
        <f t="shared" si="6"/>
        <v>11.942191584359355</v>
      </c>
      <c r="P88" s="310">
        <f t="shared" si="7"/>
        <v>2200.784738195102</v>
      </c>
      <c r="Q88" s="311">
        <f t="shared" si="8"/>
        <v>716.5314950615613</v>
      </c>
      <c r="S88" s="87"/>
      <c r="T88" s="87"/>
    </row>
    <row r="89" spans="1:20" ht="12.75" customHeight="1">
      <c r="A89" s="1008"/>
      <c r="B89" s="40">
        <v>6</v>
      </c>
      <c r="C89" s="49" t="s">
        <v>282</v>
      </c>
      <c r="D89" s="41">
        <v>18</v>
      </c>
      <c r="E89" s="41">
        <v>1959</v>
      </c>
      <c r="F89" s="315">
        <v>37.57</v>
      </c>
      <c r="G89" s="315">
        <v>1.62</v>
      </c>
      <c r="H89" s="848"/>
      <c r="I89" s="315">
        <f>F89-G89-H89</f>
        <v>35.95</v>
      </c>
      <c r="J89" s="317">
        <v>963.8</v>
      </c>
      <c r="K89" s="310">
        <f t="shared" si="4"/>
        <v>35.95</v>
      </c>
      <c r="L89" s="317">
        <v>963.8</v>
      </c>
      <c r="M89" s="309">
        <f t="shared" si="5"/>
        <v>0.03730026976551152</v>
      </c>
      <c r="N89" s="310">
        <v>325.58</v>
      </c>
      <c r="O89" s="454">
        <f t="shared" si="6"/>
        <v>12.14422183025524</v>
      </c>
      <c r="P89" s="310">
        <f t="shared" si="7"/>
        <v>2238.0161859306913</v>
      </c>
      <c r="Q89" s="311">
        <f t="shared" si="8"/>
        <v>728.6533098153145</v>
      </c>
      <c r="S89" s="87"/>
      <c r="T89" s="87"/>
    </row>
    <row r="90" spans="1:20" ht="12.75" customHeight="1">
      <c r="A90" s="1008"/>
      <c r="B90" s="40">
        <v>7</v>
      </c>
      <c r="C90" s="49" t="s">
        <v>119</v>
      </c>
      <c r="D90" s="41">
        <v>77</v>
      </c>
      <c r="E90" s="41">
        <v>1960</v>
      </c>
      <c r="F90" s="315">
        <v>53.88</v>
      </c>
      <c r="G90" s="315">
        <v>5.42</v>
      </c>
      <c r="H90" s="848">
        <v>1.16</v>
      </c>
      <c r="I90" s="315">
        <f>F90-G90-H90</f>
        <v>47.300000000000004</v>
      </c>
      <c r="J90" s="317">
        <v>1264.2</v>
      </c>
      <c r="K90" s="310">
        <f t="shared" si="4"/>
        <v>46.7312925170068</v>
      </c>
      <c r="L90" s="41">
        <v>1249</v>
      </c>
      <c r="M90" s="309">
        <f t="shared" si="5"/>
        <v>0.03741496598639456</v>
      </c>
      <c r="N90" s="310">
        <v>325.58</v>
      </c>
      <c r="O90" s="454">
        <f t="shared" si="6"/>
        <v>12.18156462585034</v>
      </c>
      <c r="P90" s="310">
        <f t="shared" si="7"/>
        <v>2244.8979591836733</v>
      </c>
      <c r="Q90" s="311">
        <f t="shared" si="8"/>
        <v>730.8938775510204</v>
      </c>
      <c r="S90" s="87"/>
      <c r="T90" s="87"/>
    </row>
    <row r="91" spans="1:20" ht="13.5" customHeight="1">
      <c r="A91" s="1008"/>
      <c r="B91" s="321">
        <v>8</v>
      </c>
      <c r="C91" s="49" t="s">
        <v>283</v>
      </c>
      <c r="D91" s="41">
        <v>20</v>
      </c>
      <c r="E91" s="41">
        <v>1959</v>
      </c>
      <c r="F91" s="315">
        <v>40.17</v>
      </c>
      <c r="G91" s="315">
        <v>2.54</v>
      </c>
      <c r="H91" s="848"/>
      <c r="I91" s="315">
        <f>F91-G91-H91</f>
        <v>37.63</v>
      </c>
      <c r="J91" s="317">
        <v>985.4</v>
      </c>
      <c r="K91" s="310">
        <f t="shared" si="4"/>
        <v>37.63</v>
      </c>
      <c r="L91" s="317">
        <v>985.4</v>
      </c>
      <c r="M91" s="309">
        <f t="shared" si="5"/>
        <v>0.03818753805561194</v>
      </c>
      <c r="N91" s="310">
        <v>325.58</v>
      </c>
      <c r="O91" s="454">
        <f t="shared" si="6"/>
        <v>12.433098640146135</v>
      </c>
      <c r="P91" s="310">
        <f t="shared" si="7"/>
        <v>2291.2522833367166</v>
      </c>
      <c r="Q91" s="311">
        <f t="shared" si="8"/>
        <v>745.9859184087682</v>
      </c>
      <c r="S91" s="87"/>
      <c r="T91" s="87"/>
    </row>
    <row r="92" spans="1:20" ht="12.75" customHeight="1">
      <c r="A92" s="1008"/>
      <c r="B92" s="40">
        <v>9</v>
      </c>
      <c r="C92" s="49" t="s">
        <v>124</v>
      </c>
      <c r="D92" s="41">
        <v>63</v>
      </c>
      <c r="E92" s="41">
        <v>1960</v>
      </c>
      <c r="F92" s="315">
        <v>42</v>
      </c>
      <c r="G92" s="315">
        <v>3.85</v>
      </c>
      <c r="H92" s="848"/>
      <c r="I92" s="315">
        <f>F92-G92-H92</f>
        <v>38.15</v>
      </c>
      <c r="J92" s="317">
        <v>924</v>
      </c>
      <c r="K92" s="310">
        <f t="shared" si="4"/>
        <v>37.571969696969695</v>
      </c>
      <c r="L92" s="41">
        <v>910</v>
      </c>
      <c r="M92" s="309">
        <f t="shared" si="5"/>
        <v>0.04128787878787878</v>
      </c>
      <c r="N92" s="310">
        <v>325.58</v>
      </c>
      <c r="O92" s="454">
        <f t="shared" si="6"/>
        <v>13.442507575757574</v>
      </c>
      <c r="P92" s="310">
        <f t="shared" si="7"/>
        <v>2477.272727272727</v>
      </c>
      <c r="Q92" s="311">
        <f t="shared" si="8"/>
        <v>806.5504545454545</v>
      </c>
      <c r="S92" s="87"/>
      <c r="T92" s="87"/>
    </row>
    <row r="93" spans="1:20" ht="12.75" customHeight="1" thickBot="1">
      <c r="A93" s="1009"/>
      <c r="B93" s="130">
        <v>10</v>
      </c>
      <c r="C93" s="51" t="s">
        <v>284</v>
      </c>
      <c r="D93" s="46">
        <v>8</v>
      </c>
      <c r="E93" s="46">
        <v>1901</v>
      </c>
      <c r="F93" s="316">
        <v>14.32</v>
      </c>
      <c r="G93" s="316"/>
      <c r="H93" s="849"/>
      <c r="I93" s="316">
        <v>14.32</v>
      </c>
      <c r="J93" s="358">
        <v>330</v>
      </c>
      <c r="K93" s="307">
        <f t="shared" si="4"/>
        <v>14.32</v>
      </c>
      <c r="L93" s="46">
        <v>330</v>
      </c>
      <c r="M93" s="306">
        <f t="shared" si="5"/>
        <v>0.043393939393939394</v>
      </c>
      <c r="N93" s="307">
        <v>325.58</v>
      </c>
      <c r="O93" s="455">
        <f t="shared" si="6"/>
        <v>14.128198787878787</v>
      </c>
      <c r="P93" s="307">
        <f t="shared" si="7"/>
        <v>2603.6363636363635</v>
      </c>
      <c r="Q93" s="308">
        <f t="shared" si="8"/>
        <v>847.6919272727273</v>
      </c>
      <c r="S93" s="87"/>
      <c r="T93" s="87"/>
    </row>
    <row r="94" spans="3:20" ht="12.75">
      <c r="C94" s="1"/>
      <c r="S94" s="87"/>
      <c r="T94" s="87"/>
    </row>
    <row r="95" spans="1:20" ht="15">
      <c r="A95" s="992" t="s">
        <v>58</v>
      </c>
      <c r="B95" s="992"/>
      <c r="C95" s="992"/>
      <c r="D95" s="992"/>
      <c r="E95" s="992"/>
      <c r="F95" s="992"/>
      <c r="G95" s="992"/>
      <c r="H95" s="992"/>
      <c r="I95" s="992"/>
      <c r="J95" s="992"/>
      <c r="K95" s="992"/>
      <c r="L95" s="992"/>
      <c r="M95" s="992"/>
      <c r="N95" s="992"/>
      <c r="O95" s="992"/>
      <c r="P95" s="992"/>
      <c r="Q95" s="992"/>
      <c r="S95" s="87"/>
      <c r="T95" s="87"/>
    </row>
    <row r="96" spans="1:20" ht="13.5" thickBot="1">
      <c r="A96" s="935" t="s">
        <v>959</v>
      </c>
      <c r="B96" s="935"/>
      <c r="C96" s="935"/>
      <c r="D96" s="935"/>
      <c r="E96" s="935"/>
      <c r="F96" s="935"/>
      <c r="G96" s="935"/>
      <c r="H96" s="935"/>
      <c r="I96" s="935"/>
      <c r="J96" s="935"/>
      <c r="K96" s="935"/>
      <c r="L96" s="935"/>
      <c r="M96" s="935"/>
      <c r="N96" s="935"/>
      <c r="O96" s="935"/>
      <c r="P96" s="935"/>
      <c r="Q96" s="935"/>
      <c r="S96" s="87"/>
      <c r="T96" s="87"/>
    </row>
    <row r="97" spans="1:20" ht="12.75" customHeight="1">
      <c r="A97" s="890" t="s">
        <v>1</v>
      </c>
      <c r="B97" s="892" t="s">
        <v>0</v>
      </c>
      <c r="C97" s="888" t="s">
        <v>2</v>
      </c>
      <c r="D97" s="888" t="s">
        <v>3</v>
      </c>
      <c r="E97" s="888" t="s">
        <v>13</v>
      </c>
      <c r="F97" s="896" t="s">
        <v>14</v>
      </c>
      <c r="G97" s="897"/>
      <c r="H97" s="897"/>
      <c r="I97" s="898"/>
      <c r="J97" s="888" t="s">
        <v>4</v>
      </c>
      <c r="K97" s="888" t="s">
        <v>15</v>
      </c>
      <c r="L97" s="888" t="s">
        <v>5</v>
      </c>
      <c r="M97" s="888" t="s">
        <v>6</v>
      </c>
      <c r="N97" s="888" t="s">
        <v>16</v>
      </c>
      <c r="O97" s="888" t="s">
        <v>17</v>
      </c>
      <c r="P97" s="888" t="s">
        <v>25</v>
      </c>
      <c r="Q97" s="1019" t="s">
        <v>26</v>
      </c>
      <c r="S97" s="87"/>
      <c r="T97" s="87"/>
    </row>
    <row r="98" spans="1:20" ht="55.5" customHeight="1" thickBot="1">
      <c r="A98" s="945"/>
      <c r="B98" s="946"/>
      <c r="C98" s="895"/>
      <c r="D98" s="895"/>
      <c r="E98" s="895"/>
      <c r="F98" s="20" t="s">
        <v>18</v>
      </c>
      <c r="G98" s="21" t="s">
        <v>19</v>
      </c>
      <c r="H98" s="21" t="s">
        <v>32</v>
      </c>
      <c r="I98" s="20" t="s">
        <v>21</v>
      </c>
      <c r="J98" s="895"/>
      <c r="K98" s="895"/>
      <c r="L98" s="895"/>
      <c r="M98" s="895"/>
      <c r="N98" s="895"/>
      <c r="O98" s="895"/>
      <c r="P98" s="895"/>
      <c r="Q98" s="1020"/>
      <c r="S98" s="87"/>
      <c r="T98" s="87"/>
    </row>
    <row r="99" spans="1:20" ht="13.5" customHeight="1" thickBot="1">
      <c r="A99" s="22"/>
      <c r="B99" s="23"/>
      <c r="C99" s="24"/>
      <c r="D99" s="25" t="s">
        <v>7</v>
      </c>
      <c r="E99" s="26" t="s">
        <v>8</v>
      </c>
      <c r="F99" s="26" t="s">
        <v>9</v>
      </c>
      <c r="G99" s="26" t="s">
        <v>9</v>
      </c>
      <c r="H99" s="26" t="s">
        <v>9</v>
      </c>
      <c r="I99" s="26" t="s">
        <v>9</v>
      </c>
      <c r="J99" s="26" t="s">
        <v>22</v>
      </c>
      <c r="K99" s="26" t="s">
        <v>9</v>
      </c>
      <c r="L99" s="26" t="s">
        <v>22</v>
      </c>
      <c r="M99" s="26" t="s">
        <v>142</v>
      </c>
      <c r="N99" s="27" t="s">
        <v>10</v>
      </c>
      <c r="O99" s="26" t="s">
        <v>143</v>
      </c>
      <c r="P99" s="27" t="s">
        <v>27</v>
      </c>
      <c r="Q99" s="28" t="s">
        <v>28</v>
      </c>
      <c r="S99" s="87"/>
      <c r="T99" s="87"/>
    </row>
    <row r="100" spans="1:20" ht="12.75" customHeight="1">
      <c r="A100" s="983" t="s">
        <v>279</v>
      </c>
      <c r="B100" s="124">
        <v>1</v>
      </c>
      <c r="C100" s="604" t="s">
        <v>960</v>
      </c>
      <c r="D100" s="30">
        <v>135</v>
      </c>
      <c r="E100" s="30">
        <v>1979</v>
      </c>
      <c r="F100" s="412">
        <v>64</v>
      </c>
      <c r="G100" s="412">
        <v>9.74444</v>
      </c>
      <c r="H100" s="412">
        <v>13.5</v>
      </c>
      <c r="I100" s="412">
        <f aca="true" t="shared" si="10" ref="I100:I139">F100-G100-H100</f>
        <v>40.75556</v>
      </c>
      <c r="J100" s="430">
        <v>7266.29</v>
      </c>
      <c r="K100" s="412">
        <f aca="true" t="shared" si="11" ref="K100:K139">I100</f>
        <v>40.75556</v>
      </c>
      <c r="L100" s="430">
        <f aca="true" t="shared" si="12" ref="L100:L139">J100</f>
        <v>7266.29</v>
      </c>
      <c r="M100" s="436">
        <f aca="true" t="shared" si="13" ref="M100:M139">K100/L100</f>
        <v>0.005608854036929438</v>
      </c>
      <c r="N100" s="260">
        <v>281.002</v>
      </c>
      <c r="O100" s="654">
        <f aca="true" t="shared" si="14" ref="O100:O139">M100*N100</f>
        <v>1.576099202085246</v>
      </c>
      <c r="P100" s="654">
        <f aca="true" t="shared" si="15" ref="P100:P139">M100*60*1000</f>
        <v>336.53124221576627</v>
      </c>
      <c r="Q100" s="253">
        <f aca="true" t="shared" si="16" ref="Q100:Q139">P100*N100/1000</f>
        <v>94.56595212511475</v>
      </c>
      <c r="S100" s="87"/>
      <c r="T100" s="87"/>
    </row>
    <row r="101" spans="1:20" ht="12.75">
      <c r="A101" s="984"/>
      <c r="B101" s="125">
        <v>2</v>
      </c>
      <c r="C101" s="16" t="s">
        <v>961</v>
      </c>
      <c r="D101" s="31">
        <v>97</v>
      </c>
      <c r="E101" s="31">
        <v>1970</v>
      </c>
      <c r="F101" s="254">
        <v>48.79887</v>
      </c>
      <c r="G101" s="254">
        <v>9.45734</v>
      </c>
      <c r="H101" s="254">
        <v>8.97</v>
      </c>
      <c r="I101" s="249">
        <f t="shared" si="10"/>
        <v>30.37153</v>
      </c>
      <c r="J101" s="176">
        <v>4523.53</v>
      </c>
      <c r="K101" s="249">
        <f t="shared" si="11"/>
        <v>30.37153</v>
      </c>
      <c r="L101" s="93">
        <f t="shared" si="12"/>
        <v>4523.53</v>
      </c>
      <c r="M101" s="133">
        <f t="shared" si="13"/>
        <v>0.00671412149361229</v>
      </c>
      <c r="N101" s="250">
        <v>281.002</v>
      </c>
      <c r="O101" s="132">
        <f t="shared" si="14"/>
        <v>1.8866815679480406</v>
      </c>
      <c r="P101" s="252">
        <f t="shared" si="15"/>
        <v>402.8472896167374</v>
      </c>
      <c r="Q101" s="134">
        <f t="shared" si="16"/>
        <v>113.20089407688243</v>
      </c>
      <c r="S101" s="87"/>
      <c r="T101" s="87"/>
    </row>
    <row r="102" spans="1:20" ht="12.75">
      <c r="A102" s="984"/>
      <c r="B102" s="125">
        <v>3</v>
      </c>
      <c r="C102" s="16" t="s">
        <v>962</v>
      </c>
      <c r="D102" s="31">
        <v>55</v>
      </c>
      <c r="E102" s="31">
        <v>2005</v>
      </c>
      <c r="F102" s="254">
        <v>47.45601</v>
      </c>
      <c r="G102" s="254">
        <v>10.3275</v>
      </c>
      <c r="H102" s="254">
        <v>4.4</v>
      </c>
      <c r="I102" s="249">
        <f t="shared" si="10"/>
        <v>32.72851</v>
      </c>
      <c r="J102" s="176">
        <v>4430.33</v>
      </c>
      <c r="K102" s="249">
        <f t="shared" si="11"/>
        <v>32.72851</v>
      </c>
      <c r="L102" s="93">
        <f t="shared" si="12"/>
        <v>4430.33</v>
      </c>
      <c r="M102" s="133">
        <f t="shared" si="13"/>
        <v>0.007387375206813037</v>
      </c>
      <c r="N102" s="250">
        <v>281.002</v>
      </c>
      <c r="O102" s="132">
        <f t="shared" si="14"/>
        <v>2.075867207864877</v>
      </c>
      <c r="P102" s="252">
        <f t="shared" si="15"/>
        <v>443.2425124087822</v>
      </c>
      <c r="Q102" s="134">
        <f t="shared" si="16"/>
        <v>124.55203247189263</v>
      </c>
      <c r="S102" s="87"/>
      <c r="T102" s="87"/>
    </row>
    <row r="103" spans="1:20" ht="12.75">
      <c r="A103" s="984"/>
      <c r="B103" s="125">
        <v>4</v>
      </c>
      <c r="C103" s="16" t="s">
        <v>963</v>
      </c>
      <c r="D103" s="31">
        <v>38</v>
      </c>
      <c r="E103" s="31">
        <v>1973</v>
      </c>
      <c r="F103" s="254">
        <v>47</v>
      </c>
      <c r="G103" s="254">
        <v>7.02298</v>
      </c>
      <c r="H103" s="254">
        <v>7.2</v>
      </c>
      <c r="I103" s="249">
        <f t="shared" si="10"/>
        <v>32.77702</v>
      </c>
      <c r="J103" s="176">
        <v>3811.66</v>
      </c>
      <c r="K103" s="249">
        <f t="shared" si="11"/>
        <v>32.77702</v>
      </c>
      <c r="L103" s="93">
        <f t="shared" si="12"/>
        <v>3811.66</v>
      </c>
      <c r="M103" s="133">
        <f t="shared" si="13"/>
        <v>0.008599145779004424</v>
      </c>
      <c r="N103" s="250">
        <v>281.002</v>
      </c>
      <c r="O103" s="132">
        <f t="shared" si="14"/>
        <v>2.416377162191801</v>
      </c>
      <c r="P103" s="252">
        <f t="shared" si="15"/>
        <v>515.9487467402655</v>
      </c>
      <c r="Q103" s="134">
        <f t="shared" si="16"/>
        <v>144.9826297315081</v>
      </c>
      <c r="S103" s="87"/>
      <c r="T103" s="87"/>
    </row>
    <row r="104" spans="1:20" ht="12.75">
      <c r="A104" s="984"/>
      <c r="B104" s="125">
        <v>5</v>
      </c>
      <c r="C104" s="16" t="s">
        <v>964</v>
      </c>
      <c r="D104" s="31">
        <v>36</v>
      </c>
      <c r="E104" s="31">
        <v>1989</v>
      </c>
      <c r="F104" s="254">
        <v>28.41089</v>
      </c>
      <c r="G104" s="254">
        <v>3.13766</v>
      </c>
      <c r="H104" s="254">
        <v>3.6</v>
      </c>
      <c r="I104" s="249">
        <f t="shared" si="10"/>
        <v>21.673229999999997</v>
      </c>
      <c r="J104" s="176">
        <v>2258.01</v>
      </c>
      <c r="K104" s="249">
        <f t="shared" si="11"/>
        <v>21.673229999999997</v>
      </c>
      <c r="L104" s="93">
        <f t="shared" si="12"/>
        <v>2258.01</v>
      </c>
      <c r="M104" s="133">
        <f t="shared" si="13"/>
        <v>0.009598376446517063</v>
      </c>
      <c r="N104" s="250">
        <v>281.002</v>
      </c>
      <c r="O104" s="132">
        <f t="shared" si="14"/>
        <v>2.697162978224188</v>
      </c>
      <c r="P104" s="252">
        <f t="shared" si="15"/>
        <v>575.9025867910239</v>
      </c>
      <c r="Q104" s="134">
        <f t="shared" si="16"/>
        <v>161.8297786934513</v>
      </c>
      <c r="S104" s="87"/>
      <c r="T104" s="87"/>
    </row>
    <row r="105" spans="1:20" ht="12.75">
      <c r="A105" s="984"/>
      <c r="B105" s="125">
        <v>6</v>
      </c>
      <c r="C105" s="16" t="s">
        <v>965</v>
      </c>
      <c r="D105" s="31">
        <v>72</v>
      </c>
      <c r="E105" s="31">
        <v>1990</v>
      </c>
      <c r="F105" s="254">
        <v>74.4</v>
      </c>
      <c r="G105" s="254">
        <v>13.81031</v>
      </c>
      <c r="H105" s="254">
        <v>10.08</v>
      </c>
      <c r="I105" s="249">
        <f t="shared" si="10"/>
        <v>50.509690000000006</v>
      </c>
      <c r="J105" s="176">
        <v>4869.1</v>
      </c>
      <c r="K105" s="249">
        <f t="shared" si="11"/>
        <v>50.509690000000006</v>
      </c>
      <c r="L105" s="93">
        <f t="shared" si="12"/>
        <v>4869.1</v>
      </c>
      <c r="M105" s="133">
        <f t="shared" si="13"/>
        <v>0.010373516666324372</v>
      </c>
      <c r="N105" s="250">
        <v>281.002</v>
      </c>
      <c r="O105" s="132">
        <f t="shared" si="14"/>
        <v>2.914978930270481</v>
      </c>
      <c r="P105" s="252">
        <f t="shared" si="15"/>
        <v>622.4109999794623</v>
      </c>
      <c r="Q105" s="134">
        <f t="shared" si="16"/>
        <v>174.89873581622888</v>
      </c>
      <c r="S105" s="87"/>
      <c r="T105" s="87"/>
    </row>
    <row r="106" spans="1:20" ht="12.75">
      <c r="A106" s="984"/>
      <c r="B106" s="125">
        <v>7</v>
      </c>
      <c r="C106" s="16" t="s">
        <v>966</v>
      </c>
      <c r="D106" s="31">
        <v>111</v>
      </c>
      <c r="E106" s="31">
        <v>2008</v>
      </c>
      <c r="F106" s="254">
        <v>93.1</v>
      </c>
      <c r="G106" s="254">
        <v>16.422</v>
      </c>
      <c r="H106" s="254">
        <v>6.0636</v>
      </c>
      <c r="I106" s="249">
        <f t="shared" si="10"/>
        <v>70.6144</v>
      </c>
      <c r="J106" s="176">
        <v>6276.47</v>
      </c>
      <c r="K106" s="249">
        <f t="shared" si="11"/>
        <v>70.6144</v>
      </c>
      <c r="L106" s="93">
        <f t="shared" si="12"/>
        <v>6276.47</v>
      </c>
      <c r="M106" s="133">
        <f t="shared" si="13"/>
        <v>0.011250655224991118</v>
      </c>
      <c r="N106" s="250">
        <v>281.002</v>
      </c>
      <c r="O106" s="132">
        <f t="shared" si="14"/>
        <v>3.161456619532954</v>
      </c>
      <c r="P106" s="252">
        <f t="shared" si="15"/>
        <v>675.0393134994671</v>
      </c>
      <c r="Q106" s="134">
        <f t="shared" si="16"/>
        <v>189.68739717197727</v>
      </c>
      <c r="S106" s="87"/>
      <c r="T106" s="87"/>
    </row>
    <row r="107" spans="1:20" ht="12.75">
      <c r="A107" s="984"/>
      <c r="B107" s="125">
        <v>8</v>
      </c>
      <c r="C107" s="16" t="s">
        <v>967</v>
      </c>
      <c r="D107" s="31">
        <v>36</v>
      </c>
      <c r="E107" s="31">
        <v>1980</v>
      </c>
      <c r="F107" s="254">
        <v>35.202</v>
      </c>
      <c r="G107" s="254">
        <v>4.20299</v>
      </c>
      <c r="H107" s="254">
        <v>3.6</v>
      </c>
      <c r="I107" s="249">
        <f t="shared" si="10"/>
        <v>27.399009999999997</v>
      </c>
      <c r="J107" s="176">
        <v>2185.41</v>
      </c>
      <c r="K107" s="249">
        <f t="shared" si="11"/>
        <v>27.399009999999997</v>
      </c>
      <c r="L107" s="93">
        <f t="shared" si="12"/>
        <v>2185.41</v>
      </c>
      <c r="M107" s="133">
        <f t="shared" si="13"/>
        <v>0.012537240151733542</v>
      </c>
      <c r="N107" s="250">
        <v>281.002</v>
      </c>
      <c r="O107" s="132">
        <f t="shared" si="14"/>
        <v>3.522989557117429</v>
      </c>
      <c r="P107" s="252">
        <f t="shared" si="15"/>
        <v>752.2344091040125</v>
      </c>
      <c r="Q107" s="134">
        <f t="shared" si="16"/>
        <v>211.3793734270457</v>
      </c>
      <c r="S107" s="87"/>
      <c r="T107" s="87"/>
    </row>
    <row r="108" spans="1:20" ht="12.75">
      <c r="A108" s="984"/>
      <c r="B108" s="125">
        <v>9</v>
      </c>
      <c r="C108" s="16" t="s">
        <v>968</v>
      </c>
      <c r="D108" s="31">
        <v>75</v>
      </c>
      <c r="E108" s="31">
        <v>2006</v>
      </c>
      <c r="F108" s="254">
        <v>81.78295</v>
      </c>
      <c r="G108" s="254">
        <v>7.76985</v>
      </c>
      <c r="H108" s="254">
        <v>4.2014</v>
      </c>
      <c r="I108" s="249">
        <f t="shared" si="10"/>
        <v>69.8117</v>
      </c>
      <c r="J108" s="176">
        <v>5183.12</v>
      </c>
      <c r="K108" s="249">
        <f t="shared" si="11"/>
        <v>69.8117</v>
      </c>
      <c r="L108" s="93">
        <f t="shared" si="12"/>
        <v>5183.12</v>
      </c>
      <c r="M108" s="133">
        <f t="shared" si="13"/>
        <v>0.013469049530012812</v>
      </c>
      <c r="N108" s="250">
        <v>281.002</v>
      </c>
      <c r="O108" s="132">
        <f t="shared" si="14"/>
        <v>3.78482985603266</v>
      </c>
      <c r="P108" s="252">
        <f t="shared" si="15"/>
        <v>808.1429718007687</v>
      </c>
      <c r="Q108" s="134">
        <f t="shared" si="16"/>
        <v>227.0897913619596</v>
      </c>
      <c r="S108" s="87"/>
      <c r="T108" s="87"/>
    </row>
    <row r="109" spans="1:20" ht="12.75" customHeight="1" thickBot="1">
      <c r="A109" s="985"/>
      <c r="B109" s="322">
        <v>10</v>
      </c>
      <c r="C109" s="65" t="s">
        <v>969</v>
      </c>
      <c r="D109" s="91">
        <v>40</v>
      </c>
      <c r="E109" s="91">
        <v>1991</v>
      </c>
      <c r="F109" s="414">
        <v>41.808</v>
      </c>
      <c r="G109" s="414">
        <v>6.6686</v>
      </c>
      <c r="H109" s="414">
        <v>4</v>
      </c>
      <c r="I109" s="656">
        <f t="shared" si="10"/>
        <v>31.139400000000002</v>
      </c>
      <c r="J109" s="418">
        <v>2242.3</v>
      </c>
      <c r="K109" s="656">
        <f t="shared" si="11"/>
        <v>31.139400000000002</v>
      </c>
      <c r="L109" s="657">
        <f t="shared" si="12"/>
        <v>2242.3</v>
      </c>
      <c r="M109" s="419">
        <f t="shared" si="13"/>
        <v>0.01388725861838291</v>
      </c>
      <c r="N109" s="553">
        <v>281.002</v>
      </c>
      <c r="O109" s="456">
        <f t="shared" si="14"/>
        <v>3.902347446282835</v>
      </c>
      <c r="P109" s="413">
        <f t="shared" si="15"/>
        <v>833.2355171029747</v>
      </c>
      <c r="Q109" s="415">
        <f t="shared" si="16"/>
        <v>234.14084677697008</v>
      </c>
      <c r="S109" s="87"/>
      <c r="T109" s="87"/>
    </row>
    <row r="110" spans="1:20" ht="12.75" customHeight="1">
      <c r="A110" s="986" t="s">
        <v>33</v>
      </c>
      <c r="B110" s="128">
        <v>1</v>
      </c>
      <c r="C110" s="88" t="s">
        <v>970</v>
      </c>
      <c r="D110" s="33">
        <v>120</v>
      </c>
      <c r="E110" s="33">
        <v>1998</v>
      </c>
      <c r="F110" s="262">
        <v>111.26994</v>
      </c>
      <c r="G110" s="262">
        <v>9.79255</v>
      </c>
      <c r="H110" s="262">
        <v>11.97</v>
      </c>
      <c r="I110" s="262">
        <f t="shared" si="10"/>
        <v>89.50739</v>
      </c>
      <c r="J110" s="432">
        <v>5769.93</v>
      </c>
      <c r="K110" s="262">
        <f t="shared" si="11"/>
        <v>89.50739</v>
      </c>
      <c r="L110" s="432">
        <f t="shared" si="12"/>
        <v>5769.93</v>
      </c>
      <c r="M110" s="440">
        <f t="shared" si="13"/>
        <v>0.015512734123290923</v>
      </c>
      <c r="N110" s="264">
        <v>281.002</v>
      </c>
      <c r="O110" s="264">
        <f t="shared" si="14"/>
        <v>4.359109314112996</v>
      </c>
      <c r="P110" s="264">
        <f t="shared" si="15"/>
        <v>930.7640473974553</v>
      </c>
      <c r="Q110" s="441">
        <f t="shared" si="16"/>
        <v>261.54655884677976</v>
      </c>
      <c r="S110" s="87"/>
      <c r="T110" s="87"/>
    </row>
    <row r="111" spans="1:20" ht="12.75">
      <c r="A111" s="987"/>
      <c r="B111" s="129">
        <v>2</v>
      </c>
      <c r="C111" s="34" t="s">
        <v>971</v>
      </c>
      <c r="D111" s="35">
        <v>60</v>
      </c>
      <c r="E111" s="35">
        <v>1989</v>
      </c>
      <c r="F111" s="263">
        <v>66.8</v>
      </c>
      <c r="G111" s="263">
        <v>5.12302</v>
      </c>
      <c r="H111" s="263">
        <v>5.97</v>
      </c>
      <c r="I111" s="263">
        <f t="shared" si="10"/>
        <v>55.70698</v>
      </c>
      <c r="J111" s="118">
        <v>3360.8</v>
      </c>
      <c r="K111" s="263">
        <f t="shared" si="11"/>
        <v>55.70698</v>
      </c>
      <c r="L111" s="118">
        <f t="shared" si="12"/>
        <v>3360.8</v>
      </c>
      <c r="M111" s="139">
        <f t="shared" si="13"/>
        <v>0.01657551178290883</v>
      </c>
      <c r="N111" s="138">
        <v>281.002</v>
      </c>
      <c r="O111" s="138">
        <f t="shared" si="14"/>
        <v>4.657751962020947</v>
      </c>
      <c r="P111" s="138">
        <f t="shared" si="15"/>
        <v>994.5307069745297</v>
      </c>
      <c r="Q111" s="168">
        <f t="shared" si="16"/>
        <v>279.4651177212568</v>
      </c>
      <c r="S111" s="87"/>
      <c r="T111" s="87"/>
    </row>
    <row r="112" spans="1:20" ht="12.75">
      <c r="A112" s="987"/>
      <c r="B112" s="129">
        <v>3</v>
      </c>
      <c r="C112" s="34" t="s">
        <v>972</v>
      </c>
      <c r="D112" s="35">
        <v>50</v>
      </c>
      <c r="E112" s="35">
        <v>1972</v>
      </c>
      <c r="F112" s="263">
        <v>39</v>
      </c>
      <c r="G112" s="263">
        <v>2.13371</v>
      </c>
      <c r="H112" s="263">
        <v>5</v>
      </c>
      <c r="I112" s="263">
        <f t="shared" si="10"/>
        <v>31.86629</v>
      </c>
      <c r="J112" s="118">
        <v>1849.95</v>
      </c>
      <c r="K112" s="263">
        <f t="shared" si="11"/>
        <v>31.86629</v>
      </c>
      <c r="L112" s="118">
        <f t="shared" si="12"/>
        <v>1849.95</v>
      </c>
      <c r="M112" s="139">
        <f t="shared" si="13"/>
        <v>0.01722548717532906</v>
      </c>
      <c r="N112" s="138">
        <v>281.002</v>
      </c>
      <c r="O112" s="138">
        <f t="shared" si="14"/>
        <v>4.840396347241817</v>
      </c>
      <c r="P112" s="138">
        <f t="shared" si="15"/>
        <v>1033.5292305197436</v>
      </c>
      <c r="Q112" s="168">
        <f t="shared" si="16"/>
        <v>290.423780834509</v>
      </c>
      <c r="S112" s="87"/>
      <c r="T112" s="87"/>
    </row>
    <row r="113" spans="1:20" ht="12.75">
      <c r="A113" s="987"/>
      <c r="B113" s="129">
        <v>4</v>
      </c>
      <c r="C113" s="34" t="s">
        <v>973</v>
      </c>
      <c r="D113" s="35">
        <v>30</v>
      </c>
      <c r="E113" s="35">
        <v>1981</v>
      </c>
      <c r="F113" s="263">
        <v>36.5</v>
      </c>
      <c r="G113" s="263">
        <v>4.73147</v>
      </c>
      <c r="H113" s="263">
        <v>3</v>
      </c>
      <c r="I113" s="263">
        <f t="shared" si="10"/>
        <v>28.76853</v>
      </c>
      <c r="J113" s="118">
        <v>1564.75</v>
      </c>
      <c r="K113" s="263">
        <f t="shared" si="11"/>
        <v>28.76853</v>
      </c>
      <c r="L113" s="118">
        <f t="shared" si="12"/>
        <v>1564.75</v>
      </c>
      <c r="M113" s="139">
        <f t="shared" si="13"/>
        <v>0.018385384246684774</v>
      </c>
      <c r="N113" s="138">
        <v>281.002</v>
      </c>
      <c r="O113" s="138">
        <f t="shared" si="14"/>
        <v>5.166329744086915</v>
      </c>
      <c r="P113" s="138">
        <f t="shared" si="15"/>
        <v>1103.1230548010865</v>
      </c>
      <c r="Q113" s="168">
        <f t="shared" si="16"/>
        <v>309.9797846452149</v>
      </c>
      <c r="S113" s="87"/>
      <c r="T113" s="87"/>
    </row>
    <row r="114" spans="1:20" ht="12.75">
      <c r="A114" s="987"/>
      <c r="B114" s="129">
        <v>5</v>
      </c>
      <c r="C114" s="34" t="s">
        <v>974</v>
      </c>
      <c r="D114" s="35">
        <v>55</v>
      </c>
      <c r="E114" s="35">
        <v>1991</v>
      </c>
      <c r="F114" s="263">
        <v>82.89496</v>
      </c>
      <c r="G114" s="263">
        <v>10.90488</v>
      </c>
      <c r="H114" s="263">
        <v>7.7</v>
      </c>
      <c r="I114" s="263">
        <f t="shared" si="10"/>
        <v>64.29007999999999</v>
      </c>
      <c r="J114" s="118">
        <v>3395.06</v>
      </c>
      <c r="K114" s="263">
        <f t="shared" si="11"/>
        <v>64.29007999999999</v>
      </c>
      <c r="L114" s="118">
        <f t="shared" si="12"/>
        <v>3395.06</v>
      </c>
      <c r="M114" s="139">
        <f t="shared" si="13"/>
        <v>0.018936360476692605</v>
      </c>
      <c r="N114" s="138">
        <v>281.002</v>
      </c>
      <c r="O114" s="138">
        <f t="shared" si="14"/>
        <v>5.321155166671575</v>
      </c>
      <c r="P114" s="138">
        <f t="shared" si="15"/>
        <v>1136.1816286015562</v>
      </c>
      <c r="Q114" s="168">
        <f t="shared" si="16"/>
        <v>319.2693100002945</v>
      </c>
      <c r="S114" s="87"/>
      <c r="T114" s="87"/>
    </row>
    <row r="115" spans="1:20" ht="12.75">
      <c r="A115" s="987"/>
      <c r="B115" s="129">
        <v>6</v>
      </c>
      <c r="C115" s="34" t="s">
        <v>975</v>
      </c>
      <c r="D115" s="35">
        <v>145</v>
      </c>
      <c r="E115" s="35">
        <v>1980</v>
      </c>
      <c r="F115" s="263">
        <v>173.50518</v>
      </c>
      <c r="G115" s="263">
        <v>12.71067</v>
      </c>
      <c r="H115" s="263">
        <v>14.4</v>
      </c>
      <c r="I115" s="263">
        <f t="shared" si="10"/>
        <v>146.39451</v>
      </c>
      <c r="J115" s="118">
        <v>7531.42</v>
      </c>
      <c r="K115" s="263">
        <f t="shared" si="11"/>
        <v>146.39451</v>
      </c>
      <c r="L115" s="118">
        <f t="shared" si="12"/>
        <v>7531.42</v>
      </c>
      <c r="M115" s="139">
        <f t="shared" si="13"/>
        <v>0.019437836423941302</v>
      </c>
      <c r="N115" s="138">
        <v>281.002</v>
      </c>
      <c r="O115" s="138">
        <f t="shared" si="14"/>
        <v>5.462070910800354</v>
      </c>
      <c r="P115" s="138">
        <f t="shared" si="15"/>
        <v>1166.2701854364782</v>
      </c>
      <c r="Q115" s="168">
        <f t="shared" si="16"/>
        <v>327.72425464802126</v>
      </c>
      <c r="S115" s="87"/>
      <c r="T115" s="87"/>
    </row>
    <row r="116" spans="1:20" ht="12.75">
      <c r="A116" s="987"/>
      <c r="B116" s="129">
        <v>7</v>
      </c>
      <c r="C116" s="34" t="s">
        <v>976</v>
      </c>
      <c r="D116" s="35">
        <v>40</v>
      </c>
      <c r="E116" s="35">
        <v>1993</v>
      </c>
      <c r="F116" s="263">
        <v>55.5</v>
      </c>
      <c r="G116" s="263">
        <v>6.80168</v>
      </c>
      <c r="H116" s="263">
        <v>4</v>
      </c>
      <c r="I116" s="263">
        <f t="shared" si="10"/>
        <v>44.69832</v>
      </c>
      <c r="J116" s="118">
        <v>2225.69</v>
      </c>
      <c r="K116" s="263">
        <f t="shared" si="11"/>
        <v>44.69832</v>
      </c>
      <c r="L116" s="118">
        <f t="shared" si="12"/>
        <v>2225.69</v>
      </c>
      <c r="M116" s="139">
        <f t="shared" si="13"/>
        <v>0.020082904627329052</v>
      </c>
      <c r="N116" s="138">
        <v>281.002</v>
      </c>
      <c r="O116" s="138">
        <f t="shared" si="14"/>
        <v>5.643336366088718</v>
      </c>
      <c r="P116" s="138">
        <f t="shared" si="15"/>
        <v>1204.9742776397431</v>
      </c>
      <c r="Q116" s="168">
        <f t="shared" si="16"/>
        <v>338.6001819653231</v>
      </c>
      <c r="S116" s="87"/>
      <c r="T116" s="87"/>
    </row>
    <row r="117" spans="1:20" ht="12.75">
      <c r="A117" s="987"/>
      <c r="B117" s="129">
        <v>8</v>
      </c>
      <c r="C117" s="34" t="s">
        <v>977</v>
      </c>
      <c r="D117" s="35">
        <v>51</v>
      </c>
      <c r="E117" s="35">
        <v>1976</v>
      </c>
      <c r="F117" s="263">
        <v>85.89637</v>
      </c>
      <c r="G117" s="263">
        <v>12.4428</v>
      </c>
      <c r="H117" s="263">
        <v>5.1</v>
      </c>
      <c r="I117" s="263">
        <f t="shared" si="10"/>
        <v>68.35357</v>
      </c>
      <c r="J117" s="118">
        <v>3379.3</v>
      </c>
      <c r="K117" s="263">
        <f t="shared" si="11"/>
        <v>68.35357</v>
      </c>
      <c r="L117" s="118">
        <f t="shared" si="12"/>
        <v>3379.3</v>
      </c>
      <c r="M117" s="139">
        <f t="shared" si="13"/>
        <v>0.020227138756547216</v>
      </c>
      <c r="N117" s="138">
        <v>281.002</v>
      </c>
      <c r="O117" s="138">
        <f t="shared" si="14"/>
        <v>5.683866444867281</v>
      </c>
      <c r="P117" s="138">
        <f t="shared" si="15"/>
        <v>1213.628325392833</v>
      </c>
      <c r="Q117" s="168">
        <f t="shared" si="16"/>
        <v>341.03198669203687</v>
      </c>
      <c r="S117" s="87"/>
      <c r="T117" s="87"/>
    </row>
    <row r="118" spans="1:20" ht="12.75">
      <c r="A118" s="987"/>
      <c r="B118" s="323">
        <v>9</v>
      </c>
      <c r="C118" s="34" t="s">
        <v>978</v>
      </c>
      <c r="D118" s="35">
        <v>30</v>
      </c>
      <c r="E118" s="35">
        <v>1989</v>
      </c>
      <c r="F118" s="263">
        <v>51.11434</v>
      </c>
      <c r="G118" s="263">
        <v>6.4311</v>
      </c>
      <c r="H118" s="263">
        <v>4.2</v>
      </c>
      <c r="I118" s="263">
        <f t="shared" si="10"/>
        <v>40.483239999999995</v>
      </c>
      <c r="J118" s="118">
        <v>1967</v>
      </c>
      <c r="K118" s="263">
        <f t="shared" si="11"/>
        <v>40.483239999999995</v>
      </c>
      <c r="L118" s="118">
        <f t="shared" si="12"/>
        <v>1967</v>
      </c>
      <c r="M118" s="139">
        <f t="shared" si="13"/>
        <v>0.02058120996441281</v>
      </c>
      <c r="N118" s="138">
        <v>281.002</v>
      </c>
      <c r="O118" s="138">
        <f t="shared" si="14"/>
        <v>5.783361162419928</v>
      </c>
      <c r="P118" s="138">
        <f t="shared" si="15"/>
        <v>1234.8725978647685</v>
      </c>
      <c r="Q118" s="168">
        <f t="shared" si="16"/>
        <v>347.0016697451957</v>
      </c>
      <c r="S118" s="87"/>
      <c r="T118" s="87"/>
    </row>
    <row r="119" spans="1:20" ht="13.5" thickBot="1">
      <c r="A119" s="988"/>
      <c r="B119" s="324">
        <v>10</v>
      </c>
      <c r="C119" s="83" t="s">
        <v>979</v>
      </c>
      <c r="D119" s="38">
        <v>59</v>
      </c>
      <c r="E119" s="38">
        <v>1986</v>
      </c>
      <c r="F119" s="265">
        <v>52.7</v>
      </c>
      <c r="G119" s="265">
        <v>9.12</v>
      </c>
      <c r="H119" s="265"/>
      <c r="I119" s="265">
        <f t="shared" si="10"/>
        <v>43.580000000000005</v>
      </c>
      <c r="J119" s="184">
        <v>2075.84</v>
      </c>
      <c r="K119" s="265">
        <f t="shared" si="11"/>
        <v>43.580000000000005</v>
      </c>
      <c r="L119" s="184">
        <f t="shared" si="12"/>
        <v>2075.84</v>
      </c>
      <c r="M119" s="218">
        <f t="shared" si="13"/>
        <v>0.02099391089872052</v>
      </c>
      <c r="N119" s="171">
        <v>281.002</v>
      </c>
      <c r="O119" s="171">
        <f t="shared" si="14"/>
        <v>5.8993309503622635</v>
      </c>
      <c r="P119" s="171">
        <f t="shared" si="15"/>
        <v>1259.6346539232313</v>
      </c>
      <c r="Q119" s="172">
        <f t="shared" si="16"/>
        <v>353.95985702173584</v>
      </c>
      <c r="S119" s="87"/>
      <c r="T119" s="87"/>
    </row>
    <row r="120" spans="1:20" ht="12.75">
      <c r="A120" s="989" t="s">
        <v>47</v>
      </c>
      <c r="B120" s="282">
        <v>1</v>
      </c>
      <c r="C120" s="300" t="s">
        <v>980</v>
      </c>
      <c r="D120" s="280">
        <v>45</v>
      </c>
      <c r="E120" s="280">
        <v>1991</v>
      </c>
      <c r="F120" s="348">
        <v>76</v>
      </c>
      <c r="G120" s="348">
        <v>8.90311</v>
      </c>
      <c r="H120" s="348">
        <v>4.5</v>
      </c>
      <c r="I120" s="348">
        <f t="shared" si="10"/>
        <v>62.59689</v>
      </c>
      <c r="J120" s="356">
        <v>2978.39</v>
      </c>
      <c r="K120" s="348">
        <f t="shared" si="11"/>
        <v>62.59689</v>
      </c>
      <c r="L120" s="356">
        <f t="shared" si="12"/>
        <v>2978.39</v>
      </c>
      <c r="M120" s="286">
        <f t="shared" si="13"/>
        <v>0.02101702261960321</v>
      </c>
      <c r="N120" s="285">
        <v>281.002</v>
      </c>
      <c r="O120" s="285">
        <f t="shared" si="14"/>
        <v>5.905825390153741</v>
      </c>
      <c r="P120" s="285">
        <f t="shared" si="15"/>
        <v>1261.0213571761926</v>
      </c>
      <c r="Q120" s="287">
        <f t="shared" si="16"/>
        <v>354.34952340922445</v>
      </c>
      <c r="S120" s="87"/>
      <c r="T120" s="87"/>
    </row>
    <row r="121" spans="1:20" ht="12.75" customHeight="1">
      <c r="A121" s="990"/>
      <c r="B121" s="283">
        <v>2</v>
      </c>
      <c r="C121" s="272" t="s">
        <v>981</v>
      </c>
      <c r="D121" s="232">
        <v>9</v>
      </c>
      <c r="E121" s="232">
        <v>2000</v>
      </c>
      <c r="F121" s="288">
        <v>9.9095</v>
      </c>
      <c r="G121" s="288">
        <v>1.2495</v>
      </c>
      <c r="H121" s="288">
        <v>0.09</v>
      </c>
      <c r="I121" s="348">
        <f t="shared" si="10"/>
        <v>8.57</v>
      </c>
      <c r="J121" s="279">
        <v>395.1</v>
      </c>
      <c r="K121" s="348">
        <f t="shared" si="11"/>
        <v>8.57</v>
      </c>
      <c r="L121" s="356">
        <f t="shared" si="12"/>
        <v>395.1</v>
      </c>
      <c r="M121" s="290">
        <f t="shared" si="13"/>
        <v>0.021690711212351305</v>
      </c>
      <c r="N121" s="285">
        <v>281.002</v>
      </c>
      <c r="O121" s="289">
        <f t="shared" si="14"/>
        <v>6.095133232093142</v>
      </c>
      <c r="P121" s="285">
        <f t="shared" si="15"/>
        <v>1301.4426727410782</v>
      </c>
      <c r="Q121" s="291">
        <f t="shared" si="16"/>
        <v>365.7079939255885</v>
      </c>
      <c r="S121" s="87"/>
      <c r="T121" s="87"/>
    </row>
    <row r="122" spans="1:20" ht="12.75" customHeight="1">
      <c r="A122" s="990"/>
      <c r="B122" s="283">
        <v>3</v>
      </c>
      <c r="C122" s="272" t="s">
        <v>982</v>
      </c>
      <c r="D122" s="232">
        <v>30</v>
      </c>
      <c r="E122" s="232">
        <v>1990</v>
      </c>
      <c r="F122" s="288">
        <v>51.6</v>
      </c>
      <c r="G122" s="288">
        <v>4.75664</v>
      </c>
      <c r="H122" s="288">
        <v>3</v>
      </c>
      <c r="I122" s="348">
        <f t="shared" si="10"/>
        <v>43.843360000000004</v>
      </c>
      <c r="J122" s="279">
        <v>1963</v>
      </c>
      <c r="K122" s="348">
        <f t="shared" si="11"/>
        <v>43.843360000000004</v>
      </c>
      <c r="L122" s="356">
        <f t="shared" si="12"/>
        <v>1963</v>
      </c>
      <c r="M122" s="290">
        <f t="shared" si="13"/>
        <v>0.022334875191034134</v>
      </c>
      <c r="N122" s="285">
        <v>281.002</v>
      </c>
      <c r="O122" s="289">
        <f t="shared" si="14"/>
        <v>6.276144598430974</v>
      </c>
      <c r="P122" s="285">
        <f t="shared" si="15"/>
        <v>1340.0925114620482</v>
      </c>
      <c r="Q122" s="291">
        <f t="shared" si="16"/>
        <v>376.56867590585847</v>
      </c>
      <c r="S122" s="87"/>
      <c r="T122" s="87"/>
    </row>
    <row r="123" spans="1:20" ht="12.75" customHeight="1">
      <c r="A123" s="990"/>
      <c r="B123" s="283">
        <v>4</v>
      </c>
      <c r="C123" s="272" t="s">
        <v>983</v>
      </c>
      <c r="D123" s="232">
        <v>79</v>
      </c>
      <c r="E123" s="232">
        <v>1975</v>
      </c>
      <c r="F123" s="288">
        <v>49.588</v>
      </c>
      <c r="G123" s="288">
        <v>8.18483</v>
      </c>
      <c r="H123" s="288"/>
      <c r="I123" s="348">
        <f t="shared" si="10"/>
        <v>41.40317</v>
      </c>
      <c r="J123" s="279">
        <v>1804.62</v>
      </c>
      <c r="K123" s="348">
        <f t="shared" si="11"/>
        <v>41.40317</v>
      </c>
      <c r="L123" s="356">
        <f t="shared" si="12"/>
        <v>1804.62</v>
      </c>
      <c r="M123" s="290">
        <f t="shared" si="13"/>
        <v>0.022942874400150727</v>
      </c>
      <c r="N123" s="285">
        <v>281.002</v>
      </c>
      <c r="O123" s="289">
        <f t="shared" si="14"/>
        <v>6.446993592191155</v>
      </c>
      <c r="P123" s="285">
        <f t="shared" si="15"/>
        <v>1376.5724640090436</v>
      </c>
      <c r="Q123" s="291">
        <f t="shared" si="16"/>
        <v>386.8196155314693</v>
      </c>
      <c r="S123" s="87"/>
      <c r="T123" s="87"/>
    </row>
    <row r="124" spans="1:20" ht="12.75" customHeight="1">
      <c r="A124" s="990"/>
      <c r="B124" s="283">
        <v>5</v>
      </c>
      <c r="C124" s="272" t="s">
        <v>984</v>
      </c>
      <c r="D124" s="232">
        <v>40</v>
      </c>
      <c r="E124" s="232">
        <v>1980</v>
      </c>
      <c r="F124" s="288">
        <v>62.1</v>
      </c>
      <c r="G124" s="288">
        <v>4.52991</v>
      </c>
      <c r="H124" s="288">
        <v>4</v>
      </c>
      <c r="I124" s="348">
        <f t="shared" si="10"/>
        <v>53.57009</v>
      </c>
      <c r="J124" s="279">
        <v>2283.03</v>
      </c>
      <c r="K124" s="348">
        <f t="shared" si="11"/>
        <v>53.57009</v>
      </c>
      <c r="L124" s="356">
        <f t="shared" si="12"/>
        <v>2283.03</v>
      </c>
      <c r="M124" s="290">
        <f t="shared" si="13"/>
        <v>0.023464470462499398</v>
      </c>
      <c r="N124" s="285">
        <v>281.002</v>
      </c>
      <c r="O124" s="289">
        <f t="shared" si="14"/>
        <v>6.593563128903256</v>
      </c>
      <c r="P124" s="285">
        <f t="shared" si="15"/>
        <v>1407.8682277499638</v>
      </c>
      <c r="Q124" s="291">
        <f t="shared" si="16"/>
        <v>395.61378773419534</v>
      </c>
      <c r="S124" s="87"/>
      <c r="T124" s="87"/>
    </row>
    <row r="125" spans="1:20" ht="12.75" customHeight="1">
      <c r="A125" s="990"/>
      <c r="B125" s="283">
        <v>6</v>
      </c>
      <c r="C125" s="272" t="s">
        <v>985</v>
      </c>
      <c r="D125" s="232">
        <v>59</v>
      </c>
      <c r="E125" s="232">
        <v>1987</v>
      </c>
      <c r="F125" s="288">
        <v>66.91555</v>
      </c>
      <c r="G125" s="288">
        <v>5.11065</v>
      </c>
      <c r="H125" s="288">
        <v>5.9</v>
      </c>
      <c r="I125" s="348">
        <f t="shared" si="10"/>
        <v>55.9049</v>
      </c>
      <c r="J125" s="279">
        <v>2335.48</v>
      </c>
      <c r="K125" s="348">
        <f t="shared" si="11"/>
        <v>55.9049</v>
      </c>
      <c r="L125" s="356">
        <f t="shared" si="12"/>
        <v>2335.48</v>
      </c>
      <c r="M125" s="290">
        <f t="shared" si="13"/>
        <v>0.02393722061417781</v>
      </c>
      <c r="N125" s="285">
        <v>281.002</v>
      </c>
      <c r="O125" s="289">
        <f t="shared" si="14"/>
        <v>6.726406867025194</v>
      </c>
      <c r="P125" s="285">
        <f t="shared" si="15"/>
        <v>1436.2332368506686</v>
      </c>
      <c r="Q125" s="291">
        <f t="shared" si="16"/>
        <v>403.5844120215116</v>
      </c>
      <c r="S125" s="87"/>
      <c r="T125" s="87"/>
    </row>
    <row r="126" spans="1:20" ht="13.5" customHeight="1">
      <c r="A126" s="990"/>
      <c r="B126" s="283">
        <v>7</v>
      </c>
      <c r="C126" s="272" t="s">
        <v>986</v>
      </c>
      <c r="D126" s="232">
        <v>40</v>
      </c>
      <c r="E126" s="232">
        <v>1959</v>
      </c>
      <c r="F126" s="288">
        <v>45.9735</v>
      </c>
      <c r="G126" s="288">
        <v>5.4035</v>
      </c>
      <c r="H126" s="288">
        <v>4</v>
      </c>
      <c r="I126" s="348">
        <f t="shared" si="10"/>
        <v>36.57</v>
      </c>
      <c r="J126" s="279">
        <v>1518.38</v>
      </c>
      <c r="K126" s="348">
        <f t="shared" si="11"/>
        <v>36.57</v>
      </c>
      <c r="L126" s="356">
        <f t="shared" si="12"/>
        <v>1518.38</v>
      </c>
      <c r="M126" s="290">
        <f t="shared" si="13"/>
        <v>0.024084879937828475</v>
      </c>
      <c r="N126" s="285">
        <v>281.002</v>
      </c>
      <c r="O126" s="289">
        <f t="shared" si="14"/>
        <v>6.767899432289677</v>
      </c>
      <c r="P126" s="285">
        <f t="shared" si="15"/>
        <v>1445.0927962697085</v>
      </c>
      <c r="Q126" s="291">
        <f t="shared" si="16"/>
        <v>406.07396593738065</v>
      </c>
      <c r="S126" s="87"/>
      <c r="T126" s="87"/>
    </row>
    <row r="127" spans="1:20" ht="12.75" customHeight="1">
      <c r="A127" s="990"/>
      <c r="B127" s="319">
        <v>8</v>
      </c>
      <c r="C127" s="272" t="s">
        <v>987</v>
      </c>
      <c r="D127" s="232">
        <v>17</v>
      </c>
      <c r="E127" s="232">
        <v>1953</v>
      </c>
      <c r="F127" s="288">
        <v>30.72555</v>
      </c>
      <c r="G127" s="288">
        <v>4.36981</v>
      </c>
      <c r="H127" s="288">
        <v>0.16</v>
      </c>
      <c r="I127" s="348">
        <f t="shared" si="10"/>
        <v>26.195739999999997</v>
      </c>
      <c r="J127" s="279">
        <v>1052.22</v>
      </c>
      <c r="K127" s="348">
        <f t="shared" si="11"/>
        <v>26.195739999999997</v>
      </c>
      <c r="L127" s="356">
        <f t="shared" si="12"/>
        <v>1052.22</v>
      </c>
      <c r="M127" s="290">
        <f t="shared" si="13"/>
        <v>0.024895687213700553</v>
      </c>
      <c r="N127" s="285">
        <v>281.002</v>
      </c>
      <c r="O127" s="289">
        <f t="shared" si="14"/>
        <v>6.9957378984242835</v>
      </c>
      <c r="P127" s="285">
        <f t="shared" si="15"/>
        <v>1493.7412328220332</v>
      </c>
      <c r="Q127" s="291">
        <f t="shared" si="16"/>
        <v>419.744273905457</v>
      </c>
      <c r="S127" s="87"/>
      <c r="T127" s="87"/>
    </row>
    <row r="128" spans="1:20" ht="12.75" customHeight="1">
      <c r="A128" s="990"/>
      <c r="B128" s="283">
        <v>9</v>
      </c>
      <c r="C128" s="272" t="s">
        <v>988</v>
      </c>
      <c r="D128" s="232">
        <v>15</v>
      </c>
      <c r="E128" s="232">
        <v>1924</v>
      </c>
      <c r="F128" s="288">
        <v>21.8</v>
      </c>
      <c r="G128" s="288">
        <v>2.21131</v>
      </c>
      <c r="H128" s="288">
        <v>1.47</v>
      </c>
      <c r="I128" s="348">
        <f t="shared" si="10"/>
        <v>18.11869</v>
      </c>
      <c r="J128" s="279">
        <v>723.21</v>
      </c>
      <c r="K128" s="348">
        <f t="shared" si="11"/>
        <v>18.11869</v>
      </c>
      <c r="L128" s="356">
        <f t="shared" si="12"/>
        <v>723.21</v>
      </c>
      <c r="M128" s="290">
        <f t="shared" si="13"/>
        <v>0.02505315191991261</v>
      </c>
      <c r="N128" s="285">
        <v>281.002</v>
      </c>
      <c r="O128" s="289">
        <f t="shared" si="14"/>
        <v>7.039985795799284</v>
      </c>
      <c r="P128" s="285">
        <f t="shared" si="15"/>
        <v>1503.1891151947568</v>
      </c>
      <c r="Q128" s="291">
        <f t="shared" si="16"/>
        <v>422.3991477479571</v>
      </c>
      <c r="S128" s="87"/>
      <c r="T128" s="87"/>
    </row>
    <row r="129" spans="1:20" ht="12.75" customHeight="1" thickBot="1">
      <c r="A129" s="991"/>
      <c r="B129" s="284">
        <v>10</v>
      </c>
      <c r="C129" s="301" t="s">
        <v>989</v>
      </c>
      <c r="D129" s="245">
        <v>69</v>
      </c>
      <c r="E129" s="245">
        <v>1987</v>
      </c>
      <c r="F129" s="428">
        <v>90.10849</v>
      </c>
      <c r="G129" s="428">
        <v>8.451</v>
      </c>
      <c r="H129" s="428">
        <v>6.84</v>
      </c>
      <c r="I129" s="348">
        <f t="shared" si="10"/>
        <v>74.81748999999999</v>
      </c>
      <c r="J129" s="435">
        <v>2879</v>
      </c>
      <c r="K129" s="566">
        <f t="shared" si="11"/>
        <v>74.81748999999999</v>
      </c>
      <c r="L129" s="714">
        <f t="shared" si="12"/>
        <v>2879</v>
      </c>
      <c r="M129" s="446">
        <f t="shared" si="13"/>
        <v>0.025987318513372697</v>
      </c>
      <c r="N129" s="564">
        <v>281.002</v>
      </c>
      <c r="O129" s="447">
        <f t="shared" si="14"/>
        <v>7.302488476894755</v>
      </c>
      <c r="P129" s="447">
        <f t="shared" si="15"/>
        <v>1559.2391108023617</v>
      </c>
      <c r="Q129" s="448">
        <f t="shared" si="16"/>
        <v>438.14930861368526</v>
      </c>
      <c r="S129" s="87"/>
      <c r="T129" s="87"/>
    </row>
    <row r="130" spans="1:20" ht="12.75">
      <c r="A130" s="1008" t="s">
        <v>52</v>
      </c>
      <c r="B130" s="320">
        <v>1</v>
      </c>
      <c r="C130" s="238" t="s">
        <v>990</v>
      </c>
      <c r="D130" s="39">
        <v>77</v>
      </c>
      <c r="E130" s="39">
        <v>1994</v>
      </c>
      <c r="F130" s="429">
        <v>132.68661</v>
      </c>
      <c r="G130" s="429">
        <v>18.30962</v>
      </c>
      <c r="H130" s="429">
        <v>7.7</v>
      </c>
      <c r="I130" s="429">
        <f t="shared" si="10"/>
        <v>106.67699</v>
      </c>
      <c r="J130" s="360">
        <v>4078.47</v>
      </c>
      <c r="K130" s="429">
        <f t="shared" si="11"/>
        <v>106.67699</v>
      </c>
      <c r="L130" s="360">
        <f t="shared" si="12"/>
        <v>4078.47</v>
      </c>
      <c r="M130" s="449">
        <f t="shared" si="13"/>
        <v>0.026156129627041516</v>
      </c>
      <c r="N130" s="450">
        <v>281.002</v>
      </c>
      <c r="O130" s="450">
        <f t="shared" si="14"/>
        <v>7.34992473745792</v>
      </c>
      <c r="P130" s="450">
        <f t="shared" si="15"/>
        <v>1569.367777622491</v>
      </c>
      <c r="Q130" s="451">
        <f t="shared" si="16"/>
        <v>440.9954842474753</v>
      </c>
      <c r="S130" s="87"/>
      <c r="T130" s="87"/>
    </row>
    <row r="131" spans="1:20" ht="12.75" customHeight="1">
      <c r="A131" s="1008"/>
      <c r="B131" s="40">
        <v>2</v>
      </c>
      <c r="C131" s="49" t="s">
        <v>991</v>
      </c>
      <c r="D131" s="41">
        <v>60</v>
      </c>
      <c r="E131" s="41">
        <v>1965</v>
      </c>
      <c r="F131" s="185">
        <v>71.52147</v>
      </c>
      <c r="G131" s="185">
        <v>7.39875</v>
      </c>
      <c r="H131" s="185">
        <v>0.6</v>
      </c>
      <c r="I131" s="217">
        <f t="shared" si="10"/>
        <v>63.522719999999985</v>
      </c>
      <c r="J131" s="317">
        <v>2391.72</v>
      </c>
      <c r="K131" s="217">
        <f t="shared" si="11"/>
        <v>63.522719999999985</v>
      </c>
      <c r="L131" s="357">
        <f t="shared" si="12"/>
        <v>2391.72</v>
      </c>
      <c r="M131" s="227">
        <f t="shared" si="13"/>
        <v>0.02655943003361597</v>
      </c>
      <c r="N131" s="177">
        <v>281.002</v>
      </c>
      <c r="O131" s="310">
        <f t="shared" si="14"/>
        <v>7.463252958306155</v>
      </c>
      <c r="P131" s="177">
        <f t="shared" si="15"/>
        <v>1593.565802016958</v>
      </c>
      <c r="Q131" s="311">
        <f t="shared" si="16"/>
        <v>447.79517749836924</v>
      </c>
      <c r="S131" s="87"/>
      <c r="T131" s="87"/>
    </row>
    <row r="132" spans="1:20" ht="12.75" customHeight="1">
      <c r="A132" s="1008"/>
      <c r="B132" s="40">
        <v>3</v>
      </c>
      <c r="C132" s="49" t="s">
        <v>992</v>
      </c>
      <c r="D132" s="41">
        <v>32</v>
      </c>
      <c r="E132" s="41">
        <v>1962</v>
      </c>
      <c r="F132" s="185">
        <v>36.77939</v>
      </c>
      <c r="G132" s="185">
        <v>3.40279</v>
      </c>
      <c r="H132" s="185">
        <v>0.32</v>
      </c>
      <c r="I132" s="217">
        <f t="shared" si="10"/>
        <v>33.056599999999996</v>
      </c>
      <c r="J132" s="317">
        <v>1223.24</v>
      </c>
      <c r="K132" s="217">
        <f t="shared" si="11"/>
        <v>33.056599999999996</v>
      </c>
      <c r="L132" s="357">
        <f t="shared" si="12"/>
        <v>1223.24</v>
      </c>
      <c r="M132" s="227">
        <f t="shared" si="13"/>
        <v>0.027023805630947317</v>
      </c>
      <c r="N132" s="177">
        <v>281.002</v>
      </c>
      <c r="O132" s="310">
        <f t="shared" si="14"/>
        <v>7.593743429907458</v>
      </c>
      <c r="P132" s="177">
        <f t="shared" si="15"/>
        <v>1621.428337856839</v>
      </c>
      <c r="Q132" s="311">
        <f t="shared" si="16"/>
        <v>455.6246057944475</v>
      </c>
      <c r="S132" s="87"/>
      <c r="T132" s="87"/>
    </row>
    <row r="133" spans="1:20" ht="12.75" customHeight="1">
      <c r="A133" s="1008"/>
      <c r="B133" s="40">
        <v>4</v>
      </c>
      <c r="C133" s="49" t="s">
        <v>993</v>
      </c>
      <c r="D133" s="41">
        <v>32</v>
      </c>
      <c r="E133" s="41">
        <v>1960</v>
      </c>
      <c r="F133" s="185">
        <v>42.88714</v>
      </c>
      <c r="G133" s="185">
        <v>5.07705</v>
      </c>
      <c r="H133" s="185">
        <v>3.2</v>
      </c>
      <c r="I133" s="217">
        <f t="shared" si="10"/>
        <v>34.61009</v>
      </c>
      <c r="J133" s="317">
        <v>1234.69</v>
      </c>
      <c r="K133" s="217">
        <f t="shared" si="11"/>
        <v>34.61009</v>
      </c>
      <c r="L133" s="357">
        <f t="shared" si="12"/>
        <v>1234.69</v>
      </c>
      <c r="M133" s="227">
        <f t="shared" si="13"/>
        <v>0.028031400594481205</v>
      </c>
      <c r="N133" s="177">
        <v>281.002</v>
      </c>
      <c r="O133" s="310">
        <f t="shared" si="14"/>
        <v>7.876879629850408</v>
      </c>
      <c r="P133" s="177">
        <f t="shared" si="15"/>
        <v>1681.8840356688722</v>
      </c>
      <c r="Q133" s="311">
        <f t="shared" si="16"/>
        <v>472.6127777910245</v>
      </c>
      <c r="S133" s="87"/>
      <c r="T133" s="87"/>
    </row>
    <row r="134" spans="1:20" ht="12.75" customHeight="1">
      <c r="A134" s="1008"/>
      <c r="B134" s="40">
        <v>5</v>
      </c>
      <c r="C134" s="49" t="s">
        <v>994</v>
      </c>
      <c r="D134" s="41">
        <v>48</v>
      </c>
      <c r="E134" s="41">
        <v>1980</v>
      </c>
      <c r="F134" s="185">
        <v>59.31795</v>
      </c>
      <c r="G134" s="185">
        <v>3.71174</v>
      </c>
      <c r="H134" s="185">
        <v>0.48</v>
      </c>
      <c r="I134" s="217">
        <f t="shared" si="10"/>
        <v>55.12621000000001</v>
      </c>
      <c r="J134" s="317">
        <v>1934.94</v>
      </c>
      <c r="K134" s="217">
        <f t="shared" si="11"/>
        <v>55.12621000000001</v>
      </c>
      <c r="L134" s="357">
        <f t="shared" si="12"/>
        <v>1934.94</v>
      </c>
      <c r="M134" s="227">
        <f t="shared" si="13"/>
        <v>0.028489880823177983</v>
      </c>
      <c r="N134" s="177">
        <v>281.002</v>
      </c>
      <c r="O134" s="310">
        <f t="shared" si="14"/>
        <v>8.00571349107466</v>
      </c>
      <c r="P134" s="177">
        <f t="shared" si="15"/>
        <v>1709.392849390679</v>
      </c>
      <c r="Q134" s="311">
        <f t="shared" si="16"/>
        <v>480.34280946447956</v>
      </c>
      <c r="S134" s="87"/>
      <c r="T134" s="87"/>
    </row>
    <row r="135" spans="1:20" ht="12.75" customHeight="1">
      <c r="A135" s="1008"/>
      <c r="B135" s="40">
        <v>6</v>
      </c>
      <c r="C135" s="49" t="s">
        <v>547</v>
      </c>
      <c r="D135" s="41">
        <v>78</v>
      </c>
      <c r="E135" s="41">
        <v>1976</v>
      </c>
      <c r="F135" s="185">
        <v>45.05209</v>
      </c>
      <c r="G135" s="185">
        <v>5.11114</v>
      </c>
      <c r="H135" s="185">
        <v>0.78</v>
      </c>
      <c r="I135" s="217">
        <f t="shared" si="10"/>
        <v>39.16095</v>
      </c>
      <c r="J135" s="317">
        <v>1335.89</v>
      </c>
      <c r="K135" s="217">
        <f t="shared" si="11"/>
        <v>39.16095</v>
      </c>
      <c r="L135" s="357">
        <f t="shared" si="12"/>
        <v>1335.89</v>
      </c>
      <c r="M135" s="227">
        <f t="shared" si="13"/>
        <v>0.029314501942525207</v>
      </c>
      <c r="N135" s="177">
        <v>281.002</v>
      </c>
      <c r="O135" s="310">
        <f t="shared" si="14"/>
        <v>8.237433674853468</v>
      </c>
      <c r="P135" s="177">
        <f t="shared" si="15"/>
        <v>1758.8701165515124</v>
      </c>
      <c r="Q135" s="311">
        <f t="shared" si="16"/>
        <v>494.2460204912081</v>
      </c>
      <c r="S135" s="87"/>
      <c r="T135" s="87"/>
    </row>
    <row r="136" spans="1:20" ht="12.75" customHeight="1">
      <c r="A136" s="1008"/>
      <c r="B136" s="40">
        <v>7</v>
      </c>
      <c r="C136" s="49" t="s">
        <v>995</v>
      </c>
      <c r="D136" s="41">
        <v>10</v>
      </c>
      <c r="E136" s="41">
        <v>1930</v>
      </c>
      <c r="F136" s="185">
        <v>14.25262</v>
      </c>
      <c r="G136" s="185">
        <v>1.24</v>
      </c>
      <c r="H136" s="185"/>
      <c r="I136" s="217">
        <f t="shared" si="10"/>
        <v>13.01262</v>
      </c>
      <c r="J136" s="317">
        <v>426</v>
      </c>
      <c r="K136" s="217">
        <f t="shared" si="11"/>
        <v>13.01262</v>
      </c>
      <c r="L136" s="357">
        <f t="shared" si="12"/>
        <v>426</v>
      </c>
      <c r="M136" s="227">
        <f t="shared" si="13"/>
        <v>0.03054605633802817</v>
      </c>
      <c r="N136" s="177">
        <v>281.002</v>
      </c>
      <c r="O136" s="310">
        <f t="shared" si="14"/>
        <v>8.583502923098592</v>
      </c>
      <c r="P136" s="177">
        <f t="shared" si="15"/>
        <v>1832.7633802816904</v>
      </c>
      <c r="Q136" s="311">
        <f t="shared" si="16"/>
        <v>515.0101753859155</v>
      </c>
      <c r="S136" s="87"/>
      <c r="T136" s="87"/>
    </row>
    <row r="137" spans="1:20" ht="13.5" customHeight="1">
      <c r="A137" s="1008"/>
      <c r="B137" s="321">
        <v>8</v>
      </c>
      <c r="C137" s="49" t="s">
        <v>996</v>
      </c>
      <c r="D137" s="41">
        <v>14</v>
      </c>
      <c r="E137" s="41">
        <v>1984</v>
      </c>
      <c r="F137" s="185">
        <v>26.95</v>
      </c>
      <c r="G137" s="185">
        <v>1.59743</v>
      </c>
      <c r="H137" s="185">
        <v>1.4</v>
      </c>
      <c r="I137" s="217">
        <f t="shared" si="10"/>
        <v>23.95257</v>
      </c>
      <c r="J137" s="317">
        <v>777.17</v>
      </c>
      <c r="K137" s="217">
        <f t="shared" si="11"/>
        <v>23.95257</v>
      </c>
      <c r="L137" s="357">
        <f t="shared" si="12"/>
        <v>777.17</v>
      </c>
      <c r="M137" s="227">
        <f t="shared" si="13"/>
        <v>0.03082024524878727</v>
      </c>
      <c r="N137" s="177">
        <v>281.002</v>
      </c>
      <c r="O137" s="310">
        <f t="shared" si="14"/>
        <v>8.660550555399722</v>
      </c>
      <c r="P137" s="177">
        <f t="shared" si="15"/>
        <v>1849.2147149272362</v>
      </c>
      <c r="Q137" s="311">
        <f t="shared" si="16"/>
        <v>519.6330333239832</v>
      </c>
      <c r="S137" s="87"/>
      <c r="T137" s="87"/>
    </row>
    <row r="138" spans="1:20" ht="12.75" customHeight="1">
      <c r="A138" s="1008"/>
      <c r="B138" s="40">
        <v>9</v>
      </c>
      <c r="C138" s="850" t="s">
        <v>997</v>
      </c>
      <c r="D138" s="41">
        <v>32</v>
      </c>
      <c r="E138" s="41">
        <v>1961</v>
      </c>
      <c r="F138" s="185">
        <v>41.99</v>
      </c>
      <c r="G138" s="185">
        <v>3.0831</v>
      </c>
      <c r="H138" s="185">
        <v>0.32</v>
      </c>
      <c r="I138" s="217">
        <f t="shared" si="10"/>
        <v>38.5869</v>
      </c>
      <c r="J138" s="317">
        <v>1225.88</v>
      </c>
      <c r="K138" s="217">
        <f t="shared" si="11"/>
        <v>38.5869</v>
      </c>
      <c r="L138" s="357">
        <f t="shared" si="12"/>
        <v>1225.88</v>
      </c>
      <c r="M138" s="227">
        <f t="shared" si="13"/>
        <v>0.03147689822821157</v>
      </c>
      <c r="N138" s="177">
        <v>281.002</v>
      </c>
      <c r="O138" s="310">
        <f t="shared" si="14"/>
        <v>8.845071355923908</v>
      </c>
      <c r="P138" s="177">
        <f t="shared" si="15"/>
        <v>1888.613893692694</v>
      </c>
      <c r="Q138" s="311">
        <f t="shared" si="16"/>
        <v>530.7042813554344</v>
      </c>
      <c r="S138" s="87"/>
      <c r="T138" s="87"/>
    </row>
    <row r="139" spans="1:20" ht="12.75" customHeight="1" thickBot="1">
      <c r="A139" s="1009"/>
      <c r="B139" s="130">
        <v>10</v>
      </c>
      <c r="C139" s="851" t="s">
        <v>998</v>
      </c>
      <c r="D139" s="46">
        <v>60</v>
      </c>
      <c r="E139" s="46">
        <v>1988</v>
      </c>
      <c r="F139" s="228">
        <v>131.3</v>
      </c>
      <c r="G139" s="228">
        <v>8.83494</v>
      </c>
      <c r="H139" s="228">
        <v>6</v>
      </c>
      <c r="I139" s="530">
        <f t="shared" si="10"/>
        <v>116.46506000000001</v>
      </c>
      <c r="J139" s="358">
        <v>3117.35</v>
      </c>
      <c r="K139" s="530">
        <f t="shared" si="11"/>
        <v>116.46506000000001</v>
      </c>
      <c r="L139" s="575">
        <f t="shared" si="12"/>
        <v>3117.35</v>
      </c>
      <c r="M139" s="230">
        <f t="shared" si="13"/>
        <v>0.03736027715848397</v>
      </c>
      <c r="N139" s="522">
        <v>281.002</v>
      </c>
      <c r="O139" s="229">
        <f t="shared" si="14"/>
        <v>10.498312602088314</v>
      </c>
      <c r="P139" s="229">
        <f t="shared" si="15"/>
        <v>2241.6166295090384</v>
      </c>
      <c r="Q139" s="308">
        <f t="shared" si="16"/>
        <v>629.8987561252987</v>
      </c>
      <c r="S139" s="87"/>
      <c r="T139" s="87"/>
    </row>
    <row r="140" spans="19:20" ht="12.75">
      <c r="S140" s="87"/>
      <c r="T140" s="87"/>
    </row>
    <row r="141" spans="1:20" s="17" customFormat="1" ht="16.5" customHeight="1">
      <c r="A141" s="917" t="s">
        <v>125</v>
      </c>
      <c r="B141" s="917"/>
      <c r="C141" s="917"/>
      <c r="D141" s="917"/>
      <c r="E141" s="917"/>
      <c r="F141" s="917"/>
      <c r="G141" s="917"/>
      <c r="H141" s="917"/>
      <c r="I141" s="917"/>
      <c r="J141" s="917"/>
      <c r="K141" s="917"/>
      <c r="L141" s="917"/>
      <c r="M141" s="917"/>
      <c r="N141" s="917"/>
      <c r="O141" s="917"/>
      <c r="P141" s="917"/>
      <c r="Q141" s="917"/>
      <c r="S141" s="87"/>
      <c r="T141" s="87"/>
    </row>
    <row r="142" spans="1:20" s="17" customFormat="1" ht="14.25" customHeight="1" thickBot="1">
      <c r="A142" s="936" t="s">
        <v>556</v>
      </c>
      <c r="B142" s="936"/>
      <c r="C142" s="936"/>
      <c r="D142" s="936"/>
      <c r="E142" s="936"/>
      <c r="F142" s="936"/>
      <c r="G142" s="936"/>
      <c r="H142" s="936"/>
      <c r="I142" s="936"/>
      <c r="J142" s="936"/>
      <c r="K142" s="936"/>
      <c r="L142" s="936"/>
      <c r="M142" s="936"/>
      <c r="N142" s="936"/>
      <c r="O142" s="936"/>
      <c r="P142" s="936"/>
      <c r="Q142" s="936"/>
      <c r="S142" s="87"/>
      <c r="T142" s="87"/>
    </row>
    <row r="143" spans="1:20" ht="12.75" customHeight="1">
      <c r="A143" s="890" t="s">
        <v>1</v>
      </c>
      <c r="B143" s="892" t="s">
        <v>0</v>
      </c>
      <c r="C143" s="888" t="s">
        <v>2</v>
      </c>
      <c r="D143" s="888" t="s">
        <v>3</v>
      </c>
      <c r="E143" s="888" t="s">
        <v>13</v>
      </c>
      <c r="F143" s="896" t="s">
        <v>14</v>
      </c>
      <c r="G143" s="897"/>
      <c r="H143" s="897"/>
      <c r="I143" s="898"/>
      <c r="J143" s="888" t="s">
        <v>4</v>
      </c>
      <c r="K143" s="888" t="s">
        <v>15</v>
      </c>
      <c r="L143" s="888" t="s">
        <v>5</v>
      </c>
      <c r="M143" s="888" t="s">
        <v>6</v>
      </c>
      <c r="N143" s="888" t="s">
        <v>16</v>
      </c>
      <c r="O143" s="949" t="s">
        <v>17</v>
      </c>
      <c r="P143" s="888" t="s">
        <v>25</v>
      </c>
      <c r="Q143" s="878" t="s">
        <v>26</v>
      </c>
      <c r="S143" s="87"/>
      <c r="T143" s="87"/>
    </row>
    <row r="144" spans="1:20" s="2" customFormat="1" ht="33.75">
      <c r="A144" s="891"/>
      <c r="B144" s="893"/>
      <c r="C144" s="894"/>
      <c r="D144" s="889"/>
      <c r="E144" s="889"/>
      <c r="F144" s="36" t="s">
        <v>18</v>
      </c>
      <c r="G144" s="36" t="s">
        <v>19</v>
      </c>
      <c r="H144" s="36" t="s">
        <v>20</v>
      </c>
      <c r="I144" s="36" t="s">
        <v>21</v>
      </c>
      <c r="J144" s="889"/>
      <c r="K144" s="889"/>
      <c r="L144" s="889"/>
      <c r="M144" s="889"/>
      <c r="N144" s="889"/>
      <c r="O144" s="950"/>
      <c r="P144" s="889"/>
      <c r="Q144" s="879"/>
      <c r="S144" s="87"/>
      <c r="T144" s="87"/>
    </row>
    <row r="145" spans="1:20" s="3" customFormat="1" ht="13.5" customHeight="1" thickBot="1">
      <c r="A145" s="891"/>
      <c r="B145" s="893"/>
      <c r="C145" s="894"/>
      <c r="D145" s="10" t="s">
        <v>7</v>
      </c>
      <c r="E145" s="10" t="s">
        <v>8</v>
      </c>
      <c r="F145" s="10" t="s">
        <v>9</v>
      </c>
      <c r="G145" s="10" t="s">
        <v>9</v>
      </c>
      <c r="H145" s="10" t="s">
        <v>9</v>
      </c>
      <c r="I145" s="10" t="s">
        <v>9</v>
      </c>
      <c r="J145" s="10" t="s">
        <v>22</v>
      </c>
      <c r="K145" s="10" t="s">
        <v>9</v>
      </c>
      <c r="L145" s="10" t="s">
        <v>22</v>
      </c>
      <c r="M145" s="10" t="s">
        <v>23</v>
      </c>
      <c r="N145" s="10" t="s">
        <v>10</v>
      </c>
      <c r="O145" s="10" t="s">
        <v>24</v>
      </c>
      <c r="P145" s="37" t="s">
        <v>27</v>
      </c>
      <c r="Q145" s="11" t="s">
        <v>28</v>
      </c>
      <c r="S145" s="87"/>
      <c r="T145" s="87"/>
    </row>
    <row r="146" spans="1:20" ht="12.75">
      <c r="A146" s="927" t="s">
        <v>51</v>
      </c>
      <c r="B146" s="30">
        <v>1</v>
      </c>
      <c r="C146" s="773" t="s">
        <v>288</v>
      </c>
      <c r="D146" s="658">
        <v>45</v>
      </c>
      <c r="E146" s="659" t="s">
        <v>71</v>
      </c>
      <c r="F146" s="660">
        <v>33.02</v>
      </c>
      <c r="G146" s="660">
        <v>4.58</v>
      </c>
      <c r="H146" s="661">
        <v>7.2</v>
      </c>
      <c r="I146" s="660">
        <v>21.24</v>
      </c>
      <c r="J146" s="658">
        <v>2319.88</v>
      </c>
      <c r="K146" s="660">
        <v>21.24</v>
      </c>
      <c r="L146" s="658">
        <v>2319.88</v>
      </c>
      <c r="M146" s="662">
        <f aca="true" t="shared" si="17" ref="M146:M185">K146/L146</f>
        <v>0.009155645981688706</v>
      </c>
      <c r="N146" s="663">
        <v>249.3</v>
      </c>
      <c r="O146" s="663">
        <f aca="true" t="shared" si="18" ref="O146:O185">M146*N146</f>
        <v>2.282502543234995</v>
      </c>
      <c r="P146" s="663">
        <f aca="true" t="shared" si="19" ref="P146:P185">M146*60*1000</f>
        <v>549.3387589013223</v>
      </c>
      <c r="Q146" s="664">
        <f aca="true" t="shared" si="20" ref="Q146:Q185">P146*N146/1000</f>
        <v>136.95015259409968</v>
      </c>
      <c r="R146" s="6"/>
      <c r="S146" s="87"/>
      <c r="T146" s="87"/>
    </row>
    <row r="147" spans="1:20" ht="12.75">
      <c r="A147" s="928"/>
      <c r="B147" s="31">
        <v>2</v>
      </c>
      <c r="C147" s="774" t="s">
        <v>290</v>
      </c>
      <c r="D147" s="665">
        <v>40</v>
      </c>
      <c r="E147" s="666" t="s">
        <v>71</v>
      </c>
      <c r="F147" s="462">
        <v>36.71</v>
      </c>
      <c r="G147" s="462">
        <v>5.91</v>
      </c>
      <c r="H147" s="667">
        <v>6.4</v>
      </c>
      <c r="I147" s="462">
        <v>24.39</v>
      </c>
      <c r="J147" s="665">
        <v>2494.75</v>
      </c>
      <c r="K147" s="462">
        <v>24.39</v>
      </c>
      <c r="L147" s="665">
        <v>2494.75</v>
      </c>
      <c r="M147" s="668">
        <f t="shared" si="17"/>
        <v>0.00977653071450045</v>
      </c>
      <c r="N147" s="669">
        <v>249.3</v>
      </c>
      <c r="O147" s="669">
        <f t="shared" si="18"/>
        <v>2.4372891071249625</v>
      </c>
      <c r="P147" s="669">
        <f t="shared" si="19"/>
        <v>586.591842870027</v>
      </c>
      <c r="Q147" s="670">
        <f t="shared" si="20"/>
        <v>146.23734642749776</v>
      </c>
      <c r="S147" s="87"/>
      <c r="T147" s="87"/>
    </row>
    <row r="148" spans="1:20" ht="12.75">
      <c r="A148" s="928"/>
      <c r="B148" s="31">
        <v>3</v>
      </c>
      <c r="C148" s="774" t="s">
        <v>292</v>
      </c>
      <c r="D148" s="665">
        <v>45</v>
      </c>
      <c r="E148" s="666" t="s">
        <v>71</v>
      </c>
      <c r="F148" s="462">
        <v>35.26</v>
      </c>
      <c r="G148" s="462">
        <v>4.96</v>
      </c>
      <c r="H148" s="667">
        <v>7.2</v>
      </c>
      <c r="I148" s="462">
        <v>23.1</v>
      </c>
      <c r="J148" s="665">
        <v>2313.86</v>
      </c>
      <c r="K148" s="462">
        <v>23.1</v>
      </c>
      <c r="L148" s="665">
        <v>2313.86</v>
      </c>
      <c r="M148" s="668">
        <f t="shared" si="17"/>
        <v>0.009983317918975219</v>
      </c>
      <c r="N148" s="669">
        <v>249.3</v>
      </c>
      <c r="O148" s="669">
        <f t="shared" si="18"/>
        <v>2.4888411572005222</v>
      </c>
      <c r="P148" s="669">
        <f t="shared" si="19"/>
        <v>598.9990751385131</v>
      </c>
      <c r="Q148" s="670">
        <f t="shared" si="20"/>
        <v>149.33046943203132</v>
      </c>
      <c r="S148" s="87"/>
      <c r="T148" s="87"/>
    </row>
    <row r="149" spans="1:20" ht="12.75">
      <c r="A149" s="928"/>
      <c r="B149" s="31">
        <v>4</v>
      </c>
      <c r="C149" s="774" t="s">
        <v>293</v>
      </c>
      <c r="D149" s="665">
        <v>60</v>
      </c>
      <c r="E149" s="666" t="s">
        <v>71</v>
      </c>
      <c r="F149" s="462">
        <v>42.31</v>
      </c>
      <c r="G149" s="462">
        <v>5.04</v>
      </c>
      <c r="H149" s="667">
        <v>9.6</v>
      </c>
      <c r="I149" s="462">
        <v>27.67</v>
      </c>
      <c r="J149" s="665">
        <v>2723.9</v>
      </c>
      <c r="K149" s="462">
        <v>27.67</v>
      </c>
      <c r="L149" s="665">
        <v>2723.9</v>
      </c>
      <c r="M149" s="668">
        <f t="shared" si="17"/>
        <v>0.010158229009875546</v>
      </c>
      <c r="N149" s="669">
        <v>249.3</v>
      </c>
      <c r="O149" s="669">
        <f t="shared" si="18"/>
        <v>2.5324464921619736</v>
      </c>
      <c r="P149" s="669">
        <f t="shared" si="19"/>
        <v>609.4937405925328</v>
      </c>
      <c r="Q149" s="670">
        <f t="shared" si="20"/>
        <v>151.94678952971847</v>
      </c>
      <c r="S149" s="87"/>
      <c r="T149" s="87"/>
    </row>
    <row r="150" spans="1:20" ht="12.75">
      <c r="A150" s="928"/>
      <c r="B150" s="31">
        <v>5</v>
      </c>
      <c r="C150" s="774" t="s">
        <v>286</v>
      </c>
      <c r="D150" s="665">
        <v>78</v>
      </c>
      <c r="E150" s="666" t="s">
        <v>71</v>
      </c>
      <c r="F150" s="462">
        <v>60.6</v>
      </c>
      <c r="G150" s="462">
        <v>7.83</v>
      </c>
      <c r="H150" s="667">
        <v>12.48</v>
      </c>
      <c r="I150" s="462">
        <v>38.95</v>
      </c>
      <c r="J150" s="665" t="s">
        <v>287</v>
      </c>
      <c r="K150" s="462">
        <v>38.95</v>
      </c>
      <c r="L150" s="665">
        <v>3799.48</v>
      </c>
      <c r="M150" s="668">
        <f t="shared" si="17"/>
        <v>0.010251402823544276</v>
      </c>
      <c r="N150" s="669">
        <v>249.3</v>
      </c>
      <c r="O150" s="669">
        <f t="shared" si="18"/>
        <v>2.555674723909588</v>
      </c>
      <c r="P150" s="669">
        <f t="shared" si="19"/>
        <v>615.0841694126565</v>
      </c>
      <c r="Q150" s="670">
        <f t="shared" si="20"/>
        <v>153.34048343457525</v>
      </c>
      <c r="S150" s="87"/>
      <c r="T150" s="87"/>
    </row>
    <row r="151" spans="1:20" s="96" customFormat="1" ht="12.75" customHeight="1">
      <c r="A151" s="928"/>
      <c r="B151" s="95">
        <v>6</v>
      </c>
      <c r="C151" s="774" t="s">
        <v>285</v>
      </c>
      <c r="D151" s="665">
        <v>101</v>
      </c>
      <c r="E151" s="666" t="s">
        <v>71</v>
      </c>
      <c r="F151" s="462">
        <v>71.4</v>
      </c>
      <c r="G151" s="462">
        <v>9.27</v>
      </c>
      <c r="H151" s="667">
        <v>16</v>
      </c>
      <c r="I151" s="462">
        <v>46.13</v>
      </c>
      <c r="J151" s="665">
        <v>4440.62</v>
      </c>
      <c r="K151" s="462">
        <v>46.13</v>
      </c>
      <c r="L151" s="665">
        <v>4440.62</v>
      </c>
      <c r="M151" s="668">
        <f t="shared" si="17"/>
        <v>0.010388189036666051</v>
      </c>
      <c r="N151" s="669">
        <v>249.3</v>
      </c>
      <c r="O151" s="669">
        <f t="shared" si="18"/>
        <v>2.589775526840847</v>
      </c>
      <c r="P151" s="669">
        <f t="shared" si="19"/>
        <v>623.2913421999631</v>
      </c>
      <c r="Q151" s="670">
        <f t="shared" si="20"/>
        <v>155.3865316104508</v>
      </c>
      <c r="S151" s="87"/>
      <c r="T151" s="87"/>
    </row>
    <row r="152" spans="1:20" ht="12.75">
      <c r="A152" s="928"/>
      <c r="B152" s="31">
        <v>7</v>
      </c>
      <c r="C152" s="774" t="s">
        <v>289</v>
      </c>
      <c r="D152" s="665">
        <v>61</v>
      </c>
      <c r="E152" s="666" t="s">
        <v>71</v>
      </c>
      <c r="F152" s="462">
        <v>45.06</v>
      </c>
      <c r="G152" s="462">
        <v>5.55</v>
      </c>
      <c r="H152" s="667">
        <v>9.6</v>
      </c>
      <c r="I152" s="462">
        <v>29.91</v>
      </c>
      <c r="J152" s="665">
        <v>2733.85</v>
      </c>
      <c r="K152" s="462">
        <v>29.91</v>
      </c>
      <c r="L152" s="665">
        <v>2733.85</v>
      </c>
      <c r="M152" s="668">
        <f t="shared" si="17"/>
        <v>0.01094061488377197</v>
      </c>
      <c r="N152" s="669">
        <v>249.3</v>
      </c>
      <c r="O152" s="669">
        <f t="shared" si="18"/>
        <v>2.7274952905243524</v>
      </c>
      <c r="P152" s="669">
        <f t="shared" si="19"/>
        <v>656.4368930263182</v>
      </c>
      <c r="Q152" s="670">
        <f t="shared" si="20"/>
        <v>163.64971743146114</v>
      </c>
      <c r="S152" s="87"/>
      <c r="T152" s="87"/>
    </row>
    <row r="153" spans="1:20" s="96" customFormat="1" ht="12.75">
      <c r="A153" s="928"/>
      <c r="B153" s="95">
        <v>8</v>
      </c>
      <c r="C153" s="774" t="s">
        <v>294</v>
      </c>
      <c r="D153" s="665">
        <v>103</v>
      </c>
      <c r="E153" s="666" t="s">
        <v>71</v>
      </c>
      <c r="F153" s="462">
        <v>75.13</v>
      </c>
      <c r="G153" s="462">
        <v>8.45</v>
      </c>
      <c r="H153" s="667">
        <v>16</v>
      </c>
      <c r="I153" s="462">
        <v>50.12</v>
      </c>
      <c r="J153" s="665">
        <v>4437.08</v>
      </c>
      <c r="K153" s="462">
        <v>50.12</v>
      </c>
      <c r="L153" s="665">
        <v>4437.08</v>
      </c>
      <c r="M153" s="668">
        <f t="shared" si="17"/>
        <v>0.011295717003074093</v>
      </c>
      <c r="N153" s="669">
        <v>249.3</v>
      </c>
      <c r="O153" s="669">
        <f t="shared" si="18"/>
        <v>2.8160222488663718</v>
      </c>
      <c r="P153" s="669">
        <f t="shared" si="19"/>
        <v>677.7430201844456</v>
      </c>
      <c r="Q153" s="670">
        <f t="shared" si="20"/>
        <v>168.9613349319823</v>
      </c>
      <c r="S153" s="87"/>
      <c r="T153" s="87"/>
    </row>
    <row r="154" spans="1:20" s="96" customFormat="1" ht="12.75">
      <c r="A154" s="928"/>
      <c r="B154" s="95">
        <v>9</v>
      </c>
      <c r="C154" s="775" t="s">
        <v>408</v>
      </c>
      <c r="D154" s="671">
        <v>20</v>
      </c>
      <c r="E154" s="672" t="s">
        <v>409</v>
      </c>
      <c r="F154" s="462">
        <v>20.2</v>
      </c>
      <c r="G154" s="462">
        <v>2.75</v>
      </c>
      <c r="H154" s="667">
        <v>3.2</v>
      </c>
      <c r="I154" s="462">
        <v>14.25</v>
      </c>
      <c r="J154" s="673">
        <v>1189.16</v>
      </c>
      <c r="K154" s="462">
        <v>14.25</v>
      </c>
      <c r="L154" s="673">
        <v>1189.16</v>
      </c>
      <c r="M154" s="668">
        <f t="shared" si="17"/>
        <v>0.01198324867974032</v>
      </c>
      <c r="N154" s="669">
        <v>249.3</v>
      </c>
      <c r="O154" s="669">
        <f t="shared" si="18"/>
        <v>2.987423895859262</v>
      </c>
      <c r="P154" s="669">
        <f t="shared" si="19"/>
        <v>718.9949207844192</v>
      </c>
      <c r="Q154" s="670">
        <f t="shared" si="20"/>
        <v>179.2454337515557</v>
      </c>
      <c r="S154" s="87"/>
      <c r="T154" s="87"/>
    </row>
    <row r="155" spans="1:20" s="96" customFormat="1" ht="12.75" customHeight="1" thickBot="1">
      <c r="A155" s="929"/>
      <c r="B155" s="99">
        <v>10</v>
      </c>
      <c r="C155" s="776" t="s">
        <v>413</v>
      </c>
      <c r="D155" s="674">
        <v>119</v>
      </c>
      <c r="E155" s="675" t="s">
        <v>71</v>
      </c>
      <c r="F155" s="676">
        <v>108.8</v>
      </c>
      <c r="G155" s="676">
        <v>16.43</v>
      </c>
      <c r="H155" s="677">
        <v>19.04</v>
      </c>
      <c r="I155" s="676">
        <v>73.33</v>
      </c>
      <c r="J155" s="678">
        <v>5726.62</v>
      </c>
      <c r="K155" s="676">
        <v>73.33</v>
      </c>
      <c r="L155" s="678">
        <v>5726.62</v>
      </c>
      <c r="M155" s="679">
        <f t="shared" si="17"/>
        <v>0.012805110169698704</v>
      </c>
      <c r="N155" s="680">
        <v>249.3</v>
      </c>
      <c r="O155" s="680">
        <f t="shared" si="18"/>
        <v>3.192313965305887</v>
      </c>
      <c r="P155" s="680">
        <f t="shared" si="19"/>
        <v>768.3066101819222</v>
      </c>
      <c r="Q155" s="681">
        <f t="shared" si="20"/>
        <v>191.5388379183532</v>
      </c>
      <c r="S155" s="87"/>
      <c r="T155" s="87"/>
    </row>
    <row r="156" spans="1:20" ht="12.75">
      <c r="A156" s="930" t="s">
        <v>29</v>
      </c>
      <c r="B156" s="33">
        <v>1</v>
      </c>
      <c r="C156" s="777" t="s">
        <v>411</v>
      </c>
      <c r="D156" s="683">
        <v>99</v>
      </c>
      <c r="E156" s="684" t="s">
        <v>71</v>
      </c>
      <c r="F156" s="685">
        <v>83.65</v>
      </c>
      <c r="G156" s="685">
        <v>10.13</v>
      </c>
      <c r="H156" s="686">
        <v>15.84</v>
      </c>
      <c r="I156" s="685">
        <v>57.6</v>
      </c>
      <c r="J156" s="687">
        <v>4437.03</v>
      </c>
      <c r="K156" s="685">
        <v>56.85</v>
      </c>
      <c r="L156" s="688">
        <v>4388.03</v>
      </c>
      <c r="M156" s="689">
        <f t="shared" si="17"/>
        <v>0.01295569993824108</v>
      </c>
      <c r="N156" s="690">
        <v>249.3</v>
      </c>
      <c r="O156" s="690">
        <f t="shared" si="18"/>
        <v>3.2298559946035015</v>
      </c>
      <c r="P156" s="690">
        <f t="shared" si="19"/>
        <v>777.3419962944648</v>
      </c>
      <c r="Q156" s="691">
        <f t="shared" si="20"/>
        <v>193.7913596762101</v>
      </c>
      <c r="S156" s="87"/>
      <c r="T156" s="87"/>
    </row>
    <row r="157" spans="1:20" ht="12.75">
      <c r="A157" s="931"/>
      <c r="B157" s="35">
        <v>2</v>
      </c>
      <c r="C157" s="778" t="s">
        <v>291</v>
      </c>
      <c r="D157" s="692">
        <v>45</v>
      </c>
      <c r="E157" s="693" t="s">
        <v>71</v>
      </c>
      <c r="F157" s="464">
        <v>43.49</v>
      </c>
      <c r="G157" s="464">
        <v>4.78</v>
      </c>
      <c r="H157" s="694">
        <v>7.2</v>
      </c>
      <c r="I157" s="464">
        <v>31.51</v>
      </c>
      <c r="J157" s="692">
        <v>2333.03</v>
      </c>
      <c r="K157" s="464">
        <v>31.51</v>
      </c>
      <c r="L157" s="692">
        <v>2333.03</v>
      </c>
      <c r="M157" s="695">
        <f t="shared" si="17"/>
        <v>0.013506041499680672</v>
      </c>
      <c r="N157" s="696">
        <v>249.3</v>
      </c>
      <c r="O157" s="696">
        <f t="shared" si="18"/>
        <v>3.3670561458703916</v>
      </c>
      <c r="P157" s="696">
        <f t="shared" si="19"/>
        <v>810.3624899808402</v>
      </c>
      <c r="Q157" s="697">
        <f t="shared" si="20"/>
        <v>202.02336875222346</v>
      </c>
      <c r="S157" s="87"/>
      <c r="T157" s="87"/>
    </row>
    <row r="158" spans="1:20" ht="12.75">
      <c r="A158" s="931"/>
      <c r="B158" s="35">
        <v>3</v>
      </c>
      <c r="C158" s="779" t="s">
        <v>415</v>
      </c>
      <c r="D158" s="698">
        <v>119</v>
      </c>
      <c r="E158" s="699" t="s">
        <v>71</v>
      </c>
      <c r="F158" s="464">
        <v>110.55</v>
      </c>
      <c r="G158" s="464">
        <v>11.99</v>
      </c>
      <c r="H158" s="694">
        <v>19.04</v>
      </c>
      <c r="I158" s="464">
        <v>79.52</v>
      </c>
      <c r="J158" s="700">
        <v>5732.68</v>
      </c>
      <c r="K158" s="464">
        <v>79.52</v>
      </c>
      <c r="L158" s="700">
        <v>5732.68</v>
      </c>
      <c r="M158" s="695">
        <f t="shared" si="17"/>
        <v>0.013871348130368343</v>
      </c>
      <c r="N158" s="696">
        <v>249.3</v>
      </c>
      <c r="O158" s="696">
        <f t="shared" si="18"/>
        <v>3.458127088900828</v>
      </c>
      <c r="P158" s="696">
        <f t="shared" si="19"/>
        <v>832.2808878221007</v>
      </c>
      <c r="Q158" s="697">
        <f t="shared" si="20"/>
        <v>207.4876253340497</v>
      </c>
      <c r="S158" s="87"/>
      <c r="T158" s="87"/>
    </row>
    <row r="159" spans="1:20" ht="12.75">
      <c r="A159" s="931"/>
      <c r="B159" s="35">
        <v>4</v>
      </c>
      <c r="C159" s="778" t="s">
        <v>147</v>
      </c>
      <c r="D159" s="692">
        <v>88</v>
      </c>
      <c r="E159" s="693">
        <v>2007</v>
      </c>
      <c r="F159" s="464">
        <v>88.35</v>
      </c>
      <c r="G159" s="464">
        <v>0</v>
      </c>
      <c r="H159" s="694">
        <v>0</v>
      </c>
      <c r="I159" s="464">
        <v>88.35</v>
      </c>
      <c r="J159" s="692">
        <v>6315.31</v>
      </c>
      <c r="K159" s="464">
        <v>88.35</v>
      </c>
      <c r="L159" s="692">
        <v>6315.31</v>
      </c>
      <c r="M159" s="695">
        <f t="shared" si="17"/>
        <v>0.013989812059898878</v>
      </c>
      <c r="N159" s="696">
        <v>249.3</v>
      </c>
      <c r="O159" s="696">
        <f t="shared" si="18"/>
        <v>3.4876601465327903</v>
      </c>
      <c r="P159" s="696">
        <f t="shared" si="19"/>
        <v>839.3887235939327</v>
      </c>
      <c r="Q159" s="697">
        <f t="shared" si="20"/>
        <v>209.25960879196742</v>
      </c>
      <c r="S159" s="87"/>
      <c r="T159" s="87"/>
    </row>
    <row r="160" spans="1:20" ht="12.75">
      <c r="A160" s="931"/>
      <c r="B160" s="35">
        <v>5</v>
      </c>
      <c r="C160" s="779" t="s">
        <v>412</v>
      </c>
      <c r="D160" s="698">
        <v>75</v>
      </c>
      <c r="E160" s="699" t="s">
        <v>71</v>
      </c>
      <c r="F160" s="464">
        <v>81.54</v>
      </c>
      <c r="G160" s="464">
        <v>9.86</v>
      </c>
      <c r="H160" s="694">
        <v>12</v>
      </c>
      <c r="I160" s="464">
        <v>59.68</v>
      </c>
      <c r="J160" s="701">
        <v>3966.62</v>
      </c>
      <c r="K160" s="464">
        <v>59.25</v>
      </c>
      <c r="L160" s="700">
        <v>3941.34</v>
      </c>
      <c r="M160" s="695">
        <f t="shared" si="17"/>
        <v>0.015032958333967636</v>
      </c>
      <c r="N160" s="696">
        <v>249.3</v>
      </c>
      <c r="O160" s="696">
        <f t="shared" si="18"/>
        <v>3.7477165126581315</v>
      </c>
      <c r="P160" s="696">
        <f t="shared" si="19"/>
        <v>901.9775000380581</v>
      </c>
      <c r="Q160" s="697">
        <f t="shared" si="20"/>
        <v>224.8629907594879</v>
      </c>
      <c r="S160" s="87"/>
      <c r="T160" s="87"/>
    </row>
    <row r="161" spans="1:20" s="96" customFormat="1" ht="12.75">
      <c r="A161" s="931"/>
      <c r="B161" s="103">
        <v>6</v>
      </c>
      <c r="C161" s="779" t="s">
        <v>417</v>
      </c>
      <c r="D161" s="698">
        <v>100</v>
      </c>
      <c r="E161" s="699" t="s">
        <v>71</v>
      </c>
      <c r="F161" s="464">
        <v>93.02</v>
      </c>
      <c r="G161" s="464">
        <v>9.46</v>
      </c>
      <c r="H161" s="694">
        <v>16</v>
      </c>
      <c r="I161" s="464">
        <v>67.56</v>
      </c>
      <c r="J161" s="700">
        <v>4434.25</v>
      </c>
      <c r="K161" s="464">
        <v>67.56</v>
      </c>
      <c r="L161" s="700">
        <v>4434.25</v>
      </c>
      <c r="M161" s="695">
        <f t="shared" si="17"/>
        <v>0.0152359474544737</v>
      </c>
      <c r="N161" s="696">
        <v>249.3</v>
      </c>
      <c r="O161" s="696">
        <f t="shared" si="18"/>
        <v>3.7983217004002934</v>
      </c>
      <c r="P161" s="696">
        <f t="shared" si="19"/>
        <v>914.156847268422</v>
      </c>
      <c r="Q161" s="697">
        <f t="shared" si="20"/>
        <v>227.8993020240176</v>
      </c>
      <c r="S161" s="97"/>
      <c r="T161" s="97"/>
    </row>
    <row r="162" spans="1:20" s="96" customFormat="1" ht="12.75">
      <c r="A162" s="931"/>
      <c r="B162" s="103">
        <v>7</v>
      </c>
      <c r="C162" s="779" t="s">
        <v>410</v>
      </c>
      <c r="D162" s="698">
        <v>75</v>
      </c>
      <c r="E162" s="699" t="s">
        <v>71</v>
      </c>
      <c r="F162" s="464">
        <v>79.71</v>
      </c>
      <c r="G162" s="464">
        <v>7</v>
      </c>
      <c r="H162" s="694">
        <v>11.92</v>
      </c>
      <c r="I162" s="464">
        <v>60.79</v>
      </c>
      <c r="J162" s="700">
        <v>3968.65</v>
      </c>
      <c r="K162" s="464">
        <v>60.79</v>
      </c>
      <c r="L162" s="700">
        <v>3968.65</v>
      </c>
      <c r="M162" s="695">
        <f t="shared" si="17"/>
        <v>0.015317551308379423</v>
      </c>
      <c r="N162" s="696">
        <v>249.3</v>
      </c>
      <c r="O162" s="696">
        <f t="shared" si="18"/>
        <v>3.8186655411789903</v>
      </c>
      <c r="P162" s="696">
        <f t="shared" si="19"/>
        <v>919.0530785027654</v>
      </c>
      <c r="Q162" s="697">
        <f t="shared" si="20"/>
        <v>229.1199324707394</v>
      </c>
      <c r="S162" s="97"/>
      <c r="T162" s="97"/>
    </row>
    <row r="163" spans="1:20" s="96" customFormat="1" ht="12.75">
      <c r="A163" s="931"/>
      <c r="B163" s="103">
        <v>8</v>
      </c>
      <c r="C163" s="779" t="s">
        <v>414</v>
      </c>
      <c r="D163" s="698">
        <v>103</v>
      </c>
      <c r="E163" s="699" t="s">
        <v>71</v>
      </c>
      <c r="F163" s="464">
        <v>94.74</v>
      </c>
      <c r="G163" s="464">
        <v>8.74</v>
      </c>
      <c r="H163" s="694">
        <v>16</v>
      </c>
      <c r="I163" s="464">
        <v>70</v>
      </c>
      <c r="J163" s="700">
        <v>4436.68</v>
      </c>
      <c r="K163" s="464">
        <v>70</v>
      </c>
      <c r="L163" s="700">
        <v>4436.68</v>
      </c>
      <c r="M163" s="695">
        <f t="shared" si="17"/>
        <v>0.015777563403265502</v>
      </c>
      <c r="N163" s="696">
        <v>249.3</v>
      </c>
      <c r="O163" s="696">
        <f t="shared" si="18"/>
        <v>3.9333465564340897</v>
      </c>
      <c r="P163" s="696">
        <f t="shared" si="19"/>
        <v>946.6538041959301</v>
      </c>
      <c r="Q163" s="697">
        <f t="shared" si="20"/>
        <v>236.0007933860454</v>
      </c>
      <c r="S163" s="97"/>
      <c r="T163" s="97"/>
    </row>
    <row r="164" spans="1:20" ht="12.75">
      <c r="A164" s="931"/>
      <c r="B164" s="35">
        <v>9</v>
      </c>
      <c r="C164" s="779" t="s">
        <v>416</v>
      </c>
      <c r="D164" s="698">
        <v>45</v>
      </c>
      <c r="E164" s="699" t="s">
        <v>71</v>
      </c>
      <c r="F164" s="464">
        <v>52.8</v>
      </c>
      <c r="G164" s="464">
        <v>6.36</v>
      </c>
      <c r="H164" s="694">
        <v>7.2</v>
      </c>
      <c r="I164" s="464">
        <v>39.24</v>
      </c>
      <c r="J164" s="700">
        <v>2340.65</v>
      </c>
      <c r="K164" s="464">
        <v>39.24</v>
      </c>
      <c r="L164" s="700">
        <v>2340.65</v>
      </c>
      <c r="M164" s="695">
        <f t="shared" si="17"/>
        <v>0.016764573943135453</v>
      </c>
      <c r="N164" s="696">
        <v>249.3</v>
      </c>
      <c r="O164" s="696">
        <f t="shared" si="18"/>
        <v>4.179408284023669</v>
      </c>
      <c r="P164" s="696">
        <f t="shared" si="19"/>
        <v>1005.8744365881272</v>
      </c>
      <c r="Q164" s="697">
        <f t="shared" si="20"/>
        <v>250.7644970414201</v>
      </c>
      <c r="S164" s="87"/>
      <c r="T164" s="87"/>
    </row>
    <row r="165" spans="1:20" ht="13.5" thickBot="1">
      <c r="A165" s="931"/>
      <c r="B165" s="35">
        <v>10</v>
      </c>
      <c r="C165" s="780" t="s">
        <v>418</v>
      </c>
      <c r="D165" s="702">
        <v>75</v>
      </c>
      <c r="E165" s="703" t="s">
        <v>71</v>
      </c>
      <c r="F165" s="704">
        <v>90.3</v>
      </c>
      <c r="G165" s="704">
        <v>7.97</v>
      </c>
      <c r="H165" s="705">
        <v>12</v>
      </c>
      <c r="I165" s="704">
        <v>70.33</v>
      </c>
      <c r="J165" s="706">
        <v>3954.15</v>
      </c>
      <c r="K165" s="704">
        <v>70.33</v>
      </c>
      <c r="L165" s="706">
        <v>3954.15</v>
      </c>
      <c r="M165" s="707">
        <f t="shared" si="17"/>
        <v>0.017786376338783303</v>
      </c>
      <c r="N165" s="708">
        <v>249.3</v>
      </c>
      <c r="O165" s="708">
        <f t="shared" si="18"/>
        <v>4.434143621258678</v>
      </c>
      <c r="P165" s="708">
        <f t="shared" si="19"/>
        <v>1067.182580326998</v>
      </c>
      <c r="Q165" s="709">
        <f t="shared" si="20"/>
        <v>266.04861727552066</v>
      </c>
      <c r="S165" s="87"/>
      <c r="T165" s="87"/>
    </row>
    <row r="166" spans="1:20" ht="12.75">
      <c r="A166" s="921" t="s">
        <v>30</v>
      </c>
      <c r="B166" s="231">
        <v>1</v>
      </c>
      <c r="C166" s="781" t="s">
        <v>422</v>
      </c>
      <c r="D166" s="715">
        <v>108</v>
      </c>
      <c r="E166" s="716" t="s">
        <v>420</v>
      </c>
      <c r="F166" s="717">
        <v>81.97</v>
      </c>
      <c r="G166" s="717">
        <v>6.53</v>
      </c>
      <c r="H166" s="718">
        <v>17.2</v>
      </c>
      <c r="I166" s="717">
        <v>58.24</v>
      </c>
      <c r="J166" s="719">
        <v>2563.58</v>
      </c>
      <c r="K166" s="717">
        <v>57.8</v>
      </c>
      <c r="L166" s="719">
        <v>2544.13</v>
      </c>
      <c r="M166" s="720">
        <f t="shared" si="17"/>
        <v>0.022718964832771908</v>
      </c>
      <c r="N166" s="721">
        <v>249.3</v>
      </c>
      <c r="O166" s="721">
        <f t="shared" si="18"/>
        <v>5.663837932810037</v>
      </c>
      <c r="P166" s="721">
        <f t="shared" si="19"/>
        <v>1363.1378899663146</v>
      </c>
      <c r="Q166" s="722">
        <f t="shared" si="20"/>
        <v>339.8302759686022</v>
      </c>
      <c r="S166" s="87"/>
      <c r="T166" s="87"/>
    </row>
    <row r="167" spans="1:20" ht="12.75">
      <c r="A167" s="922"/>
      <c r="B167" s="232">
        <v>2</v>
      </c>
      <c r="C167" s="782" t="s">
        <v>145</v>
      </c>
      <c r="D167" s="723">
        <v>48</v>
      </c>
      <c r="E167" s="724" t="s">
        <v>71</v>
      </c>
      <c r="F167" s="465">
        <v>55.81</v>
      </c>
      <c r="G167" s="465">
        <v>2.51</v>
      </c>
      <c r="H167" s="725">
        <v>0.52</v>
      </c>
      <c r="I167" s="465">
        <v>46.75</v>
      </c>
      <c r="J167" s="723" t="s">
        <v>296</v>
      </c>
      <c r="K167" s="465">
        <v>43.91</v>
      </c>
      <c r="L167" s="723">
        <v>1899.06</v>
      </c>
      <c r="M167" s="726">
        <f t="shared" si="17"/>
        <v>0.02312196560403568</v>
      </c>
      <c r="N167" s="727">
        <v>249.3</v>
      </c>
      <c r="O167" s="727">
        <f t="shared" si="18"/>
        <v>5.764306025086095</v>
      </c>
      <c r="P167" s="727">
        <f t="shared" si="19"/>
        <v>1387.3179362421408</v>
      </c>
      <c r="Q167" s="728">
        <f t="shared" si="20"/>
        <v>345.8583615051657</v>
      </c>
      <c r="S167" s="87"/>
      <c r="T167" s="87"/>
    </row>
    <row r="168" spans="1:20" ht="12.75">
      <c r="A168" s="922"/>
      <c r="B168" s="232">
        <v>3</v>
      </c>
      <c r="C168" s="782" t="s">
        <v>149</v>
      </c>
      <c r="D168" s="723">
        <v>60</v>
      </c>
      <c r="E168" s="724" t="s">
        <v>71</v>
      </c>
      <c r="F168" s="465">
        <v>75.21</v>
      </c>
      <c r="G168" s="465">
        <v>4.93</v>
      </c>
      <c r="H168" s="725">
        <v>9.6</v>
      </c>
      <c r="I168" s="465">
        <v>60.68</v>
      </c>
      <c r="J168" s="723">
        <v>2425.09</v>
      </c>
      <c r="K168" s="465">
        <v>60.68</v>
      </c>
      <c r="L168" s="723">
        <v>2425.09</v>
      </c>
      <c r="M168" s="726">
        <f t="shared" si="17"/>
        <v>0.0250217517700374</v>
      </c>
      <c r="N168" s="727">
        <v>249.3</v>
      </c>
      <c r="O168" s="727">
        <f t="shared" si="18"/>
        <v>6.237922716270324</v>
      </c>
      <c r="P168" s="727">
        <f t="shared" si="19"/>
        <v>1501.305106202244</v>
      </c>
      <c r="Q168" s="728">
        <f t="shared" si="20"/>
        <v>374.27536297621947</v>
      </c>
      <c r="S168" s="87"/>
      <c r="T168" s="87"/>
    </row>
    <row r="169" spans="1:20" ht="12.75">
      <c r="A169" s="922"/>
      <c r="B169" s="232">
        <v>4</v>
      </c>
      <c r="C169" s="783" t="s">
        <v>423</v>
      </c>
      <c r="D169" s="729">
        <v>12</v>
      </c>
      <c r="E169" s="724" t="s">
        <v>420</v>
      </c>
      <c r="F169" s="465">
        <v>18.59</v>
      </c>
      <c r="G169" s="465">
        <v>1.54</v>
      </c>
      <c r="H169" s="725">
        <v>1.76</v>
      </c>
      <c r="I169" s="465">
        <v>15.16</v>
      </c>
      <c r="J169" s="723">
        <v>604.23</v>
      </c>
      <c r="K169" s="465">
        <v>15.16</v>
      </c>
      <c r="L169" s="723">
        <v>604.23</v>
      </c>
      <c r="M169" s="726">
        <f t="shared" si="17"/>
        <v>0.0250897836916406</v>
      </c>
      <c r="N169" s="727">
        <v>249.3</v>
      </c>
      <c r="O169" s="727">
        <f t="shared" si="18"/>
        <v>6.254883074326002</v>
      </c>
      <c r="P169" s="727">
        <f t="shared" si="19"/>
        <v>1505.3870214984358</v>
      </c>
      <c r="Q169" s="728">
        <f t="shared" si="20"/>
        <v>375.29298445956005</v>
      </c>
      <c r="S169" s="87"/>
      <c r="T169" s="87"/>
    </row>
    <row r="170" spans="1:20" ht="12.75">
      <c r="A170" s="922"/>
      <c r="B170" s="232">
        <v>5</v>
      </c>
      <c r="C170" s="782" t="s">
        <v>148</v>
      </c>
      <c r="D170" s="723">
        <v>106</v>
      </c>
      <c r="E170" s="724" t="s">
        <v>71</v>
      </c>
      <c r="F170" s="465">
        <v>88.67</v>
      </c>
      <c r="G170" s="465">
        <v>5.08</v>
      </c>
      <c r="H170" s="725">
        <v>16.96</v>
      </c>
      <c r="I170" s="465">
        <v>66.31</v>
      </c>
      <c r="J170" s="723" t="s">
        <v>299</v>
      </c>
      <c r="K170" s="465">
        <v>65.8</v>
      </c>
      <c r="L170" s="723">
        <v>2590.66</v>
      </c>
      <c r="M170" s="726">
        <f t="shared" si="17"/>
        <v>0.025398933090409394</v>
      </c>
      <c r="N170" s="727">
        <v>249.3</v>
      </c>
      <c r="O170" s="727">
        <f t="shared" si="18"/>
        <v>6.331954019439062</v>
      </c>
      <c r="P170" s="727">
        <f t="shared" si="19"/>
        <v>1523.9359854245636</v>
      </c>
      <c r="Q170" s="728">
        <f t="shared" si="20"/>
        <v>379.91724116634373</v>
      </c>
      <c r="S170" s="87"/>
      <c r="T170" s="87"/>
    </row>
    <row r="171" spans="1:20" ht="12.75">
      <c r="A171" s="922"/>
      <c r="B171" s="232">
        <v>6</v>
      </c>
      <c r="C171" s="782" t="s">
        <v>297</v>
      </c>
      <c r="D171" s="723">
        <v>70</v>
      </c>
      <c r="E171" s="724" t="s">
        <v>71</v>
      </c>
      <c r="F171" s="465">
        <v>85.78</v>
      </c>
      <c r="G171" s="465">
        <v>6.6</v>
      </c>
      <c r="H171" s="725">
        <v>0.68</v>
      </c>
      <c r="I171" s="465">
        <v>78.5</v>
      </c>
      <c r="J171" s="723">
        <v>3063.74</v>
      </c>
      <c r="K171" s="465">
        <v>78.5</v>
      </c>
      <c r="L171" s="723">
        <v>3063.74</v>
      </c>
      <c r="M171" s="726">
        <f t="shared" si="17"/>
        <v>0.0256222786528883</v>
      </c>
      <c r="N171" s="727">
        <v>249.3</v>
      </c>
      <c r="O171" s="727">
        <f t="shared" si="18"/>
        <v>6.387634068165053</v>
      </c>
      <c r="P171" s="727">
        <f t="shared" si="19"/>
        <v>1537.336719173298</v>
      </c>
      <c r="Q171" s="728">
        <f t="shared" si="20"/>
        <v>383.2580440899032</v>
      </c>
      <c r="S171" s="87"/>
      <c r="T171" s="87"/>
    </row>
    <row r="172" spans="1:20" ht="12.75">
      <c r="A172" s="922"/>
      <c r="B172" s="232">
        <v>7</v>
      </c>
      <c r="C172" s="782" t="s">
        <v>151</v>
      </c>
      <c r="D172" s="723">
        <v>47</v>
      </c>
      <c r="E172" s="724" t="s">
        <v>71</v>
      </c>
      <c r="F172" s="465">
        <v>62.62</v>
      </c>
      <c r="G172" s="465">
        <v>3.68</v>
      </c>
      <c r="H172" s="725">
        <v>7.6</v>
      </c>
      <c r="I172" s="465">
        <v>51.34</v>
      </c>
      <c r="J172" s="723" t="s">
        <v>295</v>
      </c>
      <c r="K172" s="465">
        <v>50.59</v>
      </c>
      <c r="L172" s="723">
        <v>1926.39</v>
      </c>
      <c r="M172" s="726">
        <f t="shared" si="17"/>
        <v>0.026261556590306222</v>
      </c>
      <c r="N172" s="727">
        <v>249.3</v>
      </c>
      <c r="O172" s="727">
        <f t="shared" si="18"/>
        <v>6.547006057963341</v>
      </c>
      <c r="P172" s="727">
        <f t="shared" si="19"/>
        <v>1575.6933954183735</v>
      </c>
      <c r="Q172" s="728">
        <f t="shared" si="20"/>
        <v>392.8203634778005</v>
      </c>
      <c r="S172" s="87"/>
      <c r="T172" s="87"/>
    </row>
    <row r="173" spans="1:20" ht="12.75">
      <c r="A173" s="922"/>
      <c r="B173" s="232">
        <v>8</v>
      </c>
      <c r="C173" s="782" t="s">
        <v>144</v>
      </c>
      <c r="D173" s="723">
        <v>108</v>
      </c>
      <c r="E173" s="724" t="s">
        <v>71</v>
      </c>
      <c r="F173" s="465">
        <v>91.69</v>
      </c>
      <c r="G173" s="465">
        <v>5.41</v>
      </c>
      <c r="H173" s="725">
        <v>17.28</v>
      </c>
      <c r="I173" s="465">
        <v>69</v>
      </c>
      <c r="J173" s="723">
        <v>2582.45</v>
      </c>
      <c r="K173" s="465">
        <v>69</v>
      </c>
      <c r="L173" s="723">
        <v>2582.45</v>
      </c>
      <c r="M173" s="726">
        <f t="shared" si="17"/>
        <v>0.026718813529787607</v>
      </c>
      <c r="N173" s="727">
        <v>249.3</v>
      </c>
      <c r="O173" s="727">
        <f t="shared" si="18"/>
        <v>6.661000212976051</v>
      </c>
      <c r="P173" s="727">
        <f t="shared" si="19"/>
        <v>1603.1288117872564</v>
      </c>
      <c r="Q173" s="728">
        <f t="shared" si="20"/>
        <v>399.66001277856304</v>
      </c>
      <c r="S173" s="87"/>
      <c r="T173" s="87"/>
    </row>
    <row r="174" spans="1:20" ht="12.75">
      <c r="A174" s="922"/>
      <c r="B174" s="232">
        <v>9</v>
      </c>
      <c r="C174" s="782" t="s">
        <v>146</v>
      </c>
      <c r="D174" s="723">
        <v>32</v>
      </c>
      <c r="E174" s="724" t="s">
        <v>71</v>
      </c>
      <c r="F174" s="465">
        <v>59.79</v>
      </c>
      <c r="G174" s="465">
        <v>3.53</v>
      </c>
      <c r="H174" s="725">
        <v>5.28</v>
      </c>
      <c r="I174" s="465">
        <v>50.55</v>
      </c>
      <c r="J174" s="723" t="s">
        <v>300</v>
      </c>
      <c r="K174" s="465">
        <v>45.4</v>
      </c>
      <c r="L174" s="723">
        <v>1653.89</v>
      </c>
      <c r="M174" s="726">
        <f t="shared" si="17"/>
        <v>0.02745043503497814</v>
      </c>
      <c r="N174" s="727">
        <v>249.3</v>
      </c>
      <c r="O174" s="727">
        <f t="shared" si="18"/>
        <v>6.843393454220051</v>
      </c>
      <c r="P174" s="727">
        <f t="shared" si="19"/>
        <v>1647.0261020986884</v>
      </c>
      <c r="Q174" s="728">
        <f t="shared" si="20"/>
        <v>410.60360725320305</v>
      </c>
      <c r="S174" s="87"/>
      <c r="T174" s="87"/>
    </row>
    <row r="175" spans="1:20" ht="13.5" thickBot="1">
      <c r="A175" s="924"/>
      <c r="B175" s="246">
        <v>10</v>
      </c>
      <c r="C175" s="784" t="s">
        <v>421</v>
      </c>
      <c r="D175" s="730">
        <v>20</v>
      </c>
      <c r="E175" s="731" t="s">
        <v>420</v>
      </c>
      <c r="F175" s="732">
        <v>40.4</v>
      </c>
      <c r="G175" s="732">
        <v>3.29</v>
      </c>
      <c r="H175" s="733">
        <v>3.2</v>
      </c>
      <c r="I175" s="732">
        <v>33.91</v>
      </c>
      <c r="J175" s="734">
        <v>1234.69</v>
      </c>
      <c r="K175" s="732">
        <v>33.91</v>
      </c>
      <c r="L175" s="734">
        <v>1234.69</v>
      </c>
      <c r="M175" s="735">
        <f t="shared" si="17"/>
        <v>0.0274643837724449</v>
      </c>
      <c r="N175" s="736">
        <v>249.3</v>
      </c>
      <c r="O175" s="736">
        <f t="shared" si="18"/>
        <v>6.846870874470515</v>
      </c>
      <c r="P175" s="736">
        <f t="shared" si="19"/>
        <v>1647.863026346694</v>
      </c>
      <c r="Q175" s="737">
        <f t="shared" si="20"/>
        <v>410.8122524682308</v>
      </c>
      <c r="S175" s="87"/>
      <c r="T175" s="87"/>
    </row>
    <row r="176" spans="1:20" ht="12.75">
      <c r="A176" s="932" t="s">
        <v>52</v>
      </c>
      <c r="B176" s="80">
        <v>1</v>
      </c>
      <c r="C176" s="785" t="s">
        <v>153</v>
      </c>
      <c r="D176" s="744">
        <v>11</v>
      </c>
      <c r="E176" s="745" t="s">
        <v>71</v>
      </c>
      <c r="F176" s="746">
        <v>21.82</v>
      </c>
      <c r="G176" s="746">
        <v>0</v>
      </c>
      <c r="H176" s="747">
        <v>0</v>
      </c>
      <c r="I176" s="746">
        <v>21.82</v>
      </c>
      <c r="J176" s="744">
        <v>766.97</v>
      </c>
      <c r="K176" s="746">
        <v>14.7</v>
      </c>
      <c r="L176" s="744">
        <v>516.55</v>
      </c>
      <c r="M176" s="748">
        <f t="shared" si="17"/>
        <v>0.02845803891201239</v>
      </c>
      <c r="N176" s="749">
        <v>249.3</v>
      </c>
      <c r="O176" s="749">
        <f t="shared" si="18"/>
        <v>7.094589100764689</v>
      </c>
      <c r="P176" s="749">
        <f t="shared" si="19"/>
        <v>1707.4823347207434</v>
      </c>
      <c r="Q176" s="750">
        <f t="shared" si="20"/>
        <v>425.6753460458813</v>
      </c>
      <c r="S176" s="87"/>
      <c r="T176" s="87"/>
    </row>
    <row r="177" spans="1:20" ht="12.75">
      <c r="A177" s="933"/>
      <c r="B177" s="41">
        <v>2</v>
      </c>
      <c r="C177" s="786" t="s">
        <v>298</v>
      </c>
      <c r="D177" s="751">
        <v>31</v>
      </c>
      <c r="E177" s="752" t="s">
        <v>71</v>
      </c>
      <c r="F177" s="466">
        <v>38.24</v>
      </c>
      <c r="G177" s="466">
        <v>2.6</v>
      </c>
      <c r="H177" s="753">
        <v>0.31</v>
      </c>
      <c r="I177" s="466">
        <v>35.33</v>
      </c>
      <c r="J177" s="751">
        <v>1196.73</v>
      </c>
      <c r="K177" s="466">
        <v>35.33</v>
      </c>
      <c r="L177" s="751">
        <v>1196.73</v>
      </c>
      <c r="M177" s="754">
        <f t="shared" si="17"/>
        <v>0.029522114428484285</v>
      </c>
      <c r="N177" s="755">
        <v>249.3</v>
      </c>
      <c r="O177" s="755">
        <f t="shared" si="18"/>
        <v>7.359863127021133</v>
      </c>
      <c r="P177" s="755">
        <f t="shared" si="19"/>
        <v>1771.326865709057</v>
      </c>
      <c r="Q177" s="756">
        <f t="shared" si="20"/>
        <v>441.59178762126794</v>
      </c>
      <c r="S177" s="87"/>
      <c r="T177" s="87"/>
    </row>
    <row r="178" spans="1:20" ht="12.75">
      <c r="A178" s="933"/>
      <c r="B178" s="41">
        <v>3</v>
      </c>
      <c r="C178" s="787" t="s">
        <v>425</v>
      </c>
      <c r="D178" s="757">
        <v>65</v>
      </c>
      <c r="E178" s="752" t="s">
        <v>420</v>
      </c>
      <c r="F178" s="466">
        <v>32.46</v>
      </c>
      <c r="G178" s="466">
        <v>1.37</v>
      </c>
      <c r="H178" s="753">
        <v>0.65</v>
      </c>
      <c r="I178" s="466">
        <v>30.45</v>
      </c>
      <c r="J178" s="751">
        <v>998.65</v>
      </c>
      <c r="K178" s="466">
        <v>29.93</v>
      </c>
      <c r="L178" s="751">
        <v>981.67</v>
      </c>
      <c r="M178" s="754">
        <f t="shared" si="17"/>
        <v>0.030488860818808767</v>
      </c>
      <c r="N178" s="755">
        <v>249.3</v>
      </c>
      <c r="O178" s="755">
        <f t="shared" si="18"/>
        <v>7.600873002129026</v>
      </c>
      <c r="P178" s="755">
        <f t="shared" si="19"/>
        <v>1829.3316491285261</v>
      </c>
      <c r="Q178" s="756">
        <f t="shared" si="20"/>
        <v>456.0523801277416</v>
      </c>
      <c r="S178" s="87"/>
      <c r="T178" s="87"/>
    </row>
    <row r="179" spans="1:20" ht="12.75">
      <c r="A179" s="933"/>
      <c r="B179" s="41">
        <v>4</v>
      </c>
      <c r="C179" s="787" t="s">
        <v>424</v>
      </c>
      <c r="D179" s="757">
        <v>5</v>
      </c>
      <c r="E179" s="752" t="s">
        <v>420</v>
      </c>
      <c r="F179" s="466">
        <v>21.49</v>
      </c>
      <c r="G179" s="466">
        <v>1.06</v>
      </c>
      <c r="H179" s="753">
        <v>0.82</v>
      </c>
      <c r="I179" s="466">
        <v>19.07</v>
      </c>
      <c r="J179" s="751">
        <v>611.46</v>
      </c>
      <c r="K179" s="466">
        <v>15.25</v>
      </c>
      <c r="L179" s="751">
        <v>495.61</v>
      </c>
      <c r="M179" s="754">
        <f t="shared" si="17"/>
        <v>0.03077016202255806</v>
      </c>
      <c r="N179" s="755">
        <v>249.3</v>
      </c>
      <c r="O179" s="755">
        <f t="shared" si="18"/>
        <v>7.671001392223725</v>
      </c>
      <c r="P179" s="755">
        <f t="shared" si="19"/>
        <v>1846.2097213534837</v>
      </c>
      <c r="Q179" s="756">
        <f t="shared" si="20"/>
        <v>460.2600835334235</v>
      </c>
      <c r="S179" s="87"/>
      <c r="T179" s="87"/>
    </row>
    <row r="180" spans="1:20" ht="12.75">
      <c r="A180" s="933"/>
      <c r="B180" s="41">
        <v>5</v>
      </c>
      <c r="C180" s="787" t="s">
        <v>427</v>
      </c>
      <c r="D180" s="757">
        <v>17</v>
      </c>
      <c r="E180" s="752" t="s">
        <v>420</v>
      </c>
      <c r="F180" s="466">
        <v>23.1</v>
      </c>
      <c r="G180" s="466">
        <v>1.9</v>
      </c>
      <c r="H180" s="753">
        <v>0.8</v>
      </c>
      <c r="I180" s="466">
        <v>20.4</v>
      </c>
      <c r="J180" s="751">
        <v>635.98</v>
      </c>
      <c r="K180" s="466">
        <v>20.4</v>
      </c>
      <c r="L180" s="751">
        <v>635.98</v>
      </c>
      <c r="M180" s="754">
        <f t="shared" si="17"/>
        <v>0.03207648039246517</v>
      </c>
      <c r="N180" s="755">
        <v>249.3</v>
      </c>
      <c r="O180" s="755">
        <f t="shared" si="18"/>
        <v>7.996666561841567</v>
      </c>
      <c r="P180" s="755">
        <f t="shared" si="19"/>
        <v>1924.5888235479101</v>
      </c>
      <c r="Q180" s="756">
        <f t="shared" si="20"/>
        <v>479.799993710494</v>
      </c>
      <c r="S180" s="87"/>
      <c r="T180" s="87"/>
    </row>
    <row r="181" spans="1:20" ht="12.75">
      <c r="A181" s="933"/>
      <c r="B181" s="41">
        <v>6</v>
      </c>
      <c r="C181" s="787" t="s">
        <v>419</v>
      </c>
      <c r="D181" s="757">
        <v>25</v>
      </c>
      <c r="E181" s="752" t="s">
        <v>420</v>
      </c>
      <c r="F181" s="466">
        <v>47.11</v>
      </c>
      <c r="G181" s="466">
        <v>1.95</v>
      </c>
      <c r="H181" s="753">
        <v>4.49</v>
      </c>
      <c r="I181" s="466">
        <v>39.14</v>
      </c>
      <c r="J181" s="751">
        <v>1215.2</v>
      </c>
      <c r="K181" s="466">
        <v>39.14</v>
      </c>
      <c r="L181" s="751">
        <v>1215.2</v>
      </c>
      <c r="M181" s="754">
        <f t="shared" si="17"/>
        <v>0.03220868992758394</v>
      </c>
      <c r="N181" s="755">
        <v>249.3</v>
      </c>
      <c r="O181" s="755">
        <f t="shared" si="18"/>
        <v>8.029626398946677</v>
      </c>
      <c r="P181" s="755">
        <f t="shared" si="19"/>
        <v>1932.5213956550363</v>
      </c>
      <c r="Q181" s="756">
        <f t="shared" si="20"/>
        <v>481.77758393680057</v>
      </c>
      <c r="S181" s="87"/>
      <c r="T181" s="87"/>
    </row>
    <row r="182" spans="1:20" ht="12.75">
      <c r="A182" s="933"/>
      <c r="B182" s="41">
        <v>7</v>
      </c>
      <c r="C182" s="786" t="s">
        <v>152</v>
      </c>
      <c r="D182" s="751">
        <v>30</v>
      </c>
      <c r="E182" s="752" t="s">
        <v>71</v>
      </c>
      <c r="F182" s="466">
        <v>41.74</v>
      </c>
      <c r="G182" s="466">
        <v>2.49</v>
      </c>
      <c r="H182" s="753">
        <v>0.31</v>
      </c>
      <c r="I182" s="466">
        <v>38.94</v>
      </c>
      <c r="J182" s="751" t="s">
        <v>301</v>
      </c>
      <c r="K182" s="466">
        <v>36.73</v>
      </c>
      <c r="L182" s="751">
        <v>1096.68</v>
      </c>
      <c r="M182" s="754">
        <f t="shared" si="17"/>
        <v>0.0334919940183098</v>
      </c>
      <c r="N182" s="755">
        <v>249.3</v>
      </c>
      <c r="O182" s="755">
        <f t="shared" si="18"/>
        <v>8.349554108764634</v>
      </c>
      <c r="P182" s="755">
        <f t="shared" si="19"/>
        <v>2009.519641098588</v>
      </c>
      <c r="Q182" s="756">
        <f t="shared" si="20"/>
        <v>500.97324652587804</v>
      </c>
      <c r="S182" s="87"/>
      <c r="T182" s="87"/>
    </row>
    <row r="183" spans="1:20" ht="12.75">
      <c r="A183" s="933"/>
      <c r="B183" s="41">
        <v>8</v>
      </c>
      <c r="C183" s="787" t="s">
        <v>426</v>
      </c>
      <c r="D183" s="757">
        <v>15</v>
      </c>
      <c r="E183" s="752" t="s">
        <v>420</v>
      </c>
      <c r="F183" s="466">
        <v>28.94</v>
      </c>
      <c r="G183" s="466">
        <v>2.25</v>
      </c>
      <c r="H183" s="753">
        <v>0.18</v>
      </c>
      <c r="I183" s="466">
        <v>26.5</v>
      </c>
      <c r="J183" s="751">
        <v>610.94</v>
      </c>
      <c r="K183" s="466">
        <v>18.7</v>
      </c>
      <c r="L183" s="751">
        <v>550.52</v>
      </c>
      <c r="M183" s="754">
        <f t="shared" si="17"/>
        <v>0.03396788490881349</v>
      </c>
      <c r="N183" s="755">
        <v>249.3</v>
      </c>
      <c r="O183" s="755">
        <f t="shared" si="18"/>
        <v>8.468193707767202</v>
      </c>
      <c r="P183" s="755">
        <f t="shared" si="19"/>
        <v>2038.073094528809</v>
      </c>
      <c r="Q183" s="756">
        <f t="shared" si="20"/>
        <v>508.0916224660321</v>
      </c>
      <c r="S183" s="87"/>
      <c r="T183" s="87"/>
    </row>
    <row r="184" spans="1:20" ht="12.75">
      <c r="A184" s="933"/>
      <c r="B184" s="41">
        <v>9</v>
      </c>
      <c r="C184" s="787" t="s">
        <v>429</v>
      </c>
      <c r="D184" s="757">
        <v>12</v>
      </c>
      <c r="E184" s="752" t="s">
        <v>420</v>
      </c>
      <c r="F184" s="466">
        <v>41.45</v>
      </c>
      <c r="G184" s="466">
        <v>2.65</v>
      </c>
      <c r="H184" s="753">
        <v>2.27</v>
      </c>
      <c r="I184" s="466">
        <v>36.61</v>
      </c>
      <c r="J184" s="751">
        <v>1046.17</v>
      </c>
      <c r="K184" s="466">
        <v>24.74</v>
      </c>
      <c r="L184" s="751">
        <v>666.55</v>
      </c>
      <c r="M184" s="754">
        <f t="shared" si="17"/>
        <v>0.03711649538669267</v>
      </c>
      <c r="N184" s="755">
        <v>249.3</v>
      </c>
      <c r="O184" s="755">
        <f t="shared" si="18"/>
        <v>9.253142299902484</v>
      </c>
      <c r="P184" s="755">
        <f t="shared" si="19"/>
        <v>2226.98972320156</v>
      </c>
      <c r="Q184" s="756">
        <f t="shared" si="20"/>
        <v>555.1885379941489</v>
      </c>
      <c r="S184" s="87"/>
      <c r="T184" s="87"/>
    </row>
    <row r="185" spans="1:20" ht="13.5" thickBot="1">
      <c r="A185" s="934"/>
      <c r="B185" s="46">
        <v>10</v>
      </c>
      <c r="C185" s="788" t="s">
        <v>428</v>
      </c>
      <c r="D185" s="758">
        <v>4</v>
      </c>
      <c r="E185" s="759" t="s">
        <v>420</v>
      </c>
      <c r="F185" s="760">
        <v>8.07</v>
      </c>
      <c r="G185" s="760">
        <v>0.16</v>
      </c>
      <c r="H185" s="761">
        <v>0.4</v>
      </c>
      <c r="I185" s="760">
        <v>7.51</v>
      </c>
      <c r="J185" s="762">
        <v>191.55</v>
      </c>
      <c r="K185" s="760">
        <v>7.51</v>
      </c>
      <c r="L185" s="762">
        <v>191.55</v>
      </c>
      <c r="M185" s="763">
        <f t="shared" si="17"/>
        <v>0.039206473505612106</v>
      </c>
      <c r="N185" s="764">
        <v>249.3</v>
      </c>
      <c r="O185" s="764">
        <f t="shared" si="18"/>
        <v>9.774173844949098</v>
      </c>
      <c r="P185" s="764">
        <f t="shared" si="19"/>
        <v>2352.3884103367263</v>
      </c>
      <c r="Q185" s="765">
        <f t="shared" si="20"/>
        <v>586.4504306969459</v>
      </c>
      <c r="S185" s="87"/>
      <c r="T185" s="87"/>
    </row>
    <row r="186" spans="19:20" ht="12.75">
      <c r="S186" s="87"/>
      <c r="T186" s="87"/>
    </row>
    <row r="187" spans="19:20" ht="12.75">
      <c r="S187" s="87"/>
      <c r="T187" s="87"/>
    </row>
    <row r="188" spans="1:20" s="17" customFormat="1" ht="20.25" customHeight="1">
      <c r="A188" s="917" t="s">
        <v>36</v>
      </c>
      <c r="B188" s="917"/>
      <c r="C188" s="917"/>
      <c r="D188" s="917"/>
      <c r="E188" s="917"/>
      <c r="F188" s="917"/>
      <c r="G188" s="917"/>
      <c r="H188" s="917"/>
      <c r="I188" s="917"/>
      <c r="J188" s="917"/>
      <c r="K188" s="917"/>
      <c r="L188" s="917"/>
      <c r="M188" s="917"/>
      <c r="N188" s="917"/>
      <c r="O188" s="917"/>
      <c r="P188" s="917"/>
      <c r="Q188" s="917"/>
      <c r="S188" s="87"/>
      <c r="T188" s="87"/>
    </row>
    <row r="189" spans="1:20" s="17" customFormat="1" ht="14.25" customHeight="1" thickBot="1">
      <c r="A189" s="936" t="s">
        <v>557</v>
      </c>
      <c r="B189" s="936"/>
      <c r="C189" s="936"/>
      <c r="D189" s="936"/>
      <c r="E189" s="936"/>
      <c r="F189" s="936"/>
      <c r="G189" s="936"/>
      <c r="H189" s="936"/>
      <c r="I189" s="936"/>
      <c r="J189" s="936"/>
      <c r="K189" s="936"/>
      <c r="L189" s="936"/>
      <c r="M189" s="936"/>
      <c r="N189" s="936"/>
      <c r="O189" s="936"/>
      <c r="P189" s="936"/>
      <c r="Q189" s="936"/>
      <c r="S189" s="87"/>
      <c r="T189" s="87"/>
    </row>
    <row r="190" spans="1:20" ht="12.75" customHeight="1">
      <c r="A190" s="890" t="s">
        <v>1</v>
      </c>
      <c r="B190" s="892" t="s">
        <v>0</v>
      </c>
      <c r="C190" s="888" t="s">
        <v>2</v>
      </c>
      <c r="D190" s="888" t="s">
        <v>3</v>
      </c>
      <c r="E190" s="888" t="s">
        <v>13</v>
      </c>
      <c r="F190" s="896" t="s">
        <v>14</v>
      </c>
      <c r="G190" s="897"/>
      <c r="H190" s="897"/>
      <c r="I190" s="898"/>
      <c r="J190" s="888" t="s">
        <v>4</v>
      </c>
      <c r="K190" s="888" t="s">
        <v>15</v>
      </c>
      <c r="L190" s="888" t="s">
        <v>5</v>
      </c>
      <c r="M190" s="888" t="s">
        <v>6</v>
      </c>
      <c r="N190" s="888" t="s">
        <v>16</v>
      </c>
      <c r="O190" s="949" t="s">
        <v>17</v>
      </c>
      <c r="P190" s="949" t="s">
        <v>37</v>
      </c>
      <c r="Q190" s="878" t="s">
        <v>26</v>
      </c>
      <c r="S190" s="87"/>
      <c r="T190" s="87"/>
    </row>
    <row r="191" spans="1:20" s="2" customFormat="1" ht="33.75">
      <c r="A191" s="891"/>
      <c r="B191" s="893"/>
      <c r="C191" s="894"/>
      <c r="D191" s="889"/>
      <c r="E191" s="889"/>
      <c r="F191" s="36" t="s">
        <v>18</v>
      </c>
      <c r="G191" s="36" t="s">
        <v>19</v>
      </c>
      <c r="H191" s="36" t="s">
        <v>20</v>
      </c>
      <c r="I191" s="36" t="s">
        <v>21</v>
      </c>
      <c r="J191" s="889"/>
      <c r="K191" s="889"/>
      <c r="L191" s="889"/>
      <c r="M191" s="889"/>
      <c r="N191" s="889"/>
      <c r="O191" s="950"/>
      <c r="P191" s="950"/>
      <c r="Q191" s="879"/>
      <c r="S191" s="87"/>
      <c r="T191" s="87"/>
    </row>
    <row r="192" spans="1:20" s="3" customFormat="1" ht="17.25" customHeight="1" thickBot="1">
      <c r="A192" s="945"/>
      <c r="B192" s="946"/>
      <c r="C192" s="895"/>
      <c r="D192" s="59" t="s">
        <v>7</v>
      </c>
      <c r="E192" s="59" t="s">
        <v>8</v>
      </c>
      <c r="F192" s="59" t="s">
        <v>9</v>
      </c>
      <c r="G192" s="59" t="s">
        <v>9</v>
      </c>
      <c r="H192" s="59" t="s">
        <v>9</v>
      </c>
      <c r="I192" s="59" t="s">
        <v>9</v>
      </c>
      <c r="J192" s="59" t="s">
        <v>22</v>
      </c>
      <c r="K192" s="59" t="s">
        <v>9</v>
      </c>
      <c r="L192" s="59" t="s">
        <v>22</v>
      </c>
      <c r="M192" s="59" t="s">
        <v>142</v>
      </c>
      <c r="N192" s="59" t="s">
        <v>10</v>
      </c>
      <c r="O192" s="59" t="s">
        <v>24</v>
      </c>
      <c r="P192" s="60" t="s">
        <v>38</v>
      </c>
      <c r="Q192" s="61" t="s">
        <v>28</v>
      </c>
      <c r="S192" s="87"/>
      <c r="T192" s="87"/>
    </row>
    <row r="193" spans="1:20" ht="12.75">
      <c r="A193" s="927" t="s">
        <v>51</v>
      </c>
      <c r="B193" s="30">
        <v>1</v>
      </c>
      <c r="C193" s="63" t="s">
        <v>432</v>
      </c>
      <c r="D193" s="62">
        <v>29</v>
      </c>
      <c r="E193" s="62">
        <v>1991</v>
      </c>
      <c r="F193" s="249">
        <v>17.82</v>
      </c>
      <c r="G193" s="249">
        <v>3.06</v>
      </c>
      <c r="H193" s="249">
        <v>4.56</v>
      </c>
      <c r="I193" s="249">
        <v>10.2</v>
      </c>
      <c r="J193" s="93">
        <v>1509.42</v>
      </c>
      <c r="K193" s="249">
        <v>10.2</v>
      </c>
      <c r="L193" s="93">
        <v>1509.42</v>
      </c>
      <c r="M193" s="251">
        <f aca="true" t="shared" si="21" ref="M193:M232">K193/L193</f>
        <v>0.006757562507453193</v>
      </c>
      <c r="N193" s="250">
        <v>261.501</v>
      </c>
      <c r="O193" s="252">
        <f aca="true" t="shared" si="22" ref="O193:O232">M193*N193</f>
        <v>1.7671093532615172</v>
      </c>
      <c r="P193" s="252">
        <f aca="true" t="shared" si="23" ref="P193:P232">M193*60*1000</f>
        <v>405.45375044719157</v>
      </c>
      <c r="Q193" s="253">
        <f aca="true" t="shared" si="24" ref="Q193:Q232">P193*N193/1000</f>
        <v>106.02656119569103</v>
      </c>
      <c r="R193" s="6"/>
      <c r="S193" s="87"/>
      <c r="T193" s="87"/>
    </row>
    <row r="194" spans="1:20" ht="12.75">
      <c r="A194" s="1010"/>
      <c r="B194" s="62">
        <v>2</v>
      </c>
      <c r="C194" s="16" t="s">
        <v>433</v>
      </c>
      <c r="D194" s="31">
        <v>31</v>
      </c>
      <c r="E194" s="31">
        <v>1987</v>
      </c>
      <c r="F194" s="146">
        <v>21.06</v>
      </c>
      <c r="G194" s="146">
        <v>3.471</v>
      </c>
      <c r="H194" s="146">
        <v>4.8</v>
      </c>
      <c r="I194" s="146">
        <v>12.789</v>
      </c>
      <c r="J194" s="176">
        <v>1596.15</v>
      </c>
      <c r="K194" s="146">
        <v>12.789</v>
      </c>
      <c r="L194" s="176">
        <v>1596.15</v>
      </c>
      <c r="M194" s="133">
        <f t="shared" si="21"/>
        <v>0.008012404849168311</v>
      </c>
      <c r="N194" s="250">
        <v>261.501</v>
      </c>
      <c r="O194" s="132">
        <f t="shared" si="22"/>
        <v>2.0952518804623623</v>
      </c>
      <c r="P194" s="252">
        <f t="shared" si="23"/>
        <v>480.7442909500987</v>
      </c>
      <c r="Q194" s="134">
        <f t="shared" si="24"/>
        <v>125.71511282774175</v>
      </c>
      <c r="S194" s="87"/>
      <c r="T194" s="87"/>
    </row>
    <row r="195" spans="1:20" ht="12.75">
      <c r="A195" s="928"/>
      <c r="B195" s="31">
        <v>3</v>
      </c>
      <c r="C195" s="16" t="s">
        <v>434</v>
      </c>
      <c r="D195" s="31">
        <v>25</v>
      </c>
      <c r="E195" s="31">
        <v>1969</v>
      </c>
      <c r="F195" s="146">
        <v>17.294</v>
      </c>
      <c r="G195" s="146">
        <v>1.4325</v>
      </c>
      <c r="H195" s="146">
        <v>3.84</v>
      </c>
      <c r="I195" s="146">
        <v>12.021</v>
      </c>
      <c r="J195" s="176">
        <v>1322.93</v>
      </c>
      <c r="K195" s="146">
        <v>12.021</v>
      </c>
      <c r="L195" s="176">
        <v>1322.93</v>
      </c>
      <c r="M195" s="133">
        <f t="shared" si="21"/>
        <v>0.00908664857551042</v>
      </c>
      <c r="N195" s="250">
        <v>261.501</v>
      </c>
      <c r="O195" s="132">
        <f t="shared" si="22"/>
        <v>2.37616768914455</v>
      </c>
      <c r="P195" s="252">
        <f t="shared" si="23"/>
        <v>545.1989145306252</v>
      </c>
      <c r="Q195" s="134">
        <f t="shared" si="24"/>
        <v>142.57006134867302</v>
      </c>
      <c r="S195" s="87"/>
      <c r="T195" s="87"/>
    </row>
    <row r="196" spans="1:20" ht="12.75">
      <c r="A196" s="928"/>
      <c r="B196" s="31">
        <v>4</v>
      </c>
      <c r="C196" s="16" t="s">
        <v>430</v>
      </c>
      <c r="D196" s="31">
        <v>30</v>
      </c>
      <c r="E196" s="31">
        <v>1985</v>
      </c>
      <c r="F196" s="146">
        <v>21.276</v>
      </c>
      <c r="G196" s="146">
        <v>2.809</v>
      </c>
      <c r="H196" s="146">
        <v>4.8</v>
      </c>
      <c r="I196" s="146">
        <v>13.667</v>
      </c>
      <c r="J196" s="176">
        <v>1496.17</v>
      </c>
      <c r="K196" s="146">
        <v>13.667</v>
      </c>
      <c r="L196" s="176">
        <v>1496.17</v>
      </c>
      <c r="M196" s="133">
        <f t="shared" si="21"/>
        <v>0.009134657157943281</v>
      </c>
      <c r="N196" s="250">
        <v>261.501</v>
      </c>
      <c r="O196" s="132">
        <f t="shared" si="22"/>
        <v>2.3887219814593257</v>
      </c>
      <c r="P196" s="252">
        <f t="shared" si="23"/>
        <v>548.0794294765968</v>
      </c>
      <c r="Q196" s="134">
        <f t="shared" si="24"/>
        <v>143.3233188875595</v>
      </c>
      <c r="S196" s="87"/>
      <c r="T196" s="87"/>
    </row>
    <row r="197" spans="1:20" ht="12.75">
      <c r="A197" s="928"/>
      <c r="B197" s="31">
        <v>5</v>
      </c>
      <c r="C197" s="16" t="s">
        <v>302</v>
      </c>
      <c r="D197" s="31">
        <v>75</v>
      </c>
      <c r="E197" s="31">
        <v>1976</v>
      </c>
      <c r="F197" s="146">
        <v>56</v>
      </c>
      <c r="G197" s="146">
        <v>6.881</v>
      </c>
      <c r="H197" s="146">
        <v>12</v>
      </c>
      <c r="I197" s="146">
        <v>37.119</v>
      </c>
      <c r="J197" s="176">
        <v>3969.47</v>
      </c>
      <c r="K197" s="146">
        <v>37.119</v>
      </c>
      <c r="L197" s="176">
        <v>3969.47</v>
      </c>
      <c r="M197" s="133">
        <f t="shared" si="21"/>
        <v>0.009351122442038862</v>
      </c>
      <c r="N197" s="250">
        <v>261.501</v>
      </c>
      <c r="O197" s="132">
        <f t="shared" si="22"/>
        <v>2.4453278697156042</v>
      </c>
      <c r="P197" s="252">
        <f t="shared" si="23"/>
        <v>561.0673465223317</v>
      </c>
      <c r="Q197" s="134">
        <f t="shared" si="24"/>
        <v>146.71967218293625</v>
      </c>
      <c r="S197" s="87"/>
      <c r="T197" s="87"/>
    </row>
    <row r="198" spans="1:20" ht="12.75">
      <c r="A198" s="928"/>
      <c r="B198" s="31">
        <v>6</v>
      </c>
      <c r="C198" s="16" t="s">
        <v>431</v>
      </c>
      <c r="D198" s="31">
        <v>60</v>
      </c>
      <c r="E198" s="31">
        <v>1971</v>
      </c>
      <c r="F198" s="146">
        <v>41.494</v>
      </c>
      <c r="G198" s="146">
        <v>5.533</v>
      </c>
      <c r="H198" s="146">
        <v>9.6</v>
      </c>
      <c r="I198" s="146">
        <v>26.361</v>
      </c>
      <c r="J198" s="176">
        <v>2799.04</v>
      </c>
      <c r="K198" s="146">
        <v>26.361</v>
      </c>
      <c r="L198" s="176">
        <v>2799.04</v>
      </c>
      <c r="M198" s="133">
        <f t="shared" si="21"/>
        <v>0.009417871841774323</v>
      </c>
      <c r="N198" s="250">
        <v>261.501</v>
      </c>
      <c r="O198" s="132">
        <f t="shared" si="22"/>
        <v>2.462782904495827</v>
      </c>
      <c r="P198" s="252">
        <f t="shared" si="23"/>
        <v>565.0723105064594</v>
      </c>
      <c r="Q198" s="134">
        <f t="shared" si="24"/>
        <v>147.76697426974962</v>
      </c>
      <c r="S198" s="87"/>
      <c r="T198" s="87"/>
    </row>
    <row r="199" spans="1:20" ht="12.75">
      <c r="A199" s="928"/>
      <c r="B199" s="31">
        <v>7</v>
      </c>
      <c r="C199" s="16" t="s">
        <v>558</v>
      </c>
      <c r="D199" s="31">
        <v>34</v>
      </c>
      <c r="E199" s="31">
        <v>1983</v>
      </c>
      <c r="F199" s="146">
        <v>28.82</v>
      </c>
      <c r="G199" s="146">
        <v>3.202</v>
      </c>
      <c r="H199" s="146">
        <v>5.12</v>
      </c>
      <c r="I199" s="146">
        <v>20.498</v>
      </c>
      <c r="J199" s="176">
        <v>2162.72</v>
      </c>
      <c r="K199" s="146">
        <v>20.498</v>
      </c>
      <c r="L199" s="176">
        <v>2162.72</v>
      </c>
      <c r="M199" s="133">
        <f t="shared" si="21"/>
        <v>0.009477879707035586</v>
      </c>
      <c r="N199" s="250">
        <v>261.501</v>
      </c>
      <c r="O199" s="132">
        <f t="shared" si="22"/>
        <v>2.478475021269513</v>
      </c>
      <c r="P199" s="252">
        <f t="shared" si="23"/>
        <v>568.6727824221351</v>
      </c>
      <c r="Q199" s="134">
        <f t="shared" si="24"/>
        <v>148.70850127617075</v>
      </c>
      <c r="S199" s="87"/>
      <c r="T199" s="87"/>
    </row>
    <row r="200" spans="1:20" ht="12.75">
      <c r="A200" s="928"/>
      <c r="B200" s="31">
        <v>8</v>
      </c>
      <c r="C200" s="16" t="s">
        <v>559</v>
      </c>
      <c r="D200" s="31">
        <v>30</v>
      </c>
      <c r="E200" s="31">
        <v>1980</v>
      </c>
      <c r="F200" s="146">
        <v>21.979</v>
      </c>
      <c r="G200" s="146">
        <v>2.53</v>
      </c>
      <c r="H200" s="146">
        <v>4.8</v>
      </c>
      <c r="I200" s="146">
        <v>14.649</v>
      </c>
      <c r="J200" s="176">
        <v>1495.88</v>
      </c>
      <c r="K200" s="146">
        <v>14.649</v>
      </c>
      <c r="L200" s="176">
        <v>1495.88</v>
      </c>
      <c r="M200" s="133">
        <f t="shared" si="21"/>
        <v>0.009792897826028825</v>
      </c>
      <c r="N200" s="250">
        <v>261.501</v>
      </c>
      <c r="O200" s="132">
        <f t="shared" si="22"/>
        <v>2.5608525744043638</v>
      </c>
      <c r="P200" s="252">
        <f t="shared" si="23"/>
        <v>587.5738695617296</v>
      </c>
      <c r="Q200" s="134">
        <f t="shared" si="24"/>
        <v>153.65115446426185</v>
      </c>
      <c r="S200" s="87"/>
      <c r="T200" s="87"/>
    </row>
    <row r="201" spans="1:20" ht="12.75">
      <c r="A201" s="928"/>
      <c r="B201" s="31">
        <v>9</v>
      </c>
      <c r="C201" s="16" t="s">
        <v>154</v>
      </c>
      <c r="D201" s="31">
        <v>51</v>
      </c>
      <c r="E201" s="31">
        <v>2007</v>
      </c>
      <c r="F201" s="146">
        <v>37.584</v>
      </c>
      <c r="G201" s="146">
        <v>5.559</v>
      </c>
      <c r="H201" s="146">
        <v>3.071</v>
      </c>
      <c r="I201" s="146">
        <v>28.954</v>
      </c>
      <c r="J201" s="176">
        <v>2938.88</v>
      </c>
      <c r="K201" s="146">
        <v>28.954</v>
      </c>
      <c r="L201" s="176">
        <v>2938.88</v>
      </c>
      <c r="M201" s="133">
        <f t="shared" si="21"/>
        <v>0.009852052482578397</v>
      </c>
      <c r="N201" s="250">
        <v>261.501</v>
      </c>
      <c r="O201" s="132">
        <f t="shared" si="22"/>
        <v>2.576321576246733</v>
      </c>
      <c r="P201" s="252">
        <f t="shared" si="23"/>
        <v>591.1231489547039</v>
      </c>
      <c r="Q201" s="134">
        <f t="shared" si="24"/>
        <v>154.57929457480398</v>
      </c>
      <c r="S201" s="87"/>
      <c r="T201" s="87"/>
    </row>
    <row r="202" spans="1:20" ht="13.5" thickBot="1">
      <c r="A202" s="929"/>
      <c r="B202" s="64">
        <v>10</v>
      </c>
      <c r="C202" s="65" t="s">
        <v>560</v>
      </c>
      <c r="D202" s="64">
        <v>45</v>
      </c>
      <c r="E202" s="64">
        <v>1979</v>
      </c>
      <c r="F202" s="216">
        <v>35.419</v>
      </c>
      <c r="G202" s="216">
        <v>5.055</v>
      </c>
      <c r="H202" s="216">
        <v>7.2</v>
      </c>
      <c r="I202" s="216">
        <v>23.164</v>
      </c>
      <c r="J202" s="176">
        <v>2321.07</v>
      </c>
      <c r="K202" s="146">
        <v>23.164</v>
      </c>
      <c r="L202" s="176">
        <v>2321.07</v>
      </c>
      <c r="M202" s="136">
        <f t="shared" si="21"/>
        <v>0.009979879969152158</v>
      </c>
      <c r="N202" s="135">
        <v>261.501</v>
      </c>
      <c r="O202" s="461">
        <f t="shared" si="22"/>
        <v>2.609748591813258</v>
      </c>
      <c r="P202" s="135">
        <f t="shared" si="23"/>
        <v>598.7927981491295</v>
      </c>
      <c r="Q202" s="137">
        <f t="shared" si="24"/>
        <v>156.5849155087955</v>
      </c>
      <c r="S202" s="87"/>
      <c r="T202" s="87"/>
    </row>
    <row r="203" spans="1:20" ht="12.75">
      <c r="A203" s="951" t="s">
        <v>46</v>
      </c>
      <c r="B203" s="33">
        <v>1</v>
      </c>
      <c r="C203" s="88" t="s">
        <v>303</v>
      </c>
      <c r="D203" s="333">
        <v>22</v>
      </c>
      <c r="E203" s="333">
        <v>1989</v>
      </c>
      <c r="F203" s="267">
        <v>20.07</v>
      </c>
      <c r="G203" s="267">
        <v>1.967</v>
      </c>
      <c r="H203" s="267">
        <v>3.52</v>
      </c>
      <c r="I203" s="267">
        <v>14.583</v>
      </c>
      <c r="J203" s="432">
        <v>1188.82</v>
      </c>
      <c r="K203" s="262">
        <v>14.583</v>
      </c>
      <c r="L203" s="432">
        <v>1188.82</v>
      </c>
      <c r="M203" s="147">
        <f t="shared" si="21"/>
        <v>0.012266785552060027</v>
      </c>
      <c r="N203" s="148">
        <v>261.501</v>
      </c>
      <c r="O203" s="148">
        <f t="shared" si="22"/>
        <v>3.2077766886492487</v>
      </c>
      <c r="P203" s="148">
        <f t="shared" si="23"/>
        <v>736.0071331236015</v>
      </c>
      <c r="Q203" s="170">
        <f t="shared" si="24"/>
        <v>192.4666013189549</v>
      </c>
      <c r="S203" s="87"/>
      <c r="T203" s="87"/>
    </row>
    <row r="204" spans="1:20" ht="12.75">
      <c r="A204" s="931"/>
      <c r="B204" s="35">
        <v>2</v>
      </c>
      <c r="C204" s="34" t="s">
        <v>305</v>
      </c>
      <c r="D204" s="261">
        <v>75</v>
      </c>
      <c r="E204" s="261">
        <v>1973</v>
      </c>
      <c r="F204" s="263">
        <v>67.788</v>
      </c>
      <c r="G204" s="263">
        <v>5.898</v>
      </c>
      <c r="H204" s="263">
        <v>12</v>
      </c>
      <c r="I204" s="263">
        <v>49.89</v>
      </c>
      <c r="J204" s="118">
        <v>3986.53</v>
      </c>
      <c r="K204" s="263">
        <v>49.89</v>
      </c>
      <c r="L204" s="118">
        <v>3986.53</v>
      </c>
      <c r="M204" s="147">
        <f t="shared" si="21"/>
        <v>0.012514643060506255</v>
      </c>
      <c r="N204" s="148">
        <v>261.501</v>
      </c>
      <c r="O204" s="148">
        <f t="shared" si="22"/>
        <v>3.272591674965446</v>
      </c>
      <c r="P204" s="148">
        <f t="shared" si="23"/>
        <v>750.8785836303753</v>
      </c>
      <c r="Q204" s="170">
        <f t="shared" si="24"/>
        <v>196.35550049792676</v>
      </c>
      <c r="S204" s="87"/>
      <c r="T204" s="87"/>
    </row>
    <row r="205" spans="1:20" ht="12.75">
      <c r="A205" s="931"/>
      <c r="B205" s="35">
        <v>3</v>
      </c>
      <c r="C205" s="34" t="s">
        <v>561</v>
      </c>
      <c r="D205" s="35">
        <v>36</v>
      </c>
      <c r="E205" s="35">
        <v>1991</v>
      </c>
      <c r="F205" s="263">
        <v>39.922</v>
      </c>
      <c r="G205" s="263">
        <v>4.606</v>
      </c>
      <c r="H205" s="263">
        <v>5.76</v>
      </c>
      <c r="I205" s="263">
        <v>29.556</v>
      </c>
      <c r="J205" s="118">
        <v>2333.9</v>
      </c>
      <c r="K205" s="263">
        <v>29.556</v>
      </c>
      <c r="L205" s="118">
        <v>2333.9</v>
      </c>
      <c r="M205" s="139">
        <f t="shared" si="21"/>
        <v>0.012663781653027123</v>
      </c>
      <c r="N205" s="148">
        <v>261.501</v>
      </c>
      <c r="O205" s="148">
        <f t="shared" si="22"/>
        <v>3.311591566048245</v>
      </c>
      <c r="P205" s="148">
        <f t="shared" si="23"/>
        <v>759.8268991816274</v>
      </c>
      <c r="Q205" s="168">
        <f t="shared" si="24"/>
        <v>198.69549396289472</v>
      </c>
      <c r="S205" s="87"/>
      <c r="T205" s="87"/>
    </row>
    <row r="206" spans="1:20" ht="12.75">
      <c r="A206" s="931"/>
      <c r="B206" s="35">
        <v>4</v>
      </c>
      <c r="C206" s="34" t="s">
        <v>562</v>
      </c>
      <c r="D206" s="35">
        <v>120</v>
      </c>
      <c r="E206" s="35">
        <v>1972</v>
      </c>
      <c r="F206" s="263">
        <v>102.24</v>
      </c>
      <c r="G206" s="263">
        <v>9.884</v>
      </c>
      <c r="H206" s="263">
        <v>19.04</v>
      </c>
      <c r="I206" s="263">
        <v>73.316</v>
      </c>
      <c r="J206" s="118">
        <v>5746.89</v>
      </c>
      <c r="K206" s="263">
        <v>73.316</v>
      </c>
      <c r="L206" s="118">
        <v>5746.89</v>
      </c>
      <c r="M206" s="139">
        <f t="shared" si="21"/>
        <v>0.012757508843913839</v>
      </c>
      <c r="N206" s="148">
        <v>261.501</v>
      </c>
      <c r="O206" s="138">
        <f t="shared" si="22"/>
        <v>3.3361013201923124</v>
      </c>
      <c r="P206" s="148">
        <f t="shared" si="23"/>
        <v>765.4505306348303</v>
      </c>
      <c r="Q206" s="168">
        <f t="shared" si="24"/>
        <v>200.16607921153874</v>
      </c>
      <c r="S206" s="87"/>
      <c r="T206" s="87"/>
    </row>
    <row r="207" spans="1:20" ht="12.75">
      <c r="A207" s="931"/>
      <c r="B207" s="35">
        <v>5</v>
      </c>
      <c r="C207" s="34" t="s">
        <v>304</v>
      </c>
      <c r="D207" s="35">
        <v>60</v>
      </c>
      <c r="E207" s="35">
        <v>1970</v>
      </c>
      <c r="F207" s="263">
        <v>49.81</v>
      </c>
      <c r="G207" s="263">
        <v>5.224</v>
      </c>
      <c r="H207" s="263">
        <v>9.6</v>
      </c>
      <c r="I207" s="263">
        <v>34.986</v>
      </c>
      <c r="J207" s="118">
        <v>2723.4</v>
      </c>
      <c r="K207" s="263">
        <v>34.986</v>
      </c>
      <c r="L207" s="118">
        <v>2723.4</v>
      </c>
      <c r="M207" s="139">
        <f t="shared" si="21"/>
        <v>0.012846441947565542</v>
      </c>
      <c r="N207" s="148">
        <v>261.501</v>
      </c>
      <c r="O207" s="138">
        <f t="shared" si="22"/>
        <v>3.3593574157303365</v>
      </c>
      <c r="P207" s="148">
        <f t="shared" si="23"/>
        <v>770.7865168539325</v>
      </c>
      <c r="Q207" s="168">
        <f t="shared" si="24"/>
        <v>201.5614449438202</v>
      </c>
      <c r="S207" s="87"/>
      <c r="T207" s="87"/>
    </row>
    <row r="208" spans="1:20" ht="12.75">
      <c r="A208" s="931"/>
      <c r="B208" s="35">
        <v>6</v>
      </c>
      <c r="C208" s="34" t="s">
        <v>435</v>
      </c>
      <c r="D208" s="35">
        <v>54</v>
      </c>
      <c r="E208" s="35">
        <v>2007</v>
      </c>
      <c r="F208" s="263">
        <v>47.994</v>
      </c>
      <c r="G208" s="263">
        <v>4.284</v>
      </c>
      <c r="H208" s="263">
        <v>3.228</v>
      </c>
      <c r="I208" s="263">
        <v>40.482</v>
      </c>
      <c r="J208" s="118">
        <v>3133.4</v>
      </c>
      <c r="K208" s="263">
        <v>40.482</v>
      </c>
      <c r="L208" s="118">
        <v>3133.4</v>
      </c>
      <c r="M208" s="139">
        <f t="shared" si="21"/>
        <v>0.012919512350801046</v>
      </c>
      <c r="N208" s="148">
        <v>261.501</v>
      </c>
      <c r="O208" s="138">
        <f t="shared" si="22"/>
        <v>3.378465399246824</v>
      </c>
      <c r="P208" s="148">
        <f t="shared" si="23"/>
        <v>775.1707410480627</v>
      </c>
      <c r="Q208" s="168">
        <f t="shared" si="24"/>
        <v>202.70792395480944</v>
      </c>
      <c r="S208" s="87"/>
      <c r="T208" s="87"/>
    </row>
    <row r="209" spans="1:20" ht="12.75">
      <c r="A209" s="931"/>
      <c r="B209" s="35">
        <v>7</v>
      </c>
      <c r="C209" s="34" t="s">
        <v>563</v>
      </c>
      <c r="D209" s="35">
        <v>100</v>
      </c>
      <c r="E209" s="35">
        <v>1969</v>
      </c>
      <c r="F209" s="263">
        <v>88.1</v>
      </c>
      <c r="G209" s="263">
        <v>8.907</v>
      </c>
      <c r="H209" s="263">
        <v>16</v>
      </c>
      <c r="I209" s="263">
        <v>63.193</v>
      </c>
      <c r="J209" s="118">
        <v>4628.7</v>
      </c>
      <c r="K209" s="263">
        <v>63.193</v>
      </c>
      <c r="L209" s="118">
        <v>4628.7</v>
      </c>
      <c r="M209" s="139">
        <f t="shared" si="21"/>
        <v>0.013652429407825092</v>
      </c>
      <c r="N209" s="148">
        <v>261.501</v>
      </c>
      <c r="O209" s="138">
        <f t="shared" si="22"/>
        <v>3.5701239425756692</v>
      </c>
      <c r="P209" s="148">
        <f t="shared" si="23"/>
        <v>819.1457644695055</v>
      </c>
      <c r="Q209" s="168">
        <f t="shared" si="24"/>
        <v>214.20743655454012</v>
      </c>
      <c r="S209" s="87"/>
      <c r="T209" s="87"/>
    </row>
    <row r="210" spans="1:20" ht="12.75">
      <c r="A210" s="931"/>
      <c r="B210" s="35">
        <v>8</v>
      </c>
      <c r="C210" s="34" t="s">
        <v>564</v>
      </c>
      <c r="D210" s="35">
        <v>60</v>
      </c>
      <c r="E210" s="35">
        <v>1965</v>
      </c>
      <c r="F210" s="263">
        <v>52.3</v>
      </c>
      <c r="G210" s="263">
        <v>4.322</v>
      </c>
      <c r="H210" s="263">
        <v>9.6</v>
      </c>
      <c r="I210" s="263">
        <v>38.378</v>
      </c>
      <c r="J210" s="118">
        <v>2734.75</v>
      </c>
      <c r="K210" s="263">
        <v>38.378</v>
      </c>
      <c r="L210" s="118">
        <v>2734.75</v>
      </c>
      <c r="M210" s="139">
        <f t="shared" si="21"/>
        <v>0.01403345826858031</v>
      </c>
      <c r="N210" s="148">
        <v>261.501</v>
      </c>
      <c r="O210" s="138">
        <f t="shared" si="22"/>
        <v>3.669763370692019</v>
      </c>
      <c r="P210" s="148">
        <f t="shared" si="23"/>
        <v>842.0074961148185</v>
      </c>
      <c r="Q210" s="168">
        <f t="shared" si="24"/>
        <v>220.18580224152112</v>
      </c>
      <c r="S210" s="87"/>
      <c r="T210" s="87"/>
    </row>
    <row r="211" spans="1:20" ht="12.75">
      <c r="A211" s="931"/>
      <c r="B211" s="35">
        <v>9</v>
      </c>
      <c r="C211" s="34" t="s">
        <v>436</v>
      </c>
      <c r="D211" s="35">
        <v>60</v>
      </c>
      <c r="E211" s="35">
        <v>1966</v>
      </c>
      <c r="F211" s="263">
        <v>54.384</v>
      </c>
      <c r="G211" s="263">
        <v>5.479</v>
      </c>
      <c r="H211" s="263">
        <v>9.6</v>
      </c>
      <c r="I211" s="263">
        <v>39.305</v>
      </c>
      <c r="J211" s="118">
        <v>2721.63</v>
      </c>
      <c r="K211" s="263">
        <v>39.305</v>
      </c>
      <c r="L211" s="118">
        <v>2721.63</v>
      </c>
      <c r="M211" s="139">
        <f t="shared" si="21"/>
        <v>0.014441713238022801</v>
      </c>
      <c r="N211" s="148">
        <v>261.501</v>
      </c>
      <c r="O211" s="138">
        <f t="shared" si="22"/>
        <v>3.7765224534562</v>
      </c>
      <c r="P211" s="148">
        <f t="shared" si="23"/>
        <v>866.5027942813681</v>
      </c>
      <c r="Q211" s="168">
        <f t="shared" si="24"/>
        <v>226.59134720737202</v>
      </c>
      <c r="S211" s="87"/>
      <c r="T211" s="87"/>
    </row>
    <row r="212" spans="1:20" ht="13.5" customHeight="1" thickBot="1">
      <c r="A212" s="952"/>
      <c r="B212" s="38">
        <v>10</v>
      </c>
      <c r="C212" s="83" t="s">
        <v>565</v>
      </c>
      <c r="D212" s="38">
        <v>119</v>
      </c>
      <c r="E212" s="38">
        <v>1971</v>
      </c>
      <c r="F212" s="265">
        <v>113.211</v>
      </c>
      <c r="G212" s="265">
        <v>10.708</v>
      </c>
      <c r="H212" s="265">
        <v>19.04</v>
      </c>
      <c r="I212" s="265">
        <v>83.463</v>
      </c>
      <c r="J212" s="184">
        <v>5772.18</v>
      </c>
      <c r="K212" s="265">
        <v>83.463</v>
      </c>
      <c r="L212" s="184">
        <v>5772.18</v>
      </c>
      <c r="M212" s="218">
        <f t="shared" si="21"/>
        <v>0.01445952828913859</v>
      </c>
      <c r="N212" s="171">
        <v>261.501</v>
      </c>
      <c r="O212" s="171">
        <f t="shared" si="22"/>
        <v>3.78118110713803</v>
      </c>
      <c r="P212" s="171">
        <f t="shared" si="23"/>
        <v>867.5716973483154</v>
      </c>
      <c r="Q212" s="172">
        <f t="shared" si="24"/>
        <v>226.87086642828183</v>
      </c>
      <c r="S212" s="87"/>
      <c r="T212" s="87"/>
    </row>
    <row r="213" spans="1:20" ht="11.25" customHeight="1">
      <c r="A213" s="1004" t="s">
        <v>47</v>
      </c>
      <c r="B213" s="231">
        <v>1</v>
      </c>
      <c r="C213" s="270" t="s">
        <v>566</v>
      </c>
      <c r="D213" s="231">
        <v>45</v>
      </c>
      <c r="E213" s="231">
        <v>1979</v>
      </c>
      <c r="F213" s="423">
        <v>62.857</v>
      </c>
      <c r="G213" s="423">
        <v>4.051</v>
      </c>
      <c r="H213" s="423">
        <v>7.2</v>
      </c>
      <c r="I213" s="423">
        <v>51.606</v>
      </c>
      <c r="J213" s="434">
        <v>2324.5</v>
      </c>
      <c r="K213" s="423">
        <v>51.606</v>
      </c>
      <c r="L213" s="356">
        <v>2324.5</v>
      </c>
      <c r="M213" s="286">
        <f t="shared" si="21"/>
        <v>0.022200903420090342</v>
      </c>
      <c r="N213" s="285">
        <v>261.501</v>
      </c>
      <c r="O213" s="285">
        <f t="shared" si="22"/>
        <v>5.805558445257044</v>
      </c>
      <c r="P213" s="285">
        <f t="shared" si="23"/>
        <v>1332.0542052054204</v>
      </c>
      <c r="Q213" s="287">
        <f t="shared" si="24"/>
        <v>348.33350671542263</v>
      </c>
      <c r="S213" s="87"/>
      <c r="T213" s="87"/>
    </row>
    <row r="214" spans="1:20" ht="12.75">
      <c r="A214" s="922"/>
      <c r="B214" s="232">
        <v>2</v>
      </c>
      <c r="C214" s="272" t="s">
        <v>437</v>
      </c>
      <c r="D214" s="232">
        <v>30</v>
      </c>
      <c r="E214" s="232">
        <v>1992</v>
      </c>
      <c r="F214" s="288">
        <v>43.4</v>
      </c>
      <c r="G214" s="288">
        <v>3.064</v>
      </c>
      <c r="H214" s="288">
        <v>4.8</v>
      </c>
      <c r="I214" s="288">
        <v>35.536</v>
      </c>
      <c r="J214" s="279">
        <v>1505.1</v>
      </c>
      <c r="K214" s="288">
        <v>35.536</v>
      </c>
      <c r="L214" s="279">
        <v>1505.1</v>
      </c>
      <c r="M214" s="290">
        <f t="shared" si="21"/>
        <v>0.02361039133612385</v>
      </c>
      <c r="N214" s="285">
        <v>261.501</v>
      </c>
      <c r="O214" s="289">
        <f t="shared" si="22"/>
        <v>6.174140944787722</v>
      </c>
      <c r="P214" s="285">
        <f t="shared" si="23"/>
        <v>1416.623480167431</v>
      </c>
      <c r="Q214" s="291">
        <f t="shared" si="24"/>
        <v>370.44845668726333</v>
      </c>
      <c r="S214" s="87"/>
      <c r="T214" s="87"/>
    </row>
    <row r="215" spans="1:20" ht="12.75">
      <c r="A215" s="922"/>
      <c r="B215" s="232">
        <v>3</v>
      </c>
      <c r="C215" s="272" t="s">
        <v>567</v>
      </c>
      <c r="D215" s="232">
        <v>60</v>
      </c>
      <c r="E215" s="232">
        <v>1987</v>
      </c>
      <c r="F215" s="288">
        <v>68.792</v>
      </c>
      <c r="G215" s="288">
        <v>4.16</v>
      </c>
      <c r="H215" s="288">
        <v>9.44</v>
      </c>
      <c r="I215" s="288">
        <v>55.192</v>
      </c>
      <c r="J215" s="279">
        <v>2309.19</v>
      </c>
      <c r="K215" s="288">
        <v>55.192</v>
      </c>
      <c r="L215" s="279">
        <v>2309.19</v>
      </c>
      <c r="M215" s="290">
        <f t="shared" si="21"/>
        <v>0.023901021570334188</v>
      </c>
      <c r="N215" s="285">
        <v>261.501</v>
      </c>
      <c r="O215" s="289">
        <f t="shared" si="22"/>
        <v>6.25014104166396</v>
      </c>
      <c r="P215" s="285">
        <f t="shared" si="23"/>
        <v>1434.0612942200512</v>
      </c>
      <c r="Q215" s="291">
        <f t="shared" si="24"/>
        <v>375.00846249983755</v>
      </c>
      <c r="S215" s="87"/>
      <c r="T215" s="87"/>
    </row>
    <row r="216" spans="1:20" ht="12.75">
      <c r="A216" s="922"/>
      <c r="B216" s="232">
        <v>4</v>
      </c>
      <c r="C216" s="272" t="s">
        <v>568</v>
      </c>
      <c r="D216" s="232">
        <v>30</v>
      </c>
      <c r="E216" s="232">
        <v>1974</v>
      </c>
      <c r="F216" s="288">
        <v>38.778</v>
      </c>
      <c r="G216" s="288">
        <v>2.224</v>
      </c>
      <c r="H216" s="288">
        <v>4.8</v>
      </c>
      <c r="I216" s="288">
        <v>31.754</v>
      </c>
      <c r="J216" s="279">
        <v>1314.36</v>
      </c>
      <c r="K216" s="288">
        <v>31.754</v>
      </c>
      <c r="L216" s="279">
        <v>1314.36</v>
      </c>
      <c r="M216" s="290">
        <f t="shared" si="21"/>
        <v>0.024159286649015493</v>
      </c>
      <c r="N216" s="285">
        <v>261.501</v>
      </c>
      <c r="O216" s="289">
        <f t="shared" si="22"/>
        <v>6.3176776180042</v>
      </c>
      <c r="P216" s="285">
        <f t="shared" si="23"/>
        <v>1449.5571989409295</v>
      </c>
      <c r="Q216" s="291">
        <f t="shared" si="24"/>
        <v>379.06065708025193</v>
      </c>
      <c r="S216" s="87"/>
      <c r="T216" s="87"/>
    </row>
    <row r="217" spans="1:20" ht="12.75">
      <c r="A217" s="922"/>
      <c r="B217" s="232">
        <v>5</v>
      </c>
      <c r="C217" s="272" t="s">
        <v>569</v>
      </c>
      <c r="D217" s="232">
        <v>40</v>
      </c>
      <c r="E217" s="232">
        <v>1963</v>
      </c>
      <c r="F217" s="288">
        <v>46.341</v>
      </c>
      <c r="G217" s="288">
        <v>3.101</v>
      </c>
      <c r="H217" s="288">
        <v>0.4</v>
      </c>
      <c r="I217" s="288">
        <v>42.84</v>
      </c>
      <c r="J217" s="279">
        <v>1756.97</v>
      </c>
      <c r="K217" s="288">
        <v>42.84</v>
      </c>
      <c r="L217" s="279">
        <v>1756.97</v>
      </c>
      <c r="M217" s="290">
        <f t="shared" si="21"/>
        <v>0.024382886446552874</v>
      </c>
      <c r="N217" s="285">
        <v>261.501</v>
      </c>
      <c r="O217" s="289">
        <f t="shared" si="22"/>
        <v>6.376149188660023</v>
      </c>
      <c r="P217" s="285">
        <f t="shared" si="23"/>
        <v>1462.9731867931723</v>
      </c>
      <c r="Q217" s="291">
        <f t="shared" si="24"/>
        <v>382.56895131960135</v>
      </c>
      <c r="S217" s="87"/>
      <c r="T217" s="87"/>
    </row>
    <row r="218" spans="1:20" ht="12.75">
      <c r="A218" s="922"/>
      <c r="B218" s="232">
        <v>6</v>
      </c>
      <c r="C218" s="272" t="s">
        <v>570</v>
      </c>
      <c r="D218" s="232">
        <v>40</v>
      </c>
      <c r="E218" s="232">
        <v>1963</v>
      </c>
      <c r="F218" s="288">
        <v>46.939</v>
      </c>
      <c r="G218" s="288">
        <v>3.134</v>
      </c>
      <c r="H218" s="609">
        <v>0.4</v>
      </c>
      <c r="I218" s="288">
        <v>43.405</v>
      </c>
      <c r="J218" s="279">
        <v>1759.6</v>
      </c>
      <c r="K218" s="288">
        <v>43.405</v>
      </c>
      <c r="L218" s="279">
        <v>1759.6</v>
      </c>
      <c r="M218" s="290">
        <f t="shared" si="21"/>
        <v>0.024667538076835645</v>
      </c>
      <c r="N218" s="285">
        <v>261.501</v>
      </c>
      <c r="O218" s="289">
        <f t="shared" si="22"/>
        <v>6.4505858746305975</v>
      </c>
      <c r="P218" s="285">
        <f t="shared" si="23"/>
        <v>1480.0522846101387</v>
      </c>
      <c r="Q218" s="291">
        <f t="shared" si="24"/>
        <v>387.0351524778358</v>
      </c>
      <c r="S218" s="87"/>
      <c r="T218" s="87"/>
    </row>
    <row r="219" spans="1:20" ht="12.75">
      <c r="A219" s="922"/>
      <c r="B219" s="232">
        <v>7</v>
      </c>
      <c r="C219" s="272" t="s">
        <v>571</v>
      </c>
      <c r="D219" s="232">
        <v>70</v>
      </c>
      <c r="E219" s="232">
        <v>1963</v>
      </c>
      <c r="F219" s="288">
        <v>82.37</v>
      </c>
      <c r="G219" s="288">
        <v>6.723</v>
      </c>
      <c r="H219" s="609">
        <v>0.7</v>
      </c>
      <c r="I219" s="288">
        <v>74.947</v>
      </c>
      <c r="J219" s="279">
        <v>3005.97</v>
      </c>
      <c r="K219" s="288">
        <v>74.947</v>
      </c>
      <c r="L219" s="279">
        <v>3005.97</v>
      </c>
      <c r="M219" s="290">
        <f t="shared" si="21"/>
        <v>0.02493271722605349</v>
      </c>
      <c r="N219" s="285">
        <v>261.501</v>
      </c>
      <c r="O219" s="289">
        <f t="shared" si="22"/>
        <v>6.519930487330213</v>
      </c>
      <c r="P219" s="285">
        <f t="shared" si="23"/>
        <v>1495.9630335632094</v>
      </c>
      <c r="Q219" s="291">
        <f t="shared" si="24"/>
        <v>391.1958292398128</v>
      </c>
      <c r="S219" s="87"/>
      <c r="T219" s="87"/>
    </row>
    <row r="220" spans="1:20" ht="12.75">
      <c r="A220" s="922"/>
      <c r="B220" s="232">
        <v>8</v>
      </c>
      <c r="C220" s="272" t="s">
        <v>572</v>
      </c>
      <c r="D220" s="232">
        <v>41</v>
      </c>
      <c r="E220" s="232">
        <v>1962</v>
      </c>
      <c r="F220" s="288">
        <v>54.411</v>
      </c>
      <c r="G220" s="288">
        <v>2.78</v>
      </c>
      <c r="H220" s="609">
        <v>0.4</v>
      </c>
      <c r="I220" s="288">
        <v>51.23</v>
      </c>
      <c r="J220" s="279">
        <v>1847.46</v>
      </c>
      <c r="K220" s="288">
        <v>48.965</v>
      </c>
      <c r="L220" s="279">
        <v>1765.76</v>
      </c>
      <c r="M220" s="290">
        <f t="shared" si="21"/>
        <v>0.027730269119246104</v>
      </c>
      <c r="N220" s="285">
        <v>261.501</v>
      </c>
      <c r="O220" s="289">
        <f t="shared" si="22"/>
        <v>7.251493104951975</v>
      </c>
      <c r="P220" s="285">
        <f t="shared" si="23"/>
        <v>1663.8161471547664</v>
      </c>
      <c r="Q220" s="291">
        <f t="shared" si="24"/>
        <v>435.0895862971185</v>
      </c>
      <c r="S220" s="87"/>
      <c r="T220" s="87"/>
    </row>
    <row r="221" spans="1:20" ht="12.75">
      <c r="A221" s="922"/>
      <c r="B221" s="232">
        <v>9</v>
      </c>
      <c r="C221" s="272" t="s">
        <v>573</v>
      </c>
      <c r="D221" s="232">
        <v>71</v>
      </c>
      <c r="E221" s="232">
        <v>1962</v>
      </c>
      <c r="F221" s="288">
        <v>95.311</v>
      </c>
      <c r="G221" s="288">
        <v>6.162</v>
      </c>
      <c r="H221" s="609">
        <v>0.7</v>
      </c>
      <c r="I221" s="288">
        <v>88.449</v>
      </c>
      <c r="J221" s="279">
        <v>3017.75</v>
      </c>
      <c r="K221" s="288">
        <v>88.449</v>
      </c>
      <c r="L221" s="279">
        <v>3017.75</v>
      </c>
      <c r="M221" s="290">
        <f t="shared" si="21"/>
        <v>0.0293095849556789</v>
      </c>
      <c r="N221" s="285">
        <v>261.501</v>
      </c>
      <c r="O221" s="289">
        <f t="shared" si="22"/>
        <v>7.664485775494987</v>
      </c>
      <c r="P221" s="285">
        <f t="shared" si="23"/>
        <v>1758.575097340734</v>
      </c>
      <c r="Q221" s="291">
        <f t="shared" si="24"/>
        <v>459.8691465296992</v>
      </c>
      <c r="S221" s="87"/>
      <c r="T221" s="87"/>
    </row>
    <row r="222" spans="1:20" ht="13.5" thickBot="1">
      <c r="A222" s="924"/>
      <c r="B222" s="246">
        <v>10</v>
      </c>
      <c r="C222" s="276" t="s">
        <v>574</v>
      </c>
      <c r="D222" s="246">
        <v>32</v>
      </c>
      <c r="E222" s="246">
        <v>1961</v>
      </c>
      <c r="F222" s="292">
        <v>37.23</v>
      </c>
      <c r="G222" s="292"/>
      <c r="H222" s="292"/>
      <c r="I222" s="425">
        <v>37.23</v>
      </c>
      <c r="J222" s="460">
        <v>1239.43</v>
      </c>
      <c r="K222" s="425">
        <v>37.23</v>
      </c>
      <c r="L222" s="460">
        <v>1239.43</v>
      </c>
      <c r="M222" s="294">
        <f t="shared" si="21"/>
        <v>0.03003800133932533</v>
      </c>
      <c r="N222" s="293">
        <v>261.501</v>
      </c>
      <c r="O222" s="293">
        <f t="shared" si="22"/>
        <v>7.854967388234912</v>
      </c>
      <c r="P222" s="293">
        <f t="shared" si="23"/>
        <v>1802.2800803595198</v>
      </c>
      <c r="Q222" s="295">
        <f t="shared" si="24"/>
        <v>471.2980432940947</v>
      </c>
      <c r="S222" s="87"/>
      <c r="T222" s="87"/>
    </row>
    <row r="223" spans="1:20" ht="12.75">
      <c r="A223" s="918" t="s">
        <v>52</v>
      </c>
      <c r="B223" s="39">
        <v>1</v>
      </c>
      <c r="C223" s="49" t="s">
        <v>575</v>
      </c>
      <c r="D223" s="41">
        <v>4</v>
      </c>
      <c r="E223" s="41">
        <v>1954</v>
      </c>
      <c r="F223" s="315">
        <v>11.002</v>
      </c>
      <c r="G223" s="315">
        <v>0.39576</v>
      </c>
      <c r="H223" s="315">
        <v>0.64</v>
      </c>
      <c r="I223" s="315">
        <f aca="true" t="shared" si="25" ref="I223:I230">F223-G223-H223</f>
        <v>9.96624</v>
      </c>
      <c r="J223" s="317">
        <v>268.9</v>
      </c>
      <c r="K223" s="315">
        <v>9.96624</v>
      </c>
      <c r="L223" s="317">
        <v>268.9</v>
      </c>
      <c r="M223" s="303">
        <f t="shared" si="21"/>
        <v>0.03706299739680179</v>
      </c>
      <c r="N223" s="304">
        <v>261.501</v>
      </c>
      <c r="O223" s="304">
        <f t="shared" si="22"/>
        <v>9.692010882261064</v>
      </c>
      <c r="P223" s="304">
        <f t="shared" si="23"/>
        <v>2223.7798438081077</v>
      </c>
      <c r="Q223" s="305">
        <f t="shared" si="24"/>
        <v>581.520652935664</v>
      </c>
      <c r="S223" s="87"/>
      <c r="T223" s="87"/>
    </row>
    <row r="224" spans="1:20" ht="12.75">
      <c r="A224" s="919"/>
      <c r="B224" s="41">
        <v>2</v>
      </c>
      <c r="C224" s="766" t="s">
        <v>576</v>
      </c>
      <c r="D224" s="189">
        <v>6</v>
      </c>
      <c r="E224" s="189">
        <v>1953</v>
      </c>
      <c r="F224" s="312">
        <v>7.615</v>
      </c>
      <c r="G224" s="312">
        <v>0.15657</v>
      </c>
      <c r="H224" s="312">
        <v>0.02</v>
      </c>
      <c r="I224" s="312">
        <f t="shared" si="25"/>
        <v>7.43843</v>
      </c>
      <c r="J224" s="479">
        <v>272.16</v>
      </c>
      <c r="K224" s="312">
        <v>5.31486</v>
      </c>
      <c r="L224" s="479">
        <v>142.96</v>
      </c>
      <c r="M224" s="309">
        <f t="shared" si="21"/>
        <v>0.03717725237828763</v>
      </c>
      <c r="N224" s="304">
        <v>261.501</v>
      </c>
      <c r="O224" s="310">
        <f t="shared" si="22"/>
        <v>9.721888674174593</v>
      </c>
      <c r="P224" s="304">
        <f t="shared" si="23"/>
        <v>2230.635142697258</v>
      </c>
      <c r="Q224" s="311">
        <f t="shared" si="24"/>
        <v>583.3133204504755</v>
      </c>
      <c r="S224" s="87"/>
      <c r="T224" s="87"/>
    </row>
    <row r="225" spans="1:20" ht="12.75">
      <c r="A225" s="919"/>
      <c r="B225" s="41">
        <v>3</v>
      </c>
      <c r="C225" s="766" t="s">
        <v>577</v>
      </c>
      <c r="D225" s="189">
        <v>16</v>
      </c>
      <c r="E225" s="189">
        <v>1960</v>
      </c>
      <c r="F225" s="312">
        <v>36.354</v>
      </c>
      <c r="G225" s="312">
        <v>2.05</v>
      </c>
      <c r="H225" s="312">
        <v>1.92</v>
      </c>
      <c r="I225" s="312">
        <f t="shared" si="25"/>
        <v>32.384</v>
      </c>
      <c r="J225" s="479">
        <v>272.16</v>
      </c>
      <c r="K225" s="312">
        <v>18.5664</v>
      </c>
      <c r="L225" s="479">
        <v>499.19</v>
      </c>
      <c r="M225" s="309">
        <f t="shared" si="21"/>
        <v>0.03719305274544763</v>
      </c>
      <c r="N225" s="304">
        <v>261.501</v>
      </c>
      <c r="O225" s="310">
        <f t="shared" si="22"/>
        <v>9.7260204859873</v>
      </c>
      <c r="P225" s="304">
        <f t="shared" si="23"/>
        <v>2231.583164726858</v>
      </c>
      <c r="Q225" s="311">
        <f t="shared" si="24"/>
        <v>583.561229159238</v>
      </c>
      <c r="S225" s="87"/>
      <c r="T225" s="87"/>
    </row>
    <row r="226" spans="1:20" ht="12.75">
      <c r="A226" s="919"/>
      <c r="B226" s="41">
        <v>4</v>
      </c>
      <c r="C226" s="49" t="s">
        <v>307</v>
      </c>
      <c r="D226" s="41">
        <v>80</v>
      </c>
      <c r="E226" s="41">
        <v>1961</v>
      </c>
      <c r="F226" s="315">
        <v>54.066</v>
      </c>
      <c r="G226" s="315">
        <v>3.078</v>
      </c>
      <c r="H226" s="315">
        <v>0.8</v>
      </c>
      <c r="I226" s="315">
        <f t="shared" si="25"/>
        <v>50.188</v>
      </c>
      <c r="J226" s="317">
        <v>1344.76</v>
      </c>
      <c r="K226" s="315">
        <v>50.188</v>
      </c>
      <c r="L226" s="317">
        <v>1344.76</v>
      </c>
      <c r="M226" s="309">
        <f t="shared" si="21"/>
        <v>0.037321157678693595</v>
      </c>
      <c r="N226" s="304">
        <v>261.501</v>
      </c>
      <c r="O226" s="310">
        <f t="shared" si="22"/>
        <v>9.759520054136052</v>
      </c>
      <c r="P226" s="304">
        <f t="shared" si="23"/>
        <v>2239.269460721616</v>
      </c>
      <c r="Q226" s="311">
        <f t="shared" si="24"/>
        <v>585.5712032481632</v>
      </c>
      <c r="S226" s="87"/>
      <c r="T226" s="87"/>
    </row>
    <row r="227" spans="1:20" ht="12.75">
      <c r="A227" s="919"/>
      <c r="B227" s="41">
        <v>5</v>
      </c>
      <c r="C227" s="767" t="s">
        <v>578</v>
      </c>
      <c r="D227" s="768">
        <v>18</v>
      </c>
      <c r="E227" s="768">
        <v>1958</v>
      </c>
      <c r="F227" s="459">
        <v>39.711</v>
      </c>
      <c r="G227" s="459">
        <v>1.898</v>
      </c>
      <c r="H227" s="459">
        <v>2.72</v>
      </c>
      <c r="I227" s="459">
        <f t="shared" si="25"/>
        <v>35.092999999999996</v>
      </c>
      <c r="J227" s="769">
        <v>914.96</v>
      </c>
      <c r="K227" s="459">
        <v>35.092</v>
      </c>
      <c r="L227" s="769">
        <v>914.96</v>
      </c>
      <c r="M227" s="309">
        <f t="shared" si="21"/>
        <v>0.038353589227944386</v>
      </c>
      <c r="N227" s="304">
        <v>261.501</v>
      </c>
      <c r="O227" s="310">
        <f t="shared" si="22"/>
        <v>10.029501936696684</v>
      </c>
      <c r="P227" s="304">
        <f t="shared" si="23"/>
        <v>2301.215353676663</v>
      </c>
      <c r="Q227" s="311">
        <f t="shared" si="24"/>
        <v>601.770116201801</v>
      </c>
      <c r="S227" s="87"/>
      <c r="T227" s="87"/>
    </row>
    <row r="228" spans="1:20" ht="12.75">
      <c r="A228" s="919"/>
      <c r="B228" s="41">
        <v>6</v>
      </c>
      <c r="C228" s="49" t="s">
        <v>306</v>
      </c>
      <c r="D228" s="41">
        <v>20</v>
      </c>
      <c r="E228" s="41">
        <v>1957</v>
      </c>
      <c r="F228" s="315">
        <v>30.46</v>
      </c>
      <c r="G228" s="315">
        <v>1.28367</v>
      </c>
      <c r="H228" s="315">
        <v>0.16</v>
      </c>
      <c r="I228" s="315">
        <f t="shared" si="25"/>
        <v>29.01633</v>
      </c>
      <c r="J228" s="317">
        <v>748.5</v>
      </c>
      <c r="K228" s="315">
        <v>29.016</v>
      </c>
      <c r="L228" s="317">
        <v>748.5</v>
      </c>
      <c r="M228" s="309">
        <f t="shared" si="21"/>
        <v>0.03876553106212425</v>
      </c>
      <c r="N228" s="304">
        <v>261.501</v>
      </c>
      <c r="O228" s="310">
        <f t="shared" si="22"/>
        <v>10.137225138276552</v>
      </c>
      <c r="P228" s="304">
        <f t="shared" si="23"/>
        <v>2325.931863727455</v>
      </c>
      <c r="Q228" s="311">
        <f t="shared" si="24"/>
        <v>608.2335082965932</v>
      </c>
      <c r="S228" s="87"/>
      <c r="T228" s="87"/>
    </row>
    <row r="229" spans="1:20" ht="12.75">
      <c r="A229" s="919"/>
      <c r="B229" s="41">
        <v>7</v>
      </c>
      <c r="C229" s="49" t="s">
        <v>155</v>
      </c>
      <c r="D229" s="41">
        <v>6</v>
      </c>
      <c r="E229" s="41">
        <v>1955</v>
      </c>
      <c r="F229" s="315">
        <v>10.572</v>
      </c>
      <c r="G229" s="315">
        <v>0.196</v>
      </c>
      <c r="H229" s="315">
        <v>0.06</v>
      </c>
      <c r="I229" s="315">
        <f t="shared" si="25"/>
        <v>10.315999999999999</v>
      </c>
      <c r="J229" s="317">
        <v>249.66</v>
      </c>
      <c r="K229" s="315">
        <v>8.5315</v>
      </c>
      <c r="L229" s="317">
        <v>206.48</v>
      </c>
      <c r="M229" s="309">
        <f t="shared" si="21"/>
        <v>0.04131877179387834</v>
      </c>
      <c r="N229" s="304">
        <v>261.501</v>
      </c>
      <c r="O229" s="310">
        <f t="shared" si="22"/>
        <v>10.804900142870979</v>
      </c>
      <c r="P229" s="304">
        <f t="shared" si="23"/>
        <v>2479.1263076327004</v>
      </c>
      <c r="Q229" s="311">
        <f t="shared" si="24"/>
        <v>648.2940085722588</v>
      </c>
      <c r="S229" s="87"/>
      <c r="T229" s="87"/>
    </row>
    <row r="230" spans="1:20" ht="12.75">
      <c r="A230" s="919"/>
      <c r="B230" s="40">
        <v>8</v>
      </c>
      <c r="C230" s="49" t="s">
        <v>308</v>
      </c>
      <c r="D230" s="41">
        <v>6</v>
      </c>
      <c r="E230" s="41">
        <v>1959</v>
      </c>
      <c r="F230" s="315">
        <v>8.65</v>
      </c>
      <c r="G230" s="315">
        <v>0.449</v>
      </c>
      <c r="H230" s="315">
        <v>0.06</v>
      </c>
      <c r="I230" s="315">
        <f t="shared" si="25"/>
        <v>8.141</v>
      </c>
      <c r="J230" s="317">
        <v>225.86</v>
      </c>
      <c r="K230" s="315">
        <v>6.28263</v>
      </c>
      <c r="L230" s="317">
        <v>149.18</v>
      </c>
      <c r="M230" s="309">
        <f t="shared" si="21"/>
        <v>0.04211442552620995</v>
      </c>
      <c r="N230" s="304">
        <v>261.501</v>
      </c>
      <c r="O230" s="310">
        <f t="shared" si="22"/>
        <v>11.012964389529426</v>
      </c>
      <c r="P230" s="304">
        <f t="shared" si="23"/>
        <v>2526.865531572597</v>
      </c>
      <c r="Q230" s="311">
        <f t="shared" si="24"/>
        <v>660.7778633717655</v>
      </c>
      <c r="S230" s="87"/>
      <c r="T230" s="87"/>
    </row>
    <row r="231" spans="1:20" ht="12.75">
      <c r="A231" s="919"/>
      <c r="B231" s="41">
        <v>9</v>
      </c>
      <c r="C231" s="49" t="s">
        <v>157</v>
      </c>
      <c r="D231" s="41">
        <v>23</v>
      </c>
      <c r="E231" s="41">
        <v>1963</v>
      </c>
      <c r="F231" s="315">
        <v>23.616</v>
      </c>
      <c r="G231" s="315"/>
      <c r="H231" s="315"/>
      <c r="I231" s="315">
        <v>23.616</v>
      </c>
      <c r="J231" s="317">
        <v>502.6</v>
      </c>
      <c r="K231" s="315">
        <v>23.616</v>
      </c>
      <c r="L231" s="317">
        <v>502.6</v>
      </c>
      <c r="M231" s="309">
        <f t="shared" si="21"/>
        <v>0.04698766414643852</v>
      </c>
      <c r="N231" s="304">
        <v>261.501</v>
      </c>
      <c r="O231" s="310">
        <f t="shared" si="22"/>
        <v>12.287321161957818</v>
      </c>
      <c r="P231" s="304">
        <f t="shared" si="23"/>
        <v>2819.259848786311</v>
      </c>
      <c r="Q231" s="311">
        <f t="shared" si="24"/>
        <v>737.2392697174691</v>
      </c>
      <c r="S231" s="87"/>
      <c r="T231" s="87"/>
    </row>
    <row r="232" spans="1:20" ht="13.5" thickBot="1">
      <c r="A232" s="920"/>
      <c r="B232" s="46">
        <v>10</v>
      </c>
      <c r="C232" s="51" t="s">
        <v>156</v>
      </c>
      <c r="D232" s="46">
        <v>8</v>
      </c>
      <c r="E232" s="46">
        <v>1926</v>
      </c>
      <c r="F232" s="316">
        <v>13.319</v>
      </c>
      <c r="G232" s="316">
        <v>0.51663</v>
      </c>
      <c r="H232" s="316">
        <v>0.8</v>
      </c>
      <c r="I232" s="316">
        <f>F232-G232-H232</f>
        <v>12.00237</v>
      </c>
      <c r="J232" s="358">
        <v>254.15</v>
      </c>
      <c r="K232" s="316">
        <v>9.17498</v>
      </c>
      <c r="L232" s="307">
        <v>194.28</v>
      </c>
      <c r="M232" s="306">
        <f t="shared" si="21"/>
        <v>0.04722555075149269</v>
      </c>
      <c r="N232" s="307">
        <v>261.501</v>
      </c>
      <c r="O232" s="307">
        <f t="shared" si="22"/>
        <v>12.34952874706609</v>
      </c>
      <c r="P232" s="307">
        <f t="shared" si="23"/>
        <v>2833.5330450895617</v>
      </c>
      <c r="Q232" s="308">
        <f t="shared" si="24"/>
        <v>740.9717248239655</v>
      </c>
      <c r="S232" s="87"/>
      <c r="T232" s="87"/>
    </row>
    <row r="233" spans="19:20" ht="12.75">
      <c r="S233" s="87"/>
      <c r="T233" s="87"/>
    </row>
    <row r="234" spans="19:20" ht="12.75">
      <c r="S234" s="87"/>
      <c r="T234" s="87"/>
    </row>
    <row r="235" spans="1:20" ht="15">
      <c r="A235" s="906" t="s">
        <v>60</v>
      </c>
      <c r="B235" s="906"/>
      <c r="C235" s="906"/>
      <c r="D235" s="906"/>
      <c r="E235" s="906"/>
      <c r="F235" s="906"/>
      <c r="G235" s="906"/>
      <c r="H235" s="906"/>
      <c r="I235" s="906"/>
      <c r="J235" s="906"/>
      <c r="K235" s="906"/>
      <c r="L235" s="906"/>
      <c r="M235" s="906"/>
      <c r="N235" s="906"/>
      <c r="O235" s="906"/>
      <c r="P235" s="906"/>
      <c r="Q235" s="906"/>
      <c r="S235" s="87"/>
      <c r="T235" s="87"/>
    </row>
    <row r="236" spans="1:20" ht="13.5" thickBot="1">
      <c r="A236" s="935" t="s">
        <v>579</v>
      </c>
      <c r="B236" s="935"/>
      <c r="C236" s="935"/>
      <c r="D236" s="935"/>
      <c r="E236" s="935"/>
      <c r="F236" s="935"/>
      <c r="G236" s="935"/>
      <c r="H236" s="935"/>
      <c r="I236" s="935"/>
      <c r="J236" s="935"/>
      <c r="K236" s="935"/>
      <c r="L236" s="935"/>
      <c r="M236" s="935"/>
      <c r="N236" s="935"/>
      <c r="O236" s="935"/>
      <c r="P236" s="935"/>
      <c r="Q236" s="935"/>
      <c r="S236" s="87"/>
      <c r="T236" s="87"/>
    </row>
    <row r="237" spans="1:20" ht="12.75" customHeight="1">
      <c r="A237" s="890" t="s">
        <v>1</v>
      </c>
      <c r="B237" s="892" t="s">
        <v>0</v>
      </c>
      <c r="C237" s="888" t="s">
        <v>2</v>
      </c>
      <c r="D237" s="888" t="s">
        <v>3</v>
      </c>
      <c r="E237" s="888" t="s">
        <v>13</v>
      </c>
      <c r="F237" s="896" t="s">
        <v>14</v>
      </c>
      <c r="G237" s="897"/>
      <c r="H237" s="897"/>
      <c r="I237" s="898"/>
      <c r="J237" s="888" t="s">
        <v>4</v>
      </c>
      <c r="K237" s="888" t="s">
        <v>15</v>
      </c>
      <c r="L237" s="888" t="s">
        <v>5</v>
      </c>
      <c r="M237" s="888" t="s">
        <v>6</v>
      </c>
      <c r="N237" s="888" t="s">
        <v>16</v>
      </c>
      <c r="O237" s="949" t="s">
        <v>17</v>
      </c>
      <c r="P237" s="888" t="s">
        <v>25</v>
      </c>
      <c r="Q237" s="878" t="s">
        <v>26</v>
      </c>
      <c r="S237" s="87"/>
      <c r="T237" s="87"/>
    </row>
    <row r="238" spans="1:20" s="2" customFormat="1" ht="33.75">
      <c r="A238" s="891"/>
      <c r="B238" s="893"/>
      <c r="C238" s="894"/>
      <c r="D238" s="889"/>
      <c r="E238" s="889"/>
      <c r="F238" s="36" t="s">
        <v>18</v>
      </c>
      <c r="G238" s="36" t="s">
        <v>19</v>
      </c>
      <c r="H238" s="36" t="s">
        <v>20</v>
      </c>
      <c r="I238" s="36" t="s">
        <v>21</v>
      </c>
      <c r="J238" s="889"/>
      <c r="K238" s="889"/>
      <c r="L238" s="889"/>
      <c r="M238" s="889"/>
      <c r="N238" s="889"/>
      <c r="O238" s="950"/>
      <c r="P238" s="889"/>
      <c r="Q238" s="879"/>
      <c r="S238" s="87"/>
      <c r="T238" s="87"/>
    </row>
    <row r="239" spans="1:20" s="3" customFormat="1" ht="13.5" customHeight="1" thickBot="1">
      <c r="A239" s="945"/>
      <c r="B239" s="946"/>
      <c r="C239" s="895"/>
      <c r="D239" s="59" t="s">
        <v>7</v>
      </c>
      <c r="E239" s="59" t="s">
        <v>8</v>
      </c>
      <c r="F239" s="59" t="s">
        <v>9</v>
      </c>
      <c r="G239" s="59" t="s">
        <v>9</v>
      </c>
      <c r="H239" s="59" t="s">
        <v>9</v>
      </c>
      <c r="I239" s="59" t="s">
        <v>9</v>
      </c>
      <c r="J239" s="59" t="s">
        <v>22</v>
      </c>
      <c r="K239" s="59" t="s">
        <v>9</v>
      </c>
      <c r="L239" s="59" t="s">
        <v>22</v>
      </c>
      <c r="M239" s="59" t="s">
        <v>142</v>
      </c>
      <c r="N239" s="59" t="s">
        <v>10</v>
      </c>
      <c r="O239" s="59" t="s">
        <v>143</v>
      </c>
      <c r="P239" s="60" t="s">
        <v>27</v>
      </c>
      <c r="Q239" s="61" t="s">
        <v>28</v>
      </c>
      <c r="S239" s="87"/>
      <c r="T239" s="87"/>
    </row>
    <row r="240" spans="1:20" ht="12.75" customHeight="1">
      <c r="A240" s="977" t="s">
        <v>11</v>
      </c>
      <c r="B240" s="30">
        <v>1</v>
      </c>
      <c r="C240" s="361" t="s">
        <v>444</v>
      </c>
      <c r="D240" s="404">
        <v>10</v>
      </c>
      <c r="E240" s="62">
        <v>1999</v>
      </c>
      <c r="F240" s="249">
        <f>+G240+H240+I240</f>
        <v>1.767661</v>
      </c>
      <c r="G240" s="789">
        <v>0</v>
      </c>
      <c r="H240" s="789">
        <v>0</v>
      </c>
      <c r="I240" s="789">
        <v>1.767661</v>
      </c>
      <c r="J240" s="790">
        <v>1261.9</v>
      </c>
      <c r="K240" s="789">
        <v>1.767661</v>
      </c>
      <c r="L240" s="790">
        <v>1261.9</v>
      </c>
      <c r="M240" s="251">
        <f>+K240/L240</f>
        <v>0.0014007932482764083</v>
      </c>
      <c r="N240" s="250">
        <v>307.707</v>
      </c>
      <c r="O240" s="250">
        <f>+M240*N240</f>
        <v>0.4310338880473888</v>
      </c>
      <c r="P240" s="250">
        <f>+M240*60*1000</f>
        <v>84.0475948965845</v>
      </c>
      <c r="Q240" s="253">
        <f>+O240*60</f>
        <v>25.862033282843328</v>
      </c>
      <c r="R240" s="6"/>
      <c r="S240" s="87"/>
      <c r="T240" s="87"/>
    </row>
    <row r="241" spans="1:20" ht="12.75">
      <c r="A241" s="978"/>
      <c r="B241" s="31">
        <v>2</v>
      </c>
      <c r="C241" s="361" t="s">
        <v>438</v>
      </c>
      <c r="D241" s="404">
        <v>30</v>
      </c>
      <c r="E241" s="31">
        <v>1973</v>
      </c>
      <c r="F241" s="254">
        <f aca="true" t="shared" si="26" ref="F241:F248">+G241+H241+I241</f>
        <v>21.890997</v>
      </c>
      <c r="G241" s="462">
        <v>5.411097</v>
      </c>
      <c r="H241" s="462">
        <v>4.8</v>
      </c>
      <c r="I241" s="462">
        <v>11.6799</v>
      </c>
      <c r="J241" s="468">
        <v>1569.45</v>
      </c>
      <c r="K241" s="462">
        <v>11.6799</v>
      </c>
      <c r="L241" s="468">
        <v>1569.45</v>
      </c>
      <c r="M241" s="133">
        <f aca="true" t="shared" si="27" ref="M241:M248">+K241/L241</f>
        <v>0.007442033833508554</v>
      </c>
      <c r="N241" s="132">
        <v>307.707</v>
      </c>
      <c r="O241" s="132">
        <f aca="true" t="shared" si="28" ref="O241:O248">+M241*N241</f>
        <v>2.2899659048074166</v>
      </c>
      <c r="P241" s="132">
        <f aca="true" t="shared" si="29" ref="P241:P248">+M241*60*1000</f>
        <v>446.5220300105132</v>
      </c>
      <c r="Q241" s="134">
        <f aca="true" t="shared" si="30" ref="Q241:Q248">+O241*60</f>
        <v>137.397954288445</v>
      </c>
      <c r="S241" s="87"/>
      <c r="T241" s="87"/>
    </row>
    <row r="242" spans="1:20" ht="12.75">
      <c r="A242" s="978"/>
      <c r="B242" s="31">
        <v>3</v>
      </c>
      <c r="C242" s="361" t="s">
        <v>158</v>
      </c>
      <c r="D242" s="404">
        <v>10</v>
      </c>
      <c r="E242" s="31">
        <v>2008</v>
      </c>
      <c r="F242" s="254">
        <f t="shared" si="26"/>
        <v>6.379250000000001</v>
      </c>
      <c r="G242" s="462">
        <v>1.377</v>
      </c>
      <c r="H242" s="462">
        <v>0.51125</v>
      </c>
      <c r="I242" s="462">
        <v>4.4910000000000005</v>
      </c>
      <c r="J242" s="468">
        <v>1123.59</v>
      </c>
      <c r="K242" s="462">
        <v>4.4910000000000005</v>
      </c>
      <c r="L242" s="468">
        <v>552.87</v>
      </c>
      <c r="M242" s="133">
        <f t="shared" si="27"/>
        <v>0.008123066905420804</v>
      </c>
      <c r="N242" s="132">
        <v>307.707</v>
      </c>
      <c r="O242" s="132">
        <f t="shared" si="28"/>
        <v>2.4995245482663195</v>
      </c>
      <c r="P242" s="132">
        <f t="shared" si="29"/>
        <v>487.38401432524824</v>
      </c>
      <c r="Q242" s="134">
        <f t="shared" si="30"/>
        <v>149.97147289597916</v>
      </c>
      <c r="S242" s="87"/>
      <c r="T242" s="87"/>
    </row>
    <row r="243" spans="1:20" ht="12.75">
      <c r="A243" s="978"/>
      <c r="B243" s="31">
        <v>4</v>
      </c>
      <c r="C243" s="361" t="s">
        <v>441</v>
      </c>
      <c r="D243" s="404">
        <v>55</v>
      </c>
      <c r="E243" s="31">
        <v>1967</v>
      </c>
      <c r="F243" s="254">
        <f t="shared" si="26"/>
        <v>36.917996</v>
      </c>
      <c r="G243" s="462">
        <v>4.93672</v>
      </c>
      <c r="H243" s="462">
        <v>8.8</v>
      </c>
      <c r="I243" s="462">
        <v>23.181275999999997</v>
      </c>
      <c r="J243" s="468">
        <v>2582.18</v>
      </c>
      <c r="K243" s="462">
        <v>23.181275999999997</v>
      </c>
      <c r="L243" s="468">
        <v>2582.18</v>
      </c>
      <c r="M243" s="133">
        <f t="shared" si="27"/>
        <v>0.008977405138293999</v>
      </c>
      <c r="N243" s="132">
        <v>307.707</v>
      </c>
      <c r="O243" s="132">
        <f t="shared" si="28"/>
        <v>2.7624104028890315</v>
      </c>
      <c r="P243" s="132">
        <f t="shared" si="29"/>
        <v>538.6443082976399</v>
      </c>
      <c r="Q243" s="134">
        <f t="shared" si="30"/>
        <v>165.7446241733419</v>
      </c>
      <c r="S243" s="87"/>
      <c r="T243" s="87"/>
    </row>
    <row r="244" spans="1:20" ht="12.75">
      <c r="A244" s="978"/>
      <c r="B244" s="31">
        <v>5</v>
      </c>
      <c r="C244" s="361" t="s">
        <v>159</v>
      </c>
      <c r="D244" s="404">
        <v>36</v>
      </c>
      <c r="E244" s="31">
        <v>1984</v>
      </c>
      <c r="F244" s="254">
        <f t="shared" si="26"/>
        <v>32.251406</v>
      </c>
      <c r="G244" s="462">
        <v>3.29562</v>
      </c>
      <c r="H244" s="462">
        <v>8.64</v>
      </c>
      <c r="I244" s="462">
        <v>20.315786</v>
      </c>
      <c r="J244" s="468">
        <v>2249.59</v>
      </c>
      <c r="K244" s="462">
        <v>20.315786</v>
      </c>
      <c r="L244" s="468">
        <v>2249.59</v>
      </c>
      <c r="M244" s="133">
        <f t="shared" si="27"/>
        <v>0.009030883849945989</v>
      </c>
      <c r="N244" s="132">
        <v>307.707</v>
      </c>
      <c r="O244" s="132">
        <f t="shared" si="28"/>
        <v>2.77886617681533</v>
      </c>
      <c r="P244" s="132">
        <f t="shared" si="29"/>
        <v>541.8530309967593</v>
      </c>
      <c r="Q244" s="134">
        <f t="shared" si="30"/>
        <v>166.73197060891982</v>
      </c>
      <c r="S244" s="87"/>
      <c r="T244" s="87"/>
    </row>
    <row r="245" spans="1:20" ht="12.75">
      <c r="A245" s="978"/>
      <c r="B245" s="31">
        <v>6</v>
      </c>
      <c r="C245" s="361" t="s">
        <v>439</v>
      </c>
      <c r="D245" s="404">
        <v>71</v>
      </c>
      <c r="E245" s="31">
        <v>1974</v>
      </c>
      <c r="F245" s="254">
        <f t="shared" si="26"/>
        <v>51.237296</v>
      </c>
      <c r="G245" s="462">
        <v>5.92943</v>
      </c>
      <c r="H245" s="462">
        <v>11.200000000000001</v>
      </c>
      <c r="I245" s="462">
        <v>34.107866</v>
      </c>
      <c r="J245" s="468">
        <v>3773.31</v>
      </c>
      <c r="K245" s="462">
        <v>34.107866</v>
      </c>
      <c r="L245" s="468">
        <v>3648.6800000000003</v>
      </c>
      <c r="M245" s="133">
        <f t="shared" si="27"/>
        <v>0.009348001469024415</v>
      </c>
      <c r="N245" s="132">
        <v>307.707</v>
      </c>
      <c r="O245" s="132">
        <f t="shared" si="28"/>
        <v>2.8764454880290957</v>
      </c>
      <c r="P245" s="132">
        <f t="shared" si="29"/>
        <v>560.8800881414649</v>
      </c>
      <c r="Q245" s="134">
        <f t="shared" si="30"/>
        <v>172.58672928174573</v>
      </c>
      <c r="S245" s="87"/>
      <c r="T245" s="87"/>
    </row>
    <row r="246" spans="1:20" ht="12.75">
      <c r="A246" s="978"/>
      <c r="B246" s="31">
        <v>7</v>
      </c>
      <c r="C246" s="361" t="s">
        <v>443</v>
      </c>
      <c r="D246" s="404">
        <v>20</v>
      </c>
      <c r="E246" s="31">
        <v>1976</v>
      </c>
      <c r="F246" s="254">
        <f t="shared" si="26"/>
        <v>24.008000000000003</v>
      </c>
      <c r="G246" s="462">
        <v>3.774</v>
      </c>
      <c r="H246" s="462">
        <v>3.04</v>
      </c>
      <c r="I246" s="462">
        <v>17.194000000000003</v>
      </c>
      <c r="J246" s="468">
        <v>1720.29</v>
      </c>
      <c r="K246" s="462">
        <v>17.194000000000003</v>
      </c>
      <c r="L246" s="468">
        <v>1720.29</v>
      </c>
      <c r="M246" s="133">
        <f t="shared" si="27"/>
        <v>0.009994826453679323</v>
      </c>
      <c r="N246" s="132">
        <v>307.707</v>
      </c>
      <c r="O246" s="132">
        <f t="shared" si="28"/>
        <v>3.0754780635823034</v>
      </c>
      <c r="P246" s="132">
        <f t="shared" si="29"/>
        <v>599.6895872207593</v>
      </c>
      <c r="Q246" s="134">
        <f t="shared" si="30"/>
        <v>184.5286838149382</v>
      </c>
      <c r="S246" s="87"/>
      <c r="T246" s="87"/>
    </row>
    <row r="247" spans="1:20" ht="12.75">
      <c r="A247" s="978"/>
      <c r="B247" s="31">
        <v>8</v>
      </c>
      <c r="C247" s="361" t="s">
        <v>580</v>
      </c>
      <c r="D247" s="404">
        <v>10</v>
      </c>
      <c r="E247" s="31">
        <v>1994</v>
      </c>
      <c r="F247" s="254">
        <f t="shared" si="26"/>
        <v>13.792999000000002</v>
      </c>
      <c r="G247" s="462">
        <v>1.8244399999999998</v>
      </c>
      <c r="H247" s="462">
        <v>1.6</v>
      </c>
      <c r="I247" s="462">
        <v>10.368559000000001</v>
      </c>
      <c r="J247" s="468">
        <v>1100.65</v>
      </c>
      <c r="K247" s="462">
        <v>10.368559000000001</v>
      </c>
      <c r="L247" s="468">
        <v>982.46</v>
      </c>
      <c r="M247" s="133">
        <f t="shared" si="27"/>
        <v>0.0105536703784378</v>
      </c>
      <c r="N247" s="132">
        <v>307.707</v>
      </c>
      <c r="O247" s="132">
        <f t="shared" si="28"/>
        <v>3.24743825113796</v>
      </c>
      <c r="P247" s="132">
        <f t="shared" si="29"/>
        <v>633.220222706268</v>
      </c>
      <c r="Q247" s="134">
        <f t="shared" si="30"/>
        <v>194.8462950682776</v>
      </c>
      <c r="S247" s="87"/>
      <c r="T247" s="87"/>
    </row>
    <row r="248" spans="1:20" ht="12.75">
      <c r="A248" s="978"/>
      <c r="B248" s="31">
        <v>9</v>
      </c>
      <c r="C248" s="361" t="s">
        <v>310</v>
      </c>
      <c r="D248" s="404">
        <v>29</v>
      </c>
      <c r="E248" s="31">
        <v>2007</v>
      </c>
      <c r="F248" s="463">
        <f t="shared" si="26"/>
        <v>24.484009999999998</v>
      </c>
      <c r="G248" s="462">
        <v>2.87081</v>
      </c>
      <c r="H248" s="462">
        <v>2.32</v>
      </c>
      <c r="I248" s="462">
        <v>19.2932</v>
      </c>
      <c r="J248" s="468">
        <v>3447.1</v>
      </c>
      <c r="K248" s="462">
        <v>19.2932</v>
      </c>
      <c r="L248" s="468">
        <v>1796.56</v>
      </c>
      <c r="M248" s="133">
        <f t="shared" si="27"/>
        <v>0.01073896780513871</v>
      </c>
      <c r="N248" s="132">
        <v>307.707</v>
      </c>
      <c r="O248" s="132">
        <f t="shared" si="28"/>
        <v>3.304455566415817</v>
      </c>
      <c r="P248" s="132">
        <f t="shared" si="29"/>
        <v>644.3380683083225</v>
      </c>
      <c r="Q248" s="134">
        <f t="shared" si="30"/>
        <v>198.267333984949</v>
      </c>
      <c r="S248" s="87"/>
      <c r="T248" s="87"/>
    </row>
    <row r="249" spans="1:20" ht="13.5" thickBot="1">
      <c r="A249" s="979"/>
      <c r="B249" s="62">
        <v>10</v>
      </c>
      <c r="C249" s="65"/>
      <c r="D249" s="64"/>
      <c r="E249" s="64"/>
      <c r="F249" s="216"/>
      <c r="G249" s="216"/>
      <c r="H249" s="216"/>
      <c r="I249" s="216"/>
      <c r="J249" s="334"/>
      <c r="K249" s="216"/>
      <c r="L249" s="334"/>
      <c r="M249" s="136"/>
      <c r="N249" s="135"/>
      <c r="O249" s="135"/>
      <c r="P249" s="135"/>
      <c r="Q249" s="137"/>
      <c r="S249" s="87"/>
      <c r="T249" s="87"/>
    </row>
    <row r="250" spans="1:20" ht="11.25" customHeight="1">
      <c r="A250" s="942" t="s">
        <v>29</v>
      </c>
      <c r="B250" s="33">
        <v>1</v>
      </c>
      <c r="C250" s="362" t="s">
        <v>581</v>
      </c>
      <c r="D250" s="416">
        <v>40</v>
      </c>
      <c r="E250" s="33">
        <v>2009</v>
      </c>
      <c r="F250" s="267">
        <f>+G250+H250+I250</f>
        <v>35.418008</v>
      </c>
      <c r="G250" s="578">
        <v>8.177784</v>
      </c>
      <c r="H250" s="578">
        <v>3.2</v>
      </c>
      <c r="I250" s="578">
        <v>24.040224</v>
      </c>
      <c r="J250" s="579">
        <v>2225.68</v>
      </c>
      <c r="K250" s="578">
        <v>24.040224</v>
      </c>
      <c r="L250" s="579">
        <v>2225.68</v>
      </c>
      <c r="M250" s="147">
        <f>+K250/L250</f>
        <v>0.010801293986556918</v>
      </c>
      <c r="N250" s="148">
        <v>307.707</v>
      </c>
      <c r="O250" s="148">
        <f>+M250*N250</f>
        <v>3.323633768721469</v>
      </c>
      <c r="P250" s="148">
        <f>+M250*60*1000</f>
        <v>648.077639193415</v>
      </c>
      <c r="Q250" s="170">
        <f>+O250*60</f>
        <v>199.41802612328814</v>
      </c>
      <c r="S250" s="87"/>
      <c r="T250" s="87"/>
    </row>
    <row r="251" spans="1:20" ht="12.75" customHeight="1">
      <c r="A251" s="943"/>
      <c r="B251" s="35">
        <v>2</v>
      </c>
      <c r="C251" s="362" t="s">
        <v>440</v>
      </c>
      <c r="D251" s="416">
        <v>93</v>
      </c>
      <c r="E251" s="35">
        <v>1973</v>
      </c>
      <c r="F251" s="263">
        <f aca="true" t="shared" si="31" ref="F251:F257">+G251+H251+I251</f>
        <v>72.575987</v>
      </c>
      <c r="G251" s="464">
        <v>9.106318</v>
      </c>
      <c r="H251" s="464">
        <v>14.4</v>
      </c>
      <c r="I251" s="464">
        <v>49.069669000000005</v>
      </c>
      <c r="J251" s="469">
        <v>4520.3</v>
      </c>
      <c r="K251" s="464">
        <v>49.069669000000005</v>
      </c>
      <c r="L251" s="469">
        <v>4520.3</v>
      </c>
      <c r="M251" s="139">
        <f aca="true" t="shared" si="32" ref="M251:M258">+K251/L251</f>
        <v>0.010855400968962238</v>
      </c>
      <c r="N251" s="138">
        <v>307.707</v>
      </c>
      <c r="O251" s="138">
        <f aca="true" t="shared" si="33" ref="O251:O258">+M251*N251</f>
        <v>3.340282865956463</v>
      </c>
      <c r="P251" s="138">
        <f aca="true" t="shared" si="34" ref="P251:P258">+M251*60*1000</f>
        <v>651.3240581377343</v>
      </c>
      <c r="Q251" s="168">
        <f aca="true" t="shared" si="35" ref="Q251:Q258">+O251*60</f>
        <v>200.4169719573878</v>
      </c>
      <c r="S251" s="87"/>
      <c r="T251" s="87"/>
    </row>
    <row r="252" spans="1:20" ht="12.75" customHeight="1">
      <c r="A252" s="943"/>
      <c r="B252" s="35">
        <v>3</v>
      </c>
      <c r="C252" s="362" t="s">
        <v>442</v>
      </c>
      <c r="D252" s="416">
        <v>30</v>
      </c>
      <c r="E252" s="35">
        <v>1971</v>
      </c>
      <c r="F252" s="263">
        <f t="shared" si="31"/>
        <v>25.231005000000003</v>
      </c>
      <c r="G252" s="464">
        <v>3.2732600000000005</v>
      </c>
      <c r="H252" s="464">
        <v>4.8</v>
      </c>
      <c r="I252" s="464">
        <v>17.157745000000002</v>
      </c>
      <c r="J252" s="469">
        <v>1569.65</v>
      </c>
      <c r="K252" s="464">
        <v>17.157745000000002</v>
      </c>
      <c r="L252" s="469">
        <v>1569.65</v>
      </c>
      <c r="M252" s="139">
        <f t="shared" si="32"/>
        <v>0.010930936833051954</v>
      </c>
      <c r="N252" s="138">
        <v>307.707</v>
      </c>
      <c r="O252" s="138">
        <f t="shared" si="33"/>
        <v>3.3635257800879175</v>
      </c>
      <c r="P252" s="138">
        <f t="shared" si="34"/>
        <v>655.8562099831172</v>
      </c>
      <c r="Q252" s="168">
        <f t="shared" si="35"/>
        <v>201.81154680527504</v>
      </c>
      <c r="S252" s="87"/>
      <c r="T252" s="87"/>
    </row>
    <row r="253" spans="1:20" s="96" customFormat="1" ht="12.75" customHeight="1">
      <c r="A253" s="943"/>
      <c r="B253" s="103">
        <v>4</v>
      </c>
      <c r="C253" s="362" t="s">
        <v>582</v>
      </c>
      <c r="D253" s="416">
        <v>20</v>
      </c>
      <c r="E253" s="35">
        <v>1996</v>
      </c>
      <c r="F253" s="263">
        <f t="shared" si="31"/>
        <v>25.229001</v>
      </c>
      <c r="G253" s="464">
        <v>11.204208000000001</v>
      </c>
      <c r="H253" s="464">
        <v>3.2</v>
      </c>
      <c r="I253" s="464">
        <v>10.824793</v>
      </c>
      <c r="J253" s="469">
        <v>967.47</v>
      </c>
      <c r="K253" s="464">
        <v>10.824793</v>
      </c>
      <c r="L253" s="469">
        <v>967.47</v>
      </c>
      <c r="M253" s="139">
        <f t="shared" si="32"/>
        <v>0.011188763475870053</v>
      </c>
      <c r="N253" s="138">
        <v>307.707</v>
      </c>
      <c r="O253" s="138">
        <f t="shared" si="33"/>
        <v>3.442860842869546</v>
      </c>
      <c r="P253" s="138">
        <f t="shared" si="34"/>
        <v>671.3258085522032</v>
      </c>
      <c r="Q253" s="168">
        <f t="shared" si="35"/>
        <v>206.57165057217276</v>
      </c>
      <c r="S253" s="87"/>
      <c r="T253" s="87"/>
    </row>
    <row r="254" spans="1:20" s="96" customFormat="1" ht="12.75" customHeight="1">
      <c r="A254" s="943"/>
      <c r="B254" s="103">
        <v>5</v>
      </c>
      <c r="C254" s="362" t="s">
        <v>583</v>
      </c>
      <c r="D254" s="416">
        <v>34</v>
      </c>
      <c r="E254" s="35">
        <v>2001</v>
      </c>
      <c r="F254" s="263">
        <f t="shared" si="31"/>
        <v>29.926000000000002</v>
      </c>
      <c r="G254" s="464">
        <v>3.7562</v>
      </c>
      <c r="H254" s="464">
        <v>5.44</v>
      </c>
      <c r="I254" s="464">
        <v>20.7298</v>
      </c>
      <c r="J254" s="469">
        <v>1747.92</v>
      </c>
      <c r="K254" s="464">
        <v>20.7298</v>
      </c>
      <c r="L254" s="469">
        <v>1747.92</v>
      </c>
      <c r="M254" s="139">
        <f t="shared" si="32"/>
        <v>0.011859696095931163</v>
      </c>
      <c r="N254" s="138">
        <v>307.707</v>
      </c>
      <c r="O254" s="138">
        <f t="shared" si="33"/>
        <v>3.6493115065906903</v>
      </c>
      <c r="P254" s="138">
        <f t="shared" si="34"/>
        <v>711.5817657558698</v>
      </c>
      <c r="Q254" s="168">
        <f t="shared" si="35"/>
        <v>218.9586903954414</v>
      </c>
      <c r="S254" s="87"/>
      <c r="T254" s="87"/>
    </row>
    <row r="255" spans="1:20" s="96" customFormat="1" ht="12.75" customHeight="1">
      <c r="A255" s="943"/>
      <c r="B255" s="103">
        <v>6</v>
      </c>
      <c r="C255" s="362" t="s">
        <v>584</v>
      </c>
      <c r="D255" s="416">
        <v>29</v>
      </c>
      <c r="E255" s="35">
        <v>1979</v>
      </c>
      <c r="F255" s="263">
        <f t="shared" si="31"/>
        <v>30.84677</v>
      </c>
      <c r="G255" s="464">
        <v>6.5840819999999995</v>
      </c>
      <c r="H255" s="464">
        <v>4.64</v>
      </c>
      <c r="I255" s="464">
        <v>19.622688</v>
      </c>
      <c r="J255" s="469">
        <v>1573.24</v>
      </c>
      <c r="K255" s="464">
        <v>19.622688</v>
      </c>
      <c r="L255" s="469">
        <v>1525.89</v>
      </c>
      <c r="M255" s="139">
        <f t="shared" si="32"/>
        <v>0.012859831311562432</v>
      </c>
      <c r="N255" s="138">
        <v>307.707</v>
      </c>
      <c r="O255" s="138">
        <f t="shared" si="33"/>
        <v>3.9570601133869414</v>
      </c>
      <c r="P255" s="138">
        <f t="shared" si="34"/>
        <v>771.589878693746</v>
      </c>
      <c r="Q255" s="168">
        <f t="shared" si="35"/>
        <v>237.42360680321647</v>
      </c>
      <c r="S255" s="87"/>
      <c r="T255" s="87"/>
    </row>
    <row r="256" spans="1:20" s="96" customFormat="1" ht="12.75" customHeight="1">
      <c r="A256" s="943"/>
      <c r="B256" s="103">
        <v>7</v>
      </c>
      <c r="C256" s="362" t="s">
        <v>309</v>
      </c>
      <c r="D256" s="416">
        <v>111</v>
      </c>
      <c r="E256" s="35">
        <v>1972</v>
      </c>
      <c r="F256" s="263">
        <f t="shared" si="31"/>
        <v>106.56941699999999</v>
      </c>
      <c r="G256" s="464">
        <v>13.617</v>
      </c>
      <c r="H256" s="464">
        <v>17.76</v>
      </c>
      <c r="I256" s="464">
        <v>75.19241699999999</v>
      </c>
      <c r="J256" s="469">
        <v>5858.8</v>
      </c>
      <c r="K256" s="464">
        <v>75.19241699999999</v>
      </c>
      <c r="L256" s="469">
        <v>5795.400000000001</v>
      </c>
      <c r="M256" s="139">
        <f t="shared" si="32"/>
        <v>0.012974499948234804</v>
      </c>
      <c r="N256" s="138">
        <v>307.707</v>
      </c>
      <c r="O256" s="138">
        <f t="shared" si="33"/>
        <v>3.9923444555714864</v>
      </c>
      <c r="P256" s="138">
        <f t="shared" si="34"/>
        <v>778.4699968940882</v>
      </c>
      <c r="Q256" s="168">
        <f t="shared" si="35"/>
        <v>239.5406673342892</v>
      </c>
      <c r="S256" s="87"/>
      <c r="T256" s="87"/>
    </row>
    <row r="257" spans="1:20" s="96" customFormat="1" ht="12.75" customHeight="1">
      <c r="A257" s="943"/>
      <c r="B257" s="103">
        <v>8</v>
      </c>
      <c r="C257" s="362" t="s">
        <v>585</v>
      </c>
      <c r="D257" s="416">
        <v>55</v>
      </c>
      <c r="E257" s="35">
        <v>1995</v>
      </c>
      <c r="F257" s="263">
        <f t="shared" si="31"/>
        <v>60.78300000000001</v>
      </c>
      <c r="G257" s="464">
        <v>8.007000000000001</v>
      </c>
      <c r="H257" s="464">
        <v>8.8</v>
      </c>
      <c r="I257" s="464">
        <v>43.976000000000006</v>
      </c>
      <c r="J257" s="469">
        <v>3364.89</v>
      </c>
      <c r="K257" s="464">
        <v>43.976000000000006</v>
      </c>
      <c r="L257" s="469">
        <v>3364.89</v>
      </c>
      <c r="M257" s="139">
        <f t="shared" si="32"/>
        <v>0.013069075066346896</v>
      </c>
      <c r="N257" s="138">
        <v>307.707</v>
      </c>
      <c r="O257" s="138">
        <f t="shared" si="33"/>
        <v>4.021445881440404</v>
      </c>
      <c r="P257" s="138">
        <f t="shared" si="34"/>
        <v>784.1445039808139</v>
      </c>
      <c r="Q257" s="168">
        <f t="shared" si="35"/>
        <v>241.28675288642424</v>
      </c>
      <c r="S257" s="87"/>
      <c r="T257" s="87"/>
    </row>
    <row r="258" spans="1:20" s="96" customFormat="1" ht="12.75" customHeight="1">
      <c r="A258" s="943"/>
      <c r="B258" s="103">
        <v>9</v>
      </c>
      <c r="C258" s="362" t="s">
        <v>586</v>
      </c>
      <c r="D258" s="416">
        <v>40</v>
      </c>
      <c r="E258" s="35">
        <v>1996</v>
      </c>
      <c r="F258" s="263">
        <f>+G258+H258+I258</f>
        <v>41.989</v>
      </c>
      <c r="G258" s="464">
        <v>6.222</v>
      </c>
      <c r="H258" s="464">
        <v>6.4</v>
      </c>
      <c r="I258" s="464">
        <v>29.366999999999997</v>
      </c>
      <c r="J258" s="469">
        <v>2226.71</v>
      </c>
      <c r="K258" s="464">
        <v>29.366999999999997</v>
      </c>
      <c r="L258" s="469">
        <v>2226.71</v>
      </c>
      <c r="M258" s="139">
        <f t="shared" si="32"/>
        <v>0.013188515792357332</v>
      </c>
      <c r="N258" s="138">
        <v>307.707</v>
      </c>
      <c r="O258" s="138">
        <f t="shared" si="33"/>
        <v>4.058198628918897</v>
      </c>
      <c r="P258" s="138">
        <f t="shared" si="34"/>
        <v>791.31094754144</v>
      </c>
      <c r="Q258" s="168">
        <f t="shared" si="35"/>
        <v>243.49191773513385</v>
      </c>
      <c r="S258" s="87"/>
      <c r="T258" s="87"/>
    </row>
    <row r="259" spans="1:20" s="96" customFormat="1" ht="12.75" customHeight="1" thickBot="1">
      <c r="A259" s="944"/>
      <c r="B259" s="122">
        <v>10</v>
      </c>
      <c r="C259" s="83"/>
      <c r="D259" s="38"/>
      <c r="E259" s="38"/>
      <c r="F259" s="265"/>
      <c r="G259" s="265"/>
      <c r="H259" s="265"/>
      <c r="I259" s="265"/>
      <c r="J259" s="184"/>
      <c r="K259" s="265"/>
      <c r="L259" s="184"/>
      <c r="M259" s="218"/>
      <c r="N259" s="171"/>
      <c r="O259" s="171"/>
      <c r="P259" s="171"/>
      <c r="Q259" s="172"/>
      <c r="S259" s="87"/>
      <c r="T259" s="87"/>
    </row>
    <row r="260" spans="1:20" s="96" customFormat="1" ht="12.75" customHeight="1">
      <c r="A260" s="980" t="s">
        <v>30</v>
      </c>
      <c r="B260" s="296">
        <v>1</v>
      </c>
      <c r="C260" s="363" t="s">
        <v>587</v>
      </c>
      <c r="D260" s="402">
        <v>21</v>
      </c>
      <c r="E260" s="231">
        <v>1992</v>
      </c>
      <c r="F260" s="348">
        <f>+G260+H260+I260</f>
        <v>32.3243</v>
      </c>
      <c r="G260" s="580">
        <v>2.052495</v>
      </c>
      <c r="H260" s="580">
        <v>3.2</v>
      </c>
      <c r="I260" s="580">
        <v>27.071805</v>
      </c>
      <c r="J260" s="581">
        <v>1077.7</v>
      </c>
      <c r="K260" s="580">
        <v>27.071805</v>
      </c>
      <c r="L260" s="581">
        <v>1077.7</v>
      </c>
      <c r="M260" s="286">
        <f>+K260/L260</f>
        <v>0.02511998236986174</v>
      </c>
      <c r="N260" s="285">
        <v>307.707</v>
      </c>
      <c r="O260" s="285">
        <f>+M260*N260</f>
        <v>7.729594415083047</v>
      </c>
      <c r="P260" s="285">
        <f>+M260*60*1000</f>
        <v>1507.1989421917044</v>
      </c>
      <c r="Q260" s="287">
        <f>+O260*60</f>
        <v>463.7756649049828</v>
      </c>
      <c r="S260" s="87"/>
      <c r="T260" s="87"/>
    </row>
    <row r="261" spans="1:20" s="96" customFormat="1" ht="12.75">
      <c r="A261" s="981"/>
      <c r="B261" s="278">
        <v>2</v>
      </c>
      <c r="C261" s="363" t="s">
        <v>445</v>
      </c>
      <c r="D261" s="402">
        <v>21</v>
      </c>
      <c r="E261" s="232">
        <v>1986</v>
      </c>
      <c r="F261" s="288">
        <f aca="true" t="shared" si="36" ref="F261:F268">+G261+H261+I261</f>
        <v>32.102997</v>
      </c>
      <c r="G261" s="465">
        <v>1.459552</v>
      </c>
      <c r="H261" s="465">
        <v>3.2</v>
      </c>
      <c r="I261" s="465">
        <v>27.443445</v>
      </c>
      <c r="J261" s="470">
        <v>1090.65</v>
      </c>
      <c r="K261" s="465">
        <v>27.443445</v>
      </c>
      <c r="L261" s="470">
        <v>1090.65</v>
      </c>
      <c r="M261" s="290">
        <f aca="true" t="shared" si="37" ref="M261:M268">+K261/L261</f>
        <v>0.025162467335992297</v>
      </c>
      <c r="N261" s="289">
        <v>307.707</v>
      </c>
      <c r="O261" s="289">
        <f aca="true" t="shared" si="38" ref="O261:O268">+M261*N261</f>
        <v>7.742667336556182</v>
      </c>
      <c r="P261" s="289">
        <f aca="true" t="shared" si="39" ref="P261:P268">+M261*60*1000</f>
        <v>1509.7480401595378</v>
      </c>
      <c r="Q261" s="291">
        <f aca="true" t="shared" si="40" ref="Q261:Q268">+O261*60</f>
        <v>464.5600401933709</v>
      </c>
      <c r="S261" s="87"/>
      <c r="T261" s="87"/>
    </row>
    <row r="262" spans="1:20" s="96" customFormat="1" ht="12.75">
      <c r="A262" s="981"/>
      <c r="B262" s="278">
        <v>3</v>
      </c>
      <c r="C262" s="363" t="s">
        <v>588</v>
      </c>
      <c r="D262" s="402">
        <v>20</v>
      </c>
      <c r="E262" s="232">
        <v>1983</v>
      </c>
      <c r="F262" s="288">
        <f t="shared" si="36"/>
        <v>31.399</v>
      </c>
      <c r="G262" s="465">
        <v>2.09274</v>
      </c>
      <c r="H262" s="465">
        <v>3.2</v>
      </c>
      <c r="I262" s="465">
        <v>26.106260000000002</v>
      </c>
      <c r="J262" s="470">
        <v>1037.5</v>
      </c>
      <c r="K262" s="465">
        <v>26.106260000000002</v>
      </c>
      <c r="L262" s="470">
        <v>1037.5</v>
      </c>
      <c r="M262" s="290">
        <f t="shared" si="37"/>
        <v>0.025162660240963856</v>
      </c>
      <c r="N262" s="289">
        <v>307.707</v>
      </c>
      <c r="O262" s="289">
        <f t="shared" si="38"/>
        <v>7.742726694766265</v>
      </c>
      <c r="P262" s="289">
        <f t="shared" si="39"/>
        <v>1509.7596144578313</v>
      </c>
      <c r="Q262" s="291">
        <f t="shared" si="40"/>
        <v>464.5636016859759</v>
      </c>
      <c r="S262" s="87"/>
      <c r="T262" s="87"/>
    </row>
    <row r="263" spans="1:20" s="96" customFormat="1" ht="12.75">
      <c r="A263" s="981"/>
      <c r="B263" s="278">
        <v>4</v>
      </c>
      <c r="C263" s="363" t="s">
        <v>589</v>
      </c>
      <c r="D263" s="402">
        <v>40</v>
      </c>
      <c r="E263" s="232">
        <v>1980</v>
      </c>
      <c r="F263" s="288">
        <f t="shared" si="36"/>
        <v>65.27999600000001</v>
      </c>
      <c r="G263" s="465">
        <v>4.64159</v>
      </c>
      <c r="H263" s="465">
        <v>6.4</v>
      </c>
      <c r="I263" s="465">
        <v>54.238406000000005</v>
      </c>
      <c r="J263" s="470">
        <v>2150.32</v>
      </c>
      <c r="K263" s="465">
        <v>54.238406000000005</v>
      </c>
      <c r="L263" s="470">
        <v>2150.32</v>
      </c>
      <c r="M263" s="290">
        <f t="shared" si="37"/>
        <v>0.025223411399233602</v>
      </c>
      <c r="N263" s="289">
        <v>307.707</v>
      </c>
      <c r="O263" s="289">
        <f t="shared" si="38"/>
        <v>7.761420251423974</v>
      </c>
      <c r="P263" s="289">
        <f t="shared" si="39"/>
        <v>1513.404683954016</v>
      </c>
      <c r="Q263" s="291">
        <f t="shared" si="40"/>
        <v>465.6852150854385</v>
      </c>
      <c r="S263" s="87"/>
      <c r="T263" s="87"/>
    </row>
    <row r="264" spans="1:20" s="96" customFormat="1" ht="12.75">
      <c r="A264" s="981"/>
      <c r="B264" s="278">
        <v>5</v>
      </c>
      <c r="C264" s="363" t="s">
        <v>447</v>
      </c>
      <c r="D264" s="402">
        <v>10</v>
      </c>
      <c r="E264" s="232">
        <v>1964</v>
      </c>
      <c r="F264" s="288">
        <f t="shared" si="36"/>
        <v>15.355999</v>
      </c>
      <c r="G264" s="465">
        <v>1.77078</v>
      </c>
      <c r="H264" s="465">
        <v>1.6</v>
      </c>
      <c r="I264" s="465">
        <v>11.985219</v>
      </c>
      <c r="J264" s="470">
        <v>474.52</v>
      </c>
      <c r="K264" s="465">
        <v>11.985219</v>
      </c>
      <c r="L264" s="470">
        <v>474.52</v>
      </c>
      <c r="M264" s="290">
        <f t="shared" si="37"/>
        <v>0.025257563432521286</v>
      </c>
      <c r="N264" s="289">
        <v>307.707</v>
      </c>
      <c r="O264" s="289">
        <f>+M264*N264</f>
        <v>7.7719290711308275</v>
      </c>
      <c r="P264" s="289">
        <f t="shared" si="39"/>
        <v>1515.4538059512772</v>
      </c>
      <c r="Q264" s="291">
        <f t="shared" si="40"/>
        <v>466.31574426784965</v>
      </c>
      <c r="S264" s="87"/>
      <c r="T264" s="87"/>
    </row>
    <row r="265" spans="1:20" s="96" customFormat="1" ht="12.75">
      <c r="A265" s="981"/>
      <c r="B265" s="278">
        <v>6</v>
      </c>
      <c r="C265" s="363" t="s">
        <v>160</v>
      </c>
      <c r="D265" s="402">
        <v>13</v>
      </c>
      <c r="E265" s="232">
        <v>1961</v>
      </c>
      <c r="F265" s="288">
        <f t="shared" si="36"/>
        <v>14.762266</v>
      </c>
      <c r="G265" s="465">
        <v>0.48294</v>
      </c>
      <c r="H265" s="465">
        <v>2</v>
      </c>
      <c r="I265" s="465">
        <v>12.279326000000001</v>
      </c>
      <c r="J265" s="470">
        <v>846.44</v>
      </c>
      <c r="K265" s="465">
        <v>12.279326000000001</v>
      </c>
      <c r="L265" s="470">
        <v>485.54</v>
      </c>
      <c r="M265" s="290">
        <f t="shared" si="37"/>
        <v>0.02529003995551345</v>
      </c>
      <c r="N265" s="289">
        <v>307.707</v>
      </c>
      <c r="O265" s="289">
        <f t="shared" si="38"/>
        <v>7.781922324591177</v>
      </c>
      <c r="P265" s="289">
        <f t="shared" si="39"/>
        <v>1517.4023973308072</v>
      </c>
      <c r="Q265" s="291">
        <f t="shared" si="40"/>
        <v>466.9153394754706</v>
      </c>
      <c r="S265" s="87"/>
      <c r="T265" s="87"/>
    </row>
    <row r="266" spans="1:20" s="96" customFormat="1" ht="12.75">
      <c r="A266" s="981"/>
      <c r="B266" s="278">
        <v>7</v>
      </c>
      <c r="C266" s="363" t="s">
        <v>590</v>
      </c>
      <c r="D266" s="402">
        <v>24</v>
      </c>
      <c r="E266" s="232">
        <v>1988</v>
      </c>
      <c r="F266" s="288">
        <f t="shared" si="36"/>
        <v>34.139999</v>
      </c>
      <c r="G266" s="465">
        <v>2.38787</v>
      </c>
      <c r="H266" s="465">
        <v>3.84</v>
      </c>
      <c r="I266" s="465">
        <v>27.912129</v>
      </c>
      <c r="J266" s="470">
        <v>1101.48</v>
      </c>
      <c r="K266" s="465">
        <v>27.912129</v>
      </c>
      <c r="L266" s="470">
        <v>1101.48</v>
      </c>
      <c r="M266" s="290">
        <f t="shared" si="37"/>
        <v>0.02534056814467807</v>
      </c>
      <c r="N266" s="289">
        <v>307.707</v>
      </c>
      <c r="O266" s="289">
        <f t="shared" si="38"/>
        <v>7.797470202094455</v>
      </c>
      <c r="P266" s="289">
        <f t="shared" si="39"/>
        <v>1520.4340886806842</v>
      </c>
      <c r="Q266" s="291">
        <f t="shared" si="40"/>
        <v>467.84821212566726</v>
      </c>
      <c r="S266" s="87"/>
      <c r="T266" s="87"/>
    </row>
    <row r="267" spans="1:20" s="96" customFormat="1" ht="12.75">
      <c r="A267" s="981"/>
      <c r="B267" s="278">
        <v>8</v>
      </c>
      <c r="C267" s="363" t="s">
        <v>591</v>
      </c>
      <c r="D267" s="402">
        <v>16</v>
      </c>
      <c r="E267" s="232">
        <v>1988</v>
      </c>
      <c r="F267" s="288">
        <f t="shared" si="36"/>
        <v>26.692449</v>
      </c>
      <c r="G267" s="465">
        <v>1.9380000000000002</v>
      </c>
      <c r="H267" s="465">
        <v>2.24</v>
      </c>
      <c r="I267" s="465">
        <v>22.514449</v>
      </c>
      <c r="J267" s="470">
        <v>967.12</v>
      </c>
      <c r="K267" s="465">
        <v>22.514449</v>
      </c>
      <c r="L267" s="470">
        <v>884.41</v>
      </c>
      <c r="M267" s="290">
        <f t="shared" si="37"/>
        <v>0.025457026718377223</v>
      </c>
      <c r="N267" s="289">
        <v>307.707</v>
      </c>
      <c r="O267" s="289">
        <f t="shared" si="38"/>
        <v>7.8333053204317</v>
      </c>
      <c r="P267" s="289">
        <f t="shared" si="39"/>
        <v>1527.4216031026333</v>
      </c>
      <c r="Q267" s="291">
        <f t="shared" si="40"/>
        <v>469.998319225902</v>
      </c>
      <c r="S267" s="87"/>
      <c r="T267" s="87"/>
    </row>
    <row r="268" spans="1:20" s="96" customFormat="1" ht="12.75">
      <c r="A268" s="981"/>
      <c r="B268" s="278">
        <v>9</v>
      </c>
      <c r="C268" s="363" t="s">
        <v>592</v>
      </c>
      <c r="D268" s="402">
        <v>20</v>
      </c>
      <c r="E268" s="232">
        <v>1986</v>
      </c>
      <c r="F268" s="288">
        <f t="shared" si="36"/>
        <v>33.656994999999995</v>
      </c>
      <c r="G268" s="465">
        <v>2.3985990000000004</v>
      </c>
      <c r="H268" s="465">
        <v>3.2</v>
      </c>
      <c r="I268" s="465">
        <v>28.058396</v>
      </c>
      <c r="J268" s="470">
        <v>1094.49</v>
      </c>
      <c r="K268" s="465">
        <v>28.058396</v>
      </c>
      <c r="L268" s="470">
        <v>1094.49</v>
      </c>
      <c r="M268" s="290">
        <f t="shared" si="37"/>
        <v>0.025636046012297964</v>
      </c>
      <c r="N268" s="289">
        <v>307.707</v>
      </c>
      <c r="O268" s="289">
        <f t="shared" si="38"/>
        <v>7.888390810306169</v>
      </c>
      <c r="P268" s="289">
        <f t="shared" si="39"/>
        <v>1538.1627607378778</v>
      </c>
      <c r="Q268" s="291">
        <f t="shared" si="40"/>
        <v>473.30344861837017</v>
      </c>
      <c r="S268" s="87"/>
      <c r="T268" s="87"/>
    </row>
    <row r="269" spans="1:20" s="96" customFormat="1" ht="13.5" thickBot="1">
      <c r="A269" s="982"/>
      <c r="B269" s="297">
        <v>10</v>
      </c>
      <c r="C269" s="276"/>
      <c r="D269" s="246"/>
      <c r="E269" s="246"/>
      <c r="F269" s="292"/>
      <c r="G269" s="292"/>
      <c r="H269" s="292"/>
      <c r="I269" s="292"/>
      <c r="J269" s="281"/>
      <c r="K269" s="292"/>
      <c r="L269" s="281"/>
      <c r="M269" s="294"/>
      <c r="N269" s="293"/>
      <c r="O269" s="293"/>
      <c r="P269" s="293"/>
      <c r="Q269" s="295"/>
      <c r="S269" s="87"/>
      <c r="T269" s="87"/>
    </row>
    <row r="270" spans="1:20" s="96" customFormat="1" ht="12.75" customHeight="1">
      <c r="A270" s="914" t="s">
        <v>12</v>
      </c>
      <c r="B270" s="104">
        <v>1</v>
      </c>
      <c r="C270" s="364" t="s">
        <v>449</v>
      </c>
      <c r="D270" s="403">
        <v>19</v>
      </c>
      <c r="E270" s="39">
        <v>1984</v>
      </c>
      <c r="F270" s="314">
        <f>+G270+H270+I270</f>
        <v>30.870514</v>
      </c>
      <c r="G270" s="467">
        <v>1.377</v>
      </c>
      <c r="H270" s="467">
        <v>3.04</v>
      </c>
      <c r="I270" s="467">
        <v>26.453514000000002</v>
      </c>
      <c r="J270" s="472">
        <v>1100.8</v>
      </c>
      <c r="K270" s="467">
        <v>26.453514000000002</v>
      </c>
      <c r="L270" s="472">
        <v>1030.98</v>
      </c>
      <c r="M270" s="303">
        <f>+K270/L270</f>
        <v>0.025658610254321132</v>
      </c>
      <c r="N270" s="304">
        <v>307.707</v>
      </c>
      <c r="O270" s="304">
        <f>+M270*N270</f>
        <v>7.895333985526392</v>
      </c>
      <c r="P270" s="304">
        <f>+M270*60*1000</f>
        <v>1539.5166152592678</v>
      </c>
      <c r="Q270" s="305">
        <f>+O270*60</f>
        <v>473.7200391315835</v>
      </c>
      <c r="S270" s="87"/>
      <c r="T270" s="87"/>
    </row>
    <row r="271" spans="1:20" s="96" customFormat="1" ht="12.75">
      <c r="A271" s="915"/>
      <c r="B271" s="105">
        <v>2</v>
      </c>
      <c r="C271" s="364" t="s">
        <v>450</v>
      </c>
      <c r="D271" s="403">
        <v>22</v>
      </c>
      <c r="E271" s="41">
        <v>1964</v>
      </c>
      <c r="F271" s="315">
        <f aca="true" t="shared" si="41" ref="F271:F278">+G271+H271+I271</f>
        <v>28.015049</v>
      </c>
      <c r="G271" s="466">
        <v>1.325402</v>
      </c>
      <c r="H271" s="466">
        <v>0.38</v>
      </c>
      <c r="I271" s="466">
        <v>26.309647000000002</v>
      </c>
      <c r="J271" s="471">
        <v>1065.94</v>
      </c>
      <c r="K271" s="466">
        <v>26.309647000000002</v>
      </c>
      <c r="L271" s="471">
        <v>1024.21</v>
      </c>
      <c r="M271" s="309">
        <f aca="true" t="shared" si="42" ref="M271:M278">+K271/L271</f>
        <v>0.025687746653518324</v>
      </c>
      <c r="N271" s="310">
        <v>307.707</v>
      </c>
      <c r="O271" s="310">
        <f aca="true" t="shared" si="43" ref="O271:O278">+M271*N271</f>
        <v>7.904299459514163</v>
      </c>
      <c r="P271" s="310">
        <f aca="true" t="shared" si="44" ref="P271:P278">+M271*60*1000</f>
        <v>1541.2647992110994</v>
      </c>
      <c r="Q271" s="311">
        <f aca="true" t="shared" si="45" ref="Q271:Q278">+O271*60</f>
        <v>474.25796757084976</v>
      </c>
      <c r="S271" s="87"/>
      <c r="T271" s="87"/>
    </row>
    <row r="272" spans="1:20" s="96" customFormat="1" ht="12.75">
      <c r="A272" s="915"/>
      <c r="B272" s="105">
        <v>3</v>
      </c>
      <c r="C272" s="364" t="s">
        <v>593</v>
      </c>
      <c r="D272" s="403">
        <v>8</v>
      </c>
      <c r="E272" s="41">
        <v>1970</v>
      </c>
      <c r="F272" s="315">
        <f t="shared" si="41"/>
        <v>10.303999</v>
      </c>
      <c r="G272" s="466">
        <v>0</v>
      </c>
      <c r="H272" s="466">
        <v>0</v>
      </c>
      <c r="I272" s="466">
        <v>10.303999</v>
      </c>
      <c r="J272" s="471">
        <v>397.79</v>
      </c>
      <c r="K272" s="466">
        <v>10.303999</v>
      </c>
      <c r="L272" s="471">
        <v>397.79</v>
      </c>
      <c r="M272" s="309">
        <f t="shared" si="42"/>
        <v>0.02590311219487669</v>
      </c>
      <c r="N272" s="310">
        <v>307.707</v>
      </c>
      <c r="O272" s="310">
        <f t="shared" si="43"/>
        <v>7.970568944148922</v>
      </c>
      <c r="P272" s="310">
        <f t="shared" si="44"/>
        <v>1554.1867316926014</v>
      </c>
      <c r="Q272" s="311">
        <f t="shared" si="45"/>
        <v>478.2341366489353</v>
      </c>
      <c r="S272" s="87"/>
      <c r="T272" s="87"/>
    </row>
    <row r="273" spans="1:20" s="96" customFormat="1" ht="12.75">
      <c r="A273" s="915"/>
      <c r="B273" s="105">
        <v>4</v>
      </c>
      <c r="C273" s="364" t="s">
        <v>448</v>
      </c>
      <c r="D273" s="403">
        <v>13</v>
      </c>
      <c r="E273" s="41">
        <v>1980</v>
      </c>
      <c r="F273" s="315">
        <f t="shared" si="41"/>
        <v>16.655</v>
      </c>
      <c r="G273" s="466">
        <v>0.987331</v>
      </c>
      <c r="H273" s="466">
        <v>1.28</v>
      </c>
      <c r="I273" s="466">
        <v>14.387669</v>
      </c>
      <c r="J273" s="471">
        <v>997.63</v>
      </c>
      <c r="K273" s="466">
        <v>14.387669</v>
      </c>
      <c r="L273" s="471">
        <v>551.26</v>
      </c>
      <c r="M273" s="309">
        <f t="shared" si="42"/>
        <v>0.02609960635634728</v>
      </c>
      <c r="N273" s="310">
        <v>307.707</v>
      </c>
      <c r="O273" s="310">
        <f t="shared" si="43"/>
        <v>8.031031573092552</v>
      </c>
      <c r="P273" s="310">
        <f t="shared" si="44"/>
        <v>1565.9763813808368</v>
      </c>
      <c r="Q273" s="311">
        <f t="shared" si="45"/>
        <v>481.8618943855531</v>
      </c>
      <c r="S273" s="87"/>
      <c r="T273" s="87"/>
    </row>
    <row r="274" spans="1:20" s="96" customFormat="1" ht="12.75">
      <c r="A274" s="915"/>
      <c r="B274" s="105">
        <v>5</v>
      </c>
      <c r="C274" s="364" t="s">
        <v>446</v>
      </c>
      <c r="D274" s="403">
        <v>7</v>
      </c>
      <c r="E274" s="41">
        <v>1977</v>
      </c>
      <c r="F274" s="315">
        <f t="shared" si="41"/>
        <v>9.748996</v>
      </c>
      <c r="G274" s="466">
        <v>0.21464</v>
      </c>
      <c r="H274" s="466">
        <v>1.12</v>
      </c>
      <c r="I274" s="466">
        <v>8.414356</v>
      </c>
      <c r="J274" s="471">
        <v>360.39</v>
      </c>
      <c r="K274" s="466">
        <v>8.414356</v>
      </c>
      <c r="L274" s="471">
        <v>309.77</v>
      </c>
      <c r="M274" s="309">
        <f t="shared" si="42"/>
        <v>0.027163237240533298</v>
      </c>
      <c r="N274" s="310">
        <v>307.707</v>
      </c>
      <c r="O274" s="310">
        <f t="shared" si="43"/>
        <v>8.35831824157278</v>
      </c>
      <c r="P274" s="310">
        <f t="shared" si="44"/>
        <v>1629.7942344319977</v>
      </c>
      <c r="Q274" s="311">
        <f t="shared" si="45"/>
        <v>501.49909449436683</v>
      </c>
      <c r="S274" s="87"/>
      <c r="T274" s="87"/>
    </row>
    <row r="275" spans="1:20" s="96" customFormat="1" ht="12.75">
      <c r="A275" s="915"/>
      <c r="B275" s="105">
        <v>6</v>
      </c>
      <c r="C275" s="364" t="s">
        <v>594</v>
      </c>
      <c r="D275" s="403">
        <v>20</v>
      </c>
      <c r="E275" s="41">
        <v>1985</v>
      </c>
      <c r="F275" s="315">
        <f t="shared" si="41"/>
        <v>35.533999</v>
      </c>
      <c r="G275" s="466">
        <v>1.93176</v>
      </c>
      <c r="H275" s="466">
        <v>3.2</v>
      </c>
      <c r="I275" s="466">
        <v>30.402239</v>
      </c>
      <c r="J275" s="471">
        <v>1099.8</v>
      </c>
      <c r="K275" s="466">
        <v>30.402239</v>
      </c>
      <c r="L275" s="471">
        <v>1099.8</v>
      </c>
      <c r="M275" s="309">
        <f t="shared" si="42"/>
        <v>0.027643425168212405</v>
      </c>
      <c r="N275" s="310">
        <v>307.707</v>
      </c>
      <c r="O275" s="310">
        <f t="shared" si="43"/>
        <v>8.506075428235134</v>
      </c>
      <c r="P275" s="310">
        <f t="shared" si="44"/>
        <v>1658.6055100927445</v>
      </c>
      <c r="Q275" s="311">
        <f t="shared" si="45"/>
        <v>510.364525694108</v>
      </c>
      <c r="S275" s="87"/>
      <c r="T275" s="87"/>
    </row>
    <row r="276" spans="1:20" s="96" customFormat="1" ht="12.75">
      <c r="A276" s="915"/>
      <c r="B276" s="105">
        <v>7</v>
      </c>
      <c r="C276" s="364" t="s">
        <v>595</v>
      </c>
      <c r="D276" s="403">
        <v>21</v>
      </c>
      <c r="E276" s="41">
        <v>1984</v>
      </c>
      <c r="F276" s="315">
        <f t="shared" si="41"/>
        <v>37.019005</v>
      </c>
      <c r="G276" s="466">
        <v>1.734</v>
      </c>
      <c r="H276" s="466">
        <v>3.2</v>
      </c>
      <c r="I276" s="466">
        <v>32.085005</v>
      </c>
      <c r="J276" s="471">
        <v>1105.8500000000001</v>
      </c>
      <c r="K276" s="466">
        <v>32.085005</v>
      </c>
      <c r="L276" s="471">
        <v>1105.8500000000001</v>
      </c>
      <c r="M276" s="309">
        <f t="shared" si="42"/>
        <v>0.02901388524664285</v>
      </c>
      <c r="N276" s="310">
        <v>307.707</v>
      </c>
      <c r="O276" s="310">
        <f t="shared" si="43"/>
        <v>8.927775587588732</v>
      </c>
      <c r="P276" s="310">
        <f t="shared" si="44"/>
        <v>1740.8331147985712</v>
      </c>
      <c r="Q276" s="311">
        <f t="shared" si="45"/>
        <v>535.6665352553239</v>
      </c>
      <c r="S276" s="87"/>
      <c r="T276" s="87"/>
    </row>
    <row r="277" spans="1:20" s="96" customFormat="1" ht="12.75">
      <c r="A277" s="915"/>
      <c r="B277" s="105">
        <v>8</v>
      </c>
      <c r="C277" s="364" t="s">
        <v>451</v>
      </c>
      <c r="D277" s="403">
        <v>5</v>
      </c>
      <c r="E277" s="41">
        <v>1924</v>
      </c>
      <c r="F277" s="315">
        <f t="shared" si="41"/>
        <v>7.599900000000001</v>
      </c>
      <c r="G277" s="466">
        <v>0.16097999999999998</v>
      </c>
      <c r="H277" s="466">
        <v>0</v>
      </c>
      <c r="I277" s="466">
        <v>7.43892</v>
      </c>
      <c r="J277" s="471">
        <v>245.91</v>
      </c>
      <c r="K277" s="466">
        <v>7.43892</v>
      </c>
      <c r="L277" s="471">
        <v>245.91</v>
      </c>
      <c r="M277" s="309">
        <f t="shared" si="42"/>
        <v>0.030250579480297673</v>
      </c>
      <c r="N277" s="310">
        <v>307.707</v>
      </c>
      <c r="O277" s="310">
        <f t="shared" si="43"/>
        <v>9.308315060143956</v>
      </c>
      <c r="P277" s="310">
        <f t="shared" si="44"/>
        <v>1815.0347688178604</v>
      </c>
      <c r="Q277" s="311">
        <f t="shared" si="45"/>
        <v>558.4989036086373</v>
      </c>
      <c r="S277" s="87"/>
      <c r="T277" s="87"/>
    </row>
    <row r="278" spans="1:20" s="96" customFormat="1" ht="12.75">
      <c r="A278" s="915"/>
      <c r="B278" s="105">
        <v>9</v>
      </c>
      <c r="C278" s="364" t="s">
        <v>452</v>
      </c>
      <c r="D278" s="403">
        <v>46</v>
      </c>
      <c r="E278" s="41">
        <v>1963</v>
      </c>
      <c r="F278" s="315">
        <f t="shared" si="41"/>
        <v>36.422397000000004</v>
      </c>
      <c r="G278" s="466">
        <v>0.5741620000000001</v>
      </c>
      <c r="H278" s="466">
        <v>0</v>
      </c>
      <c r="I278" s="466">
        <v>35.848235</v>
      </c>
      <c r="J278" s="471">
        <v>1094</v>
      </c>
      <c r="K278" s="466">
        <v>35.848235</v>
      </c>
      <c r="L278" s="471">
        <v>1064.64</v>
      </c>
      <c r="M278" s="309">
        <f t="shared" si="42"/>
        <v>0.03367169653591824</v>
      </c>
      <c r="N278" s="310">
        <v>307.707</v>
      </c>
      <c r="O278" s="310">
        <f t="shared" si="43"/>
        <v>10.361016725977795</v>
      </c>
      <c r="P278" s="310">
        <f t="shared" si="44"/>
        <v>2020.3017921550943</v>
      </c>
      <c r="Q278" s="311">
        <f t="shared" si="45"/>
        <v>621.6610035586676</v>
      </c>
      <c r="S278" s="87"/>
      <c r="T278" s="87"/>
    </row>
    <row r="279" spans="1:20" s="96" customFormat="1" ht="13.5" thickBot="1">
      <c r="A279" s="916"/>
      <c r="B279" s="106">
        <v>10</v>
      </c>
      <c r="C279" s="335"/>
      <c r="D279" s="106"/>
      <c r="E279" s="106"/>
      <c r="F279" s="336"/>
      <c r="G279" s="336"/>
      <c r="H279" s="336"/>
      <c r="I279" s="336"/>
      <c r="J279" s="337"/>
      <c r="K279" s="338"/>
      <c r="L279" s="337"/>
      <c r="M279" s="339"/>
      <c r="N279" s="336"/>
      <c r="O279" s="336"/>
      <c r="P279" s="336"/>
      <c r="Q279" s="340"/>
      <c r="S279" s="87"/>
      <c r="T279" s="87"/>
    </row>
    <row r="280" spans="19:20" ht="12.75">
      <c r="S280" s="87"/>
      <c r="T280" s="87"/>
    </row>
    <row r="281" spans="19:20" ht="12.75">
      <c r="S281" s="87"/>
      <c r="T281" s="87"/>
    </row>
    <row r="282" spans="19:20" ht="12.75">
      <c r="S282" s="87"/>
      <c r="T282" s="87"/>
    </row>
    <row r="283" spans="19:20" ht="12.75">
      <c r="S283" s="87"/>
      <c r="T283" s="87"/>
    </row>
    <row r="284" spans="1:20" ht="15">
      <c r="A284" s="906" t="s">
        <v>61</v>
      </c>
      <c r="B284" s="906"/>
      <c r="C284" s="906"/>
      <c r="D284" s="906"/>
      <c r="E284" s="906"/>
      <c r="F284" s="906"/>
      <c r="G284" s="906"/>
      <c r="H284" s="906"/>
      <c r="I284" s="906"/>
      <c r="J284" s="906"/>
      <c r="K284" s="906"/>
      <c r="L284" s="906"/>
      <c r="M284" s="906"/>
      <c r="N284" s="906"/>
      <c r="O284" s="906"/>
      <c r="P284" s="906"/>
      <c r="Q284" s="906"/>
      <c r="S284" s="87"/>
      <c r="T284" s="87"/>
    </row>
    <row r="285" spans="1:20" ht="13.5" thickBot="1">
      <c r="A285" s="935" t="s">
        <v>596</v>
      </c>
      <c r="B285" s="935"/>
      <c r="C285" s="935"/>
      <c r="D285" s="935"/>
      <c r="E285" s="935"/>
      <c r="F285" s="935"/>
      <c r="G285" s="935"/>
      <c r="H285" s="935"/>
      <c r="I285" s="935"/>
      <c r="J285" s="935"/>
      <c r="K285" s="935"/>
      <c r="L285" s="935"/>
      <c r="M285" s="935"/>
      <c r="N285" s="935"/>
      <c r="O285" s="935"/>
      <c r="P285" s="935"/>
      <c r="Q285" s="935"/>
      <c r="S285" s="87"/>
      <c r="T285" s="87"/>
    </row>
    <row r="286" spans="1:20" ht="12.75" customHeight="1">
      <c r="A286" s="890" t="s">
        <v>1</v>
      </c>
      <c r="B286" s="971" t="s">
        <v>0</v>
      </c>
      <c r="C286" s="974" t="s">
        <v>2</v>
      </c>
      <c r="D286" s="888" t="s">
        <v>3</v>
      </c>
      <c r="E286" s="888" t="s">
        <v>13</v>
      </c>
      <c r="F286" s="896" t="s">
        <v>14</v>
      </c>
      <c r="G286" s="897"/>
      <c r="H286" s="897"/>
      <c r="I286" s="898"/>
      <c r="J286" s="888" t="s">
        <v>4</v>
      </c>
      <c r="K286" s="888" t="s">
        <v>15</v>
      </c>
      <c r="L286" s="888" t="s">
        <v>5</v>
      </c>
      <c r="M286" s="888" t="s">
        <v>6</v>
      </c>
      <c r="N286" s="888" t="s">
        <v>16</v>
      </c>
      <c r="O286" s="949" t="s">
        <v>17</v>
      </c>
      <c r="P286" s="888" t="s">
        <v>25</v>
      </c>
      <c r="Q286" s="878" t="s">
        <v>26</v>
      </c>
      <c r="S286" s="87"/>
      <c r="T286" s="87"/>
    </row>
    <row r="287" spans="1:20" s="2" customFormat="1" ht="33.75">
      <c r="A287" s="891"/>
      <c r="B287" s="972"/>
      <c r="C287" s="975"/>
      <c r="D287" s="889"/>
      <c r="E287" s="889"/>
      <c r="F287" s="36" t="s">
        <v>18</v>
      </c>
      <c r="G287" s="36" t="s">
        <v>19</v>
      </c>
      <c r="H287" s="36" t="s">
        <v>20</v>
      </c>
      <c r="I287" s="36" t="s">
        <v>21</v>
      </c>
      <c r="J287" s="889"/>
      <c r="K287" s="889"/>
      <c r="L287" s="889"/>
      <c r="M287" s="889"/>
      <c r="N287" s="889"/>
      <c r="O287" s="950"/>
      <c r="P287" s="889"/>
      <c r="Q287" s="879"/>
      <c r="S287" s="87"/>
      <c r="T287" s="87"/>
    </row>
    <row r="288" spans="1:20" s="3" customFormat="1" ht="13.5" customHeight="1" thickBot="1">
      <c r="A288" s="945"/>
      <c r="B288" s="973"/>
      <c r="C288" s="976"/>
      <c r="D288" s="59" t="s">
        <v>7</v>
      </c>
      <c r="E288" s="59" t="s">
        <v>8</v>
      </c>
      <c r="F288" s="59" t="s">
        <v>9</v>
      </c>
      <c r="G288" s="59" t="s">
        <v>9</v>
      </c>
      <c r="H288" s="59" t="s">
        <v>9</v>
      </c>
      <c r="I288" s="59" t="s">
        <v>9</v>
      </c>
      <c r="J288" s="59" t="s">
        <v>22</v>
      </c>
      <c r="K288" s="59" t="s">
        <v>9</v>
      </c>
      <c r="L288" s="59" t="s">
        <v>22</v>
      </c>
      <c r="M288" s="59" t="s">
        <v>23</v>
      </c>
      <c r="N288" s="59" t="s">
        <v>10</v>
      </c>
      <c r="O288" s="59" t="s">
        <v>24</v>
      </c>
      <c r="P288" s="60" t="s">
        <v>27</v>
      </c>
      <c r="Q288" s="61" t="s">
        <v>28</v>
      </c>
      <c r="S288" s="87"/>
      <c r="T288" s="87"/>
    </row>
    <row r="289" spans="1:20" s="3" customFormat="1" ht="13.5" customHeight="1">
      <c r="A289" s="925" t="s">
        <v>51</v>
      </c>
      <c r="B289" s="341">
        <v>1</v>
      </c>
      <c r="C289" s="258" t="s">
        <v>311</v>
      </c>
      <c r="D289" s="259">
        <v>20</v>
      </c>
      <c r="E289" s="259">
        <v>2010</v>
      </c>
      <c r="F289" s="249">
        <v>15.751</v>
      </c>
      <c r="G289" s="249">
        <v>1.479</v>
      </c>
      <c r="H289" s="249">
        <v>0.8</v>
      </c>
      <c r="I289" s="249">
        <v>13.472</v>
      </c>
      <c r="J289" s="93">
        <v>935.41</v>
      </c>
      <c r="K289" s="249">
        <v>13.472</v>
      </c>
      <c r="L289" s="93">
        <v>935.41</v>
      </c>
      <c r="M289" s="251">
        <f>K289/L289</f>
        <v>0.014402240728664436</v>
      </c>
      <c r="N289" s="250">
        <v>337.573</v>
      </c>
      <c r="O289" s="252">
        <f>M289*N289</f>
        <v>4.86180760949744</v>
      </c>
      <c r="P289" s="252">
        <f>M289*60*1000</f>
        <v>864.1344437198661</v>
      </c>
      <c r="Q289" s="253">
        <f>P289*N289/1000</f>
        <v>291.70845656984636</v>
      </c>
      <c r="S289" s="87"/>
      <c r="T289" s="87"/>
    </row>
    <row r="290" spans="1:20" s="3" customFormat="1" ht="13.5" customHeight="1">
      <c r="A290" s="925"/>
      <c r="B290" s="123">
        <v>2</v>
      </c>
      <c r="C290" s="256"/>
      <c r="D290" s="257"/>
      <c r="E290" s="257"/>
      <c r="F290" s="365"/>
      <c r="G290" s="365"/>
      <c r="H290" s="365"/>
      <c r="I290" s="365"/>
      <c r="J290" s="367"/>
      <c r="K290" s="365"/>
      <c r="L290" s="367"/>
      <c r="M290" s="257"/>
      <c r="N290" s="257"/>
      <c r="O290" s="257"/>
      <c r="P290" s="257"/>
      <c r="Q290" s="344"/>
      <c r="S290" s="87"/>
      <c r="T290" s="87"/>
    </row>
    <row r="291" spans="1:20" s="3" customFormat="1" ht="13.5" customHeight="1">
      <c r="A291" s="925"/>
      <c r="B291" s="123">
        <v>3</v>
      </c>
      <c r="C291" s="256"/>
      <c r="D291" s="257"/>
      <c r="E291" s="257"/>
      <c r="F291" s="365"/>
      <c r="G291" s="365"/>
      <c r="H291" s="365"/>
      <c r="I291" s="365"/>
      <c r="J291" s="367"/>
      <c r="K291" s="365"/>
      <c r="L291" s="367"/>
      <c r="M291" s="257"/>
      <c r="N291" s="257"/>
      <c r="O291" s="257"/>
      <c r="P291" s="257"/>
      <c r="Q291" s="344"/>
      <c r="S291" s="87"/>
      <c r="T291" s="87"/>
    </row>
    <row r="292" spans="1:20" s="3" customFormat="1" ht="13.5" customHeight="1">
      <c r="A292" s="925"/>
      <c r="B292" s="123">
        <v>4</v>
      </c>
      <c r="C292" s="256"/>
      <c r="D292" s="257"/>
      <c r="E292" s="257"/>
      <c r="F292" s="365"/>
      <c r="G292" s="365"/>
      <c r="H292" s="365"/>
      <c r="I292" s="365"/>
      <c r="J292" s="367"/>
      <c r="K292" s="365"/>
      <c r="L292" s="367"/>
      <c r="M292" s="257"/>
      <c r="N292" s="257"/>
      <c r="O292" s="257"/>
      <c r="P292" s="257"/>
      <c r="Q292" s="344"/>
      <c r="S292" s="87"/>
      <c r="T292" s="87"/>
    </row>
    <row r="293" spans="1:20" s="3" customFormat="1" ht="13.5" customHeight="1">
      <c r="A293" s="925"/>
      <c r="B293" s="123">
        <v>5</v>
      </c>
      <c r="C293" s="256"/>
      <c r="D293" s="257"/>
      <c r="E293" s="257"/>
      <c r="F293" s="365"/>
      <c r="G293" s="365"/>
      <c r="H293" s="365"/>
      <c r="I293" s="365"/>
      <c r="J293" s="367"/>
      <c r="K293" s="365"/>
      <c r="L293" s="367"/>
      <c r="M293" s="257"/>
      <c r="N293" s="257"/>
      <c r="O293" s="257"/>
      <c r="P293" s="257"/>
      <c r="Q293" s="344"/>
      <c r="S293" s="87"/>
      <c r="T293" s="87"/>
    </row>
    <row r="294" spans="1:20" s="3" customFormat="1" ht="13.5" customHeight="1">
      <c r="A294" s="925"/>
      <c r="B294" s="123">
        <v>6</v>
      </c>
      <c r="C294" s="256"/>
      <c r="D294" s="257"/>
      <c r="E294" s="257"/>
      <c r="F294" s="365"/>
      <c r="G294" s="365"/>
      <c r="H294" s="365"/>
      <c r="I294" s="365"/>
      <c r="J294" s="367"/>
      <c r="K294" s="365"/>
      <c r="L294" s="367"/>
      <c r="M294" s="257"/>
      <c r="N294" s="257"/>
      <c r="O294" s="257"/>
      <c r="P294" s="257"/>
      <c r="Q294" s="344"/>
      <c r="S294" s="87"/>
      <c r="T294" s="87"/>
    </row>
    <row r="295" spans="1:20" s="3" customFormat="1" ht="13.5" customHeight="1">
      <c r="A295" s="925"/>
      <c r="B295" s="123">
        <v>7</v>
      </c>
      <c r="C295" s="256"/>
      <c r="D295" s="257"/>
      <c r="E295" s="257"/>
      <c r="F295" s="365"/>
      <c r="G295" s="365"/>
      <c r="H295" s="365"/>
      <c r="I295" s="365"/>
      <c r="J295" s="367"/>
      <c r="K295" s="365"/>
      <c r="L295" s="367"/>
      <c r="M295" s="257"/>
      <c r="N295" s="257"/>
      <c r="O295" s="257"/>
      <c r="P295" s="257"/>
      <c r="Q295" s="344"/>
      <c r="S295" s="87"/>
      <c r="T295" s="87"/>
    </row>
    <row r="296" spans="1:20" s="3" customFormat="1" ht="13.5" customHeight="1" thickBot="1">
      <c r="A296" s="926"/>
      <c r="B296" s="173">
        <v>8</v>
      </c>
      <c r="C296" s="342"/>
      <c r="D296" s="343"/>
      <c r="E296" s="343"/>
      <c r="F296" s="366"/>
      <c r="G296" s="366"/>
      <c r="H296" s="366"/>
      <c r="I296" s="366"/>
      <c r="J296" s="368"/>
      <c r="K296" s="366"/>
      <c r="L296" s="368"/>
      <c r="M296" s="343"/>
      <c r="N296" s="343"/>
      <c r="O296" s="343"/>
      <c r="P296" s="343"/>
      <c r="Q296" s="345"/>
      <c r="S296" s="87"/>
      <c r="T296" s="87"/>
    </row>
    <row r="297" spans="1:20" ht="12.75" customHeight="1">
      <c r="A297" s="942" t="s">
        <v>29</v>
      </c>
      <c r="B297" s="67">
        <v>1</v>
      </c>
      <c r="C297" s="187" t="s">
        <v>162</v>
      </c>
      <c r="D297" s="151">
        <v>50</v>
      </c>
      <c r="E297" s="151">
        <v>1974</v>
      </c>
      <c r="F297" s="262">
        <v>50.2415</v>
      </c>
      <c r="G297" s="262">
        <v>4.386</v>
      </c>
      <c r="H297" s="262">
        <v>8</v>
      </c>
      <c r="I297" s="263">
        <v>37.8555</v>
      </c>
      <c r="J297" s="432">
        <v>2591.85</v>
      </c>
      <c r="K297" s="262">
        <v>37.8555</v>
      </c>
      <c r="L297" s="432">
        <v>2591.85</v>
      </c>
      <c r="M297" s="147">
        <f aca="true" t="shared" si="46" ref="M297:M326">K297/L297</f>
        <v>0.014605590601307946</v>
      </c>
      <c r="N297" s="148">
        <v>337.573</v>
      </c>
      <c r="O297" s="148">
        <f aca="true" t="shared" si="47" ref="O297:O326">M297*N297</f>
        <v>4.930453036055327</v>
      </c>
      <c r="P297" s="148">
        <f aca="true" t="shared" si="48" ref="P297:P326">M297*60*1000</f>
        <v>876.3354360784767</v>
      </c>
      <c r="Q297" s="170">
        <f aca="true" t="shared" si="49" ref="Q297:Q326">P297*N297/1000</f>
        <v>295.8271821633196</v>
      </c>
      <c r="S297" s="87"/>
      <c r="T297" s="87"/>
    </row>
    <row r="298" spans="1:20" ht="11.25" customHeight="1">
      <c r="A298" s="943"/>
      <c r="B298" s="67">
        <v>2</v>
      </c>
      <c r="C298" s="187" t="s">
        <v>164</v>
      </c>
      <c r="D298" s="151">
        <v>38</v>
      </c>
      <c r="E298" s="151">
        <v>1982</v>
      </c>
      <c r="F298" s="263">
        <v>46.919</v>
      </c>
      <c r="G298" s="263">
        <v>3.244</v>
      </c>
      <c r="H298" s="263">
        <v>6.4</v>
      </c>
      <c r="I298" s="263">
        <v>37.2749</v>
      </c>
      <c r="J298" s="118">
        <v>2278.82</v>
      </c>
      <c r="K298" s="263">
        <v>35.06</v>
      </c>
      <c r="L298" s="118">
        <v>2160.52</v>
      </c>
      <c r="M298" s="147">
        <f t="shared" si="46"/>
        <v>0.01622757484309333</v>
      </c>
      <c r="N298" s="138">
        <v>337.573</v>
      </c>
      <c r="O298" s="148">
        <f t="shared" si="47"/>
        <v>5.477991122507544</v>
      </c>
      <c r="P298" s="148">
        <f t="shared" si="48"/>
        <v>973.6544905855998</v>
      </c>
      <c r="Q298" s="170">
        <f t="shared" si="49"/>
        <v>328.6794673504527</v>
      </c>
      <c r="S298" s="87"/>
      <c r="T298" s="87"/>
    </row>
    <row r="299" spans="1:20" ht="12.75" customHeight="1">
      <c r="A299" s="943"/>
      <c r="B299" s="35">
        <v>3</v>
      </c>
      <c r="C299" s="187" t="s">
        <v>167</v>
      </c>
      <c r="D299" s="151">
        <v>40</v>
      </c>
      <c r="E299" s="151">
        <v>1987</v>
      </c>
      <c r="F299" s="263">
        <v>47.299</v>
      </c>
      <c r="G299" s="263">
        <v>2.703</v>
      </c>
      <c r="H299" s="263">
        <v>6.4</v>
      </c>
      <c r="I299" s="263">
        <v>38.196</v>
      </c>
      <c r="J299" s="118">
        <v>2280.42</v>
      </c>
      <c r="K299" s="263">
        <v>38.196</v>
      </c>
      <c r="L299" s="118">
        <v>2280.42</v>
      </c>
      <c r="M299" s="139">
        <f t="shared" si="46"/>
        <v>0.01674954613623806</v>
      </c>
      <c r="N299" s="138">
        <v>337.573</v>
      </c>
      <c r="O299" s="148">
        <f t="shared" si="47"/>
        <v>5.65419453784829</v>
      </c>
      <c r="P299" s="148">
        <f t="shared" si="48"/>
        <v>1004.9727681742835</v>
      </c>
      <c r="Q299" s="168">
        <f t="shared" si="49"/>
        <v>339.25167227089736</v>
      </c>
      <c r="S299" s="87"/>
      <c r="T299" s="87"/>
    </row>
    <row r="300" spans="1:20" ht="12.75" customHeight="1">
      <c r="A300" s="943"/>
      <c r="B300" s="35">
        <v>4</v>
      </c>
      <c r="C300" s="187" t="s">
        <v>165</v>
      </c>
      <c r="D300" s="151">
        <v>19</v>
      </c>
      <c r="E300" s="151">
        <v>1984</v>
      </c>
      <c r="F300" s="263">
        <v>22.416</v>
      </c>
      <c r="G300" s="263">
        <v>1.479</v>
      </c>
      <c r="H300" s="263">
        <v>3.04</v>
      </c>
      <c r="I300" s="263">
        <v>17.897</v>
      </c>
      <c r="J300" s="118">
        <v>1053.81</v>
      </c>
      <c r="K300" s="263">
        <v>17.72</v>
      </c>
      <c r="L300" s="118">
        <v>994.89</v>
      </c>
      <c r="M300" s="139">
        <f t="shared" si="46"/>
        <v>0.017811014282986058</v>
      </c>
      <c r="N300" s="138">
        <v>337.573</v>
      </c>
      <c r="O300" s="138">
        <f t="shared" si="47"/>
        <v>6.012517524550452</v>
      </c>
      <c r="P300" s="148">
        <f t="shared" si="48"/>
        <v>1068.6608569791636</v>
      </c>
      <c r="Q300" s="168">
        <f t="shared" si="49"/>
        <v>360.75105147302713</v>
      </c>
      <c r="S300" s="87"/>
      <c r="T300" s="87"/>
    </row>
    <row r="301" spans="1:20" ht="12.75" customHeight="1">
      <c r="A301" s="943"/>
      <c r="B301" s="35">
        <v>5</v>
      </c>
      <c r="C301" s="187" t="s">
        <v>313</v>
      </c>
      <c r="D301" s="151">
        <v>50</v>
      </c>
      <c r="E301" s="151">
        <v>1980</v>
      </c>
      <c r="F301" s="263">
        <v>70.293</v>
      </c>
      <c r="G301" s="263">
        <v>4.997</v>
      </c>
      <c r="H301" s="263">
        <v>8</v>
      </c>
      <c r="I301" s="263">
        <v>57.296</v>
      </c>
      <c r="J301" s="118">
        <v>3015.29</v>
      </c>
      <c r="K301" s="263">
        <v>57.296</v>
      </c>
      <c r="L301" s="118">
        <v>3015.29</v>
      </c>
      <c r="M301" s="139">
        <f t="shared" si="46"/>
        <v>0.019001820720395052</v>
      </c>
      <c r="N301" s="138">
        <v>337.573</v>
      </c>
      <c r="O301" s="138">
        <f t="shared" si="47"/>
        <v>6.414501626045919</v>
      </c>
      <c r="P301" s="148">
        <f t="shared" si="48"/>
        <v>1140.1092432237033</v>
      </c>
      <c r="Q301" s="168">
        <f t="shared" si="49"/>
        <v>384.8700975627552</v>
      </c>
      <c r="S301" s="87"/>
      <c r="T301" s="87"/>
    </row>
    <row r="302" spans="1:20" ht="12.75" customHeight="1">
      <c r="A302" s="943"/>
      <c r="B302" s="35">
        <v>6</v>
      </c>
      <c r="C302" s="187" t="s">
        <v>168</v>
      </c>
      <c r="D302" s="151">
        <v>40</v>
      </c>
      <c r="E302" s="151">
        <v>1983</v>
      </c>
      <c r="F302" s="263">
        <v>53.116</v>
      </c>
      <c r="G302" s="263">
        <v>3.519</v>
      </c>
      <c r="H302" s="263">
        <v>6.4</v>
      </c>
      <c r="I302" s="263">
        <v>43.197</v>
      </c>
      <c r="J302" s="118">
        <v>2254.6</v>
      </c>
      <c r="K302" s="263">
        <v>43.197</v>
      </c>
      <c r="L302" s="118">
        <v>2254.6</v>
      </c>
      <c r="M302" s="139">
        <f t="shared" si="46"/>
        <v>0.019159496141222393</v>
      </c>
      <c r="N302" s="138">
        <v>337.573</v>
      </c>
      <c r="O302" s="138">
        <f t="shared" si="47"/>
        <v>6.467728590880866</v>
      </c>
      <c r="P302" s="148">
        <f t="shared" si="48"/>
        <v>1149.5697684733436</v>
      </c>
      <c r="Q302" s="168">
        <f t="shared" si="49"/>
        <v>388.063715452852</v>
      </c>
      <c r="S302" s="87"/>
      <c r="T302" s="87"/>
    </row>
    <row r="303" spans="1:20" ht="12.75" customHeight="1">
      <c r="A303" s="943"/>
      <c r="B303" s="35">
        <v>7</v>
      </c>
      <c r="C303" s="187" t="s">
        <v>161</v>
      </c>
      <c r="D303" s="151">
        <v>40</v>
      </c>
      <c r="E303" s="151">
        <v>1981</v>
      </c>
      <c r="F303" s="263">
        <v>52.771</v>
      </c>
      <c r="G303" s="263">
        <v>2.907</v>
      </c>
      <c r="H303" s="263">
        <v>6.4</v>
      </c>
      <c r="I303" s="263">
        <v>43.464</v>
      </c>
      <c r="J303" s="118">
        <v>2251.3</v>
      </c>
      <c r="K303" s="263">
        <v>43.464</v>
      </c>
      <c r="L303" s="118">
        <v>2251.3</v>
      </c>
      <c r="M303" s="139">
        <f t="shared" si="46"/>
        <v>0.019306178652334204</v>
      </c>
      <c r="N303" s="138">
        <v>337.573</v>
      </c>
      <c r="O303" s="138">
        <f t="shared" si="47"/>
        <v>6.517244646204414</v>
      </c>
      <c r="P303" s="148">
        <f t="shared" si="48"/>
        <v>1158.3707191400522</v>
      </c>
      <c r="Q303" s="168">
        <f t="shared" si="49"/>
        <v>391.0346787722648</v>
      </c>
      <c r="S303" s="87"/>
      <c r="T303" s="87"/>
    </row>
    <row r="304" spans="1:20" ht="12.75" customHeight="1">
      <c r="A304" s="943"/>
      <c r="B304" s="35">
        <v>8</v>
      </c>
      <c r="C304" s="187" t="s">
        <v>163</v>
      </c>
      <c r="D304" s="151">
        <v>40</v>
      </c>
      <c r="E304" s="151">
        <v>1984</v>
      </c>
      <c r="F304" s="263">
        <v>54.467</v>
      </c>
      <c r="G304" s="263">
        <v>2.958</v>
      </c>
      <c r="H304" s="263">
        <v>6.4</v>
      </c>
      <c r="I304" s="263">
        <v>45.109</v>
      </c>
      <c r="J304" s="118">
        <v>2269.42</v>
      </c>
      <c r="K304" s="263">
        <v>43.56</v>
      </c>
      <c r="L304" s="118">
        <v>2191.39</v>
      </c>
      <c r="M304" s="139">
        <f t="shared" si="46"/>
        <v>0.019877794459224513</v>
      </c>
      <c r="N304" s="138">
        <v>337.573</v>
      </c>
      <c r="O304" s="138">
        <f t="shared" si="47"/>
        <v>6.7102067089837965</v>
      </c>
      <c r="P304" s="148">
        <f t="shared" si="48"/>
        <v>1192.667667553471</v>
      </c>
      <c r="Q304" s="168">
        <f t="shared" si="49"/>
        <v>402.6124025390278</v>
      </c>
      <c r="S304" s="87"/>
      <c r="T304" s="87"/>
    </row>
    <row r="305" spans="1:20" ht="13.5" customHeight="1">
      <c r="A305" s="943"/>
      <c r="B305" s="35">
        <v>9</v>
      </c>
      <c r="C305" s="187" t="s">
        <v>312</v>
      </c>
      <c r="D305" s="151">
        <v>40</v>
      </c>
      <c r="E305" s="151">
        <v>1979</v>
      </c>
      <c r="F305" s="263">
        <v>53.659</v>
      </c>
      <c r="G305" s="263">
        <v>2.805</v>
      </c>
      <c r="H305" s="263">
        <v>6.24</v>
      </c>
      <c r="I305" s="263">
        <v>44.614</v>
      </c>
      <c r="J305" s="118">
        <v>2257.74</v>
      </c>
      <c r="K305" s="263">
        <v>44.37</v>
      </c>
      <c r="L305" s="118">
        <v>2180.68</v>
      </c>
      <c r="M305" s="139">
        <f t="shared" si="46"/>
        <v>0.02034686428086652</v>
      </c>
      <c r="N305" s="138">
        <v>337.573</v>
      </c>
      <c r="O305" s="138">
        <f t="shared" si="47"/>
        <v>6.868552015884953</v>
      </c>
      <c r="P305" s="148">
        <f t="shared" si="48"/>
        <v>1220.8118568519913</v>
      </c>
      <c r="Q305" s="168">
        <f t="shared" si="49"/>
        <v>412.1131209530972</v>
      </c>
      <c r="S305" s="87"/>
      <c r="T305" s="87"/>
    </row>
    <row r="306" spans="1:20" ht="13.5" customHeight="1" thickBot="1">
      <c r="A306" s="944"/>
      <c r="B306" s="90">
        <v>10</v>
      </c>
      <c r="C306" s="195" t="s">
        <v>166</v>
      </c>
      <c r="D306" s="152">
        <v>20</v>
      </c>
      <c r="E306" s="152">
        <v>1969</v>
      </c>
      <c r="F306" s="265">
        <v>31.705</v>
      </c>
      <c r="G306" s="265">
        <v>1.173</v>
      </c>
      <c r="H306" s="265">
        <v>3.2</v>
      </c>
      <c r="I306" s="265">
        <v>27.332</v>
      </c>
      <c r="J306" s="184">
        <v>1259.31</v>
      </c>
      <c r="K306" s="265">
        <v>27.332</v>
      </c>
      <c r="L306" s="184">
        <v>1259.31</v>
      </c>
      <c r="M306" s="218">
        <f t="shared" si="46"/>
        <v>0.02170394898793784</v>
      </c>
      <c r="N306" s="442">
        <v>337.573</v>
      </c>
      <c r="O306" s="171">
        <f t="shared" si="47"/>
        <v>7.32666717170514</v>
      </c>
      <c r="P306" s="171">
        <f t="shared" si="48"/>
        <v>1302.2369392762705</v>
      </c>
      <c r="Q306" s="172">
        <f t="shared" si="49"/>
        <v>439.6000303023084</v>
      </c>
      <c r="S306" s="87"/>
      <c r="T306" s="87"/>
    </row>
    <row r="307" spans="1:20" ht="12.75">
      <c r="A307" s="921" t="s">
        <v>30</v>
      </c>
      <c r="B307" s="231">
        <v>1</v>
      </c>
      <c r="C307" s="243" t="s">
        <v>170</v>
      </c>
      <c r="D307" s="236">
        <v>23</v>
      </c>
      <c r="E307" s="236">
        <v>1963</v>
      </c>
      <c r="F307" s="423">
        <v>27.159</v>
      </c>
      <c r="G307" s="423">
        <v>1.734</v>
      </c>
      <c r="H307" s="423">
        <v>0.24</v>
      </c>
      <c r="I307" s="423">
        <v>25.185</v>
      </c>
      <c r="J307" s="434">
        <v>1070.85</v>
      </c>
      <c r="K307" s="423">
        <v>24.2</v>
      </c>
      <c r="L307" s="356">
        <v>1029.11</v>
      </c>
      <c r="M307" s="286">
        <f t="shared" si="46"/>
        <v>0.02351546481911555</v>
      </c>
      <c r="N307" s="424">
        <v>337.573</v>
      </c>
      <c r="O307" s="285">
        <f t="shared" si="47"/>
        <v>7.938186005383293</v>
      </c>
      <c r="P307" s="285">
        <f t="shared" si="48"/>
        <v>1410.927889146933</v>
      </c>
      <c r="Q307" s="287">
        <f t="shared" si="49"/>
        <v>476.2911603229976</v>
      </c>
      <c r="S307" s="87"/>
      <c r="T307" s="87"/>
    </row>
    <row r="308" spans="1:20" ht="12.75">
      <c r="A308" s="922"/>
      <c r="B308" s="232">
        <v>2</v>
      </c>
      <c r="C308" s="244" t="s">
        <v>314</v>
      </c>
      <c r="D308" s="233">
        <v>24</v>
      </c>
      <c r="E308" s="233">
        <v>1960</v>
      </c>
      <c r="F308" s="288">
        <v>32.119</v>
      </c>
      <c r="G308" s="288">
        <v>1.02</v>
      </c>
      <c r="H308" s="288">
        <v>3.84</v>
      </c>
      <c r="I308" s="288">
        <v>27.259</v>
      </c>
      <c r="J308" s="279">
        <v>1110.04</v>
      </c>
      <c r="K308" s="288">
        <v>27.259</v>
      </c>
      <c r="L308" s="279">
        <v>1110.04</v>
      </c>
      <c r="M308" s="290">
        <f t="shared" si="46"/>
        <v>0.024556772728910672</v>
      </c>
      <c r="N308" s="289">
        <v>337.573</v>
      </c>
      <c r="O308" s="289">
        <f t="shared" si="47"/>
        <v>8.289703440416561</v>
      </c>
      <c r="P308" s="285">
        <f t="shared" si="48"/>
        <v>1473.4063637346403</v>
      </c>
      <c r="Q308" s="291">
        <f t="shared" si="49"/>
        <v>497.3822064249937</v>
      </c>
      <c r="S308" s="87"/>
      <c r="T308" s="87"/>
    </row>
    <row r="309" spans="1:20" ht="12.75">
      <c r="A309" s="922"/>
      <c r="B309" s="232">
        <v>3</v>
      </c>
      <c r="C309" s="244" t="s">
        <v>317</v>
      </c>
      <c r="D309" s="233">
        <v>45</v>
      </c>
      <c r="E309" s="233">
        <v>1968</v>
      </c>
      <c r="F309" s="288">
        <v>56.323</v>
      </c>
      <c r="G309" s="288">
        <v>3.06</v>
      </c>
      <c r="H309" s="288">
        <v>7.2</v>
      </c>
      <c r="I309" s="288">
        <v>46.063</v>
      </c>
      <c r="J309" s="279">
        <v>1855.91</v>
      </c>
      <c r="K309" s="288">
        <v>46.063</v>
      </c>
      <c r="L309" s="279">
        <v>1855.91</v>
      </c>
      <c r="M309" s="290">
        <f t="shared" si="46"/>
        <v>0.02481963026224332</v>
      </c>
      <c r="N309" s="289">
        <v>337.573</v>
      </c>
      <c r="O309" s="289">
        <f t="shared" si="47"/>
        <v>8.378437046516263</v>
      </c>
      <c r="P309" s="285">
        <f t="shared" si="48"/>
        <v>1489.177815734599</v>
      </c>
      <c r="Q309" s="291">
        <f t="shared" si="49"/>
        <v>502.7062227909758</v>
      </c>
      <c r="S309" s="87"/>
      <c r="T309" s="87"/>
    </row>
    <row r="310" spans="1:20" ht="12.75">
      <c r="A310" s="922"/>
      <c r="B310" s="232">
        <v>4</v>
      </c>
      <c r="C310" s="244" t="s">
        <v>172</v>
      </c>
      <c r="D310" s="233">
        <v>21</v>
      </c>
      <c r="E310" s="233">
        <v>1986</v>
      </c>
      <c r="F310" s="288">
        <v>34.017</v>
      </c>
      <c r="G310" s="288">
        <v>1.326</v>
      </c>
      <c r="H310" s="288">
        <v>3.52</v>
      </c>
      <c r="I310" s="288">
        <v>29.171</v>
      </c>
      <c r="J310" s="279">
        <v>1161.95</v>
      </c>
      <c r="K310" s="288">
        <v>27.55</v>
      </c>
      <c r="L310" s="279">
        <v>1097.49</v>
      </c>
      <c r="M310" s="290">
        <f t="shared" si="46"/>
        <v>0.025102734421270353</v>
      </c>
      <c r="N310" s="289">
        <v>337.573</v>
      </c>
      <c r="O310" s="289">
        <f t="shared" si="47"/>
        <v>8.474005366791497</v>
      </c>
      <c r="P310" s="285">
        <f t="shared" si="48"/>
        <v>1506.1640652762212</v>
      </c>
      <c r="Q310" s="291">
        <f t="shared" si="49"/>
        <v>508.4403220074898</v>
      </c>
      <c r="S310" s="87"/>
      <c r="T310" s="87"/>
    </row>
    <row r="311" spans="1:20" ht="12.75">
      <c r="A311" s="922"/>
      <c r="B311" s="232">
        <v>5</v>
      </c>
      <c r="C311" s="244" t="s">
        <v>315</v>
      </c>
      <c r="D311" s="233">
        <v>12</v>
      </c>
      <c r="E311" s="233">
        <v>1980</v>
      </c>
      <c r="F311" s="288">
        <v>16.439</v>
      </c>
      <c r="G311" s="288">
        <v>0.969</v>
      </c>
      <c r="H311" s="288">
        <v>1.76</v>
      </c>
      <c r="I311" s="288">
        <v>13.71</v>
      </c>
      <c r="J311" s="279">
        <v>584.73</v>
      </c>
      <c r="K311" s="288">
        <v>13.71</v>
      </c>
      <c r="L311" s="279">
        <v>523.49</v>
      </c>
      <c r="M311" s="290">
        <f t="shared" si="46"/>
        <v>0.026189612026972817</v>
      </c>
      <c r="N311" s="285">
        <v>337.573</v>
      </c>
      <c r="O311" s="289">
        <f t="shared" si="47"/>
        <v>8.840905900781294</v>
      </c>
      <c r="P311" s="285">
        <f t="shared" si="48"/>
        <v>1571.376721618369</v>
      </c>
      <c r="Q311" s="291">
        <f t="shared" si="49"/>
        <v>530.4543540468776</v>
      </c>
      <c r="S311" s="87"/>
      <c r="T311" s="87"/>
    </row>
    <row r="312" spans="1:20" ht="12.75">
      <c r="A312" s="922"/>
      <c r="B312" s="232">
        <v>6</v>
      </c>
      <c r="C312" s="244" t="s">
        <v>173</v>
      </c>
      <c r="D312" s="233">
        <v>3</v>
      </c>
      <c r="E312" s="233">
        <v>1900</v>
      </c>
      <c r="F312" s="288">
        <v>15.619</v>
      </c>
      <c r="G312" s="288">
        <v>0.612</v>
      </c>
      <c r="H312" s="288">
        <v>1.92</v>
      </c>
      <c r="I312" s="288">
        <v>13.087</v>
      </c>
      <c r="J312" s="279">
        <v>558.26</v>
      </c>
      <c r="K312" s="288">
        <v>12.78</v>
      </c>
      <c r="L312" s="279">
        <v>485.29</v>
      </c>
      <c r="M312" s="290">
        <f t="shared" si="46"/>
        <v>0.02633476890106946</v>
      </c>
      <c r="N312" s="289">
        <v>337.573</v>
      </c>
      <c r="O312" s="289">
        <f t="shared" si="47"/>
        <v>8.88990694224072</v>
      </c>
      <c r="P312" s="285">
        <f t="shared" si="48"/>
        <v>1580.0861340641677</v>
      </c>
      <c r="Q312" s="291">
        <f t="shared" si="49"/>
        <v>533.3944165344433</v>
      </c>
      <c r="S312" s="87"/>
      <c r="T312" s="87"/>
    </row>
    <row r="313" spans="1:20" ht="12.75">
      <c r="A313" s="922"/>
      <c r="B313" s="232">
        <v>7</v>
      </c>
      <c r="C313" s="244" t="s">
        <v>171</v>
      </c>
      <c r="D313" s="233">
        <v>12</v>
      </c>
      <c r="E313" s="233">
        <v>1980</v>
      </c>
      <c r="F313" s="288">
        <v>15.562</v>
      </c>
      <c r="G313" s="288">
        <v>0.714</v>
      </c>
      <c r="H313" s="288">
        <v>1.6</v>
      </c>
      <c r="I313" s="288">
        <v>13.248</v>
      </c>
      <c r="J313" s="279">
        <v>587.63</v>
      </c>
      <c r="K313" s="288">
        <v>12.85</v>
      </c>
      <c r="L313" s="279">
        <v>468.68</v>
      </c>
      <c r="M313" s="290">
        <f t="shared" si="46"/>
        <v>0.0274174276691986</v>
      </c>
      <c r="N313" s="289">
        <v>337.573</v>
      </c>
      <c r="O313" s="289">
        <f t="shared" si="47"/>
        <v>9.255383310574379</v>
      </c>
      <c r="P313" s="285">
        <f t="shared" si="48"/>
        <v>1645.045660151916</v>
      </c>
      <c r="Q313" s="291">
        <f t="shared" si="49"/>
        <v>555.3229986344627</v>
      </c>
      <c r="S313" s="87"/>
      <c r="T313" s="87"/>
    </row>
    <row r="314" spans="1:20" ht="12.75">
      <c r="A314" s="922"/>
      <c r="B314" s="232">
        <v>8</v>
      </c>
      <c r="C314" s="244" t="s">
        <v>316</v>
      </c>
      <c r="D314" s="233">
        <v>8</v>
      </c>
      <c r="E314" s="233">
        <v>1989</v>
      </c>
      <c r="F314" s="288">
        <v>19.093</v>
      </c>
      <c r="G314" s="288">
        <v>0.102</v>
      </c>
      <c r="H314" s="288">
        <v>0.08</v>
      </c>
      <c r="I314" s="288">
        <v>18.911</v>
      </c>
      <c r="J314" s="279">
        <v>729.13</v>
      </c>
      <c r="K314" s="288">
        <v>6.73</v>
      </c>
      <c r="L314" s="279">
        <v>236.04</v>
      </c>
      <c r="M314" s="290">
        <f t="shared" si="46"/>
        <v>0.028512116590408407</v>
      </c>
      <c r="N314" s="285">
        <v>337.573</v>
      </c>
      <c r="O314" s="289">
        <f t="shared" si="47"/>
        <v>9.624920733773937</v>
      </c>
      <c r="P314" s="285">
        <f t="shared" si="48"/>
        <v>1710.7269954245044</v>
      </c>
      <c r="Q314" s="291">
        <f t="shared" si="49"/>
        <v>577.4952440264361</v>
      </c>
      <c r="S314" s="87"/>
      <c r="T314" s="87"/>
    </row>
    <row r="315" spans="1:20" ht="12.75">
      <c r="A315" s="923"/>
      <c r="B315" s="245">
        <v>9</v>
      </c>
      <c r="C315" s="244" t="s">
        <v>182</v>
      </c>
      <c r="D315" s="233">
        <v>15</v>
      </c>
      <c r="E315" s="233">
        <v>1969</v>
      </c>
      <c r="F315" s="288">
        <v>20.735</v>
      </c>
      <c r="G315" s="288">
        <v>0.765</v>
      </c>
      <c r="H315" s="288">
        <v>0.15</v>
      </c>
      <c r="I315" s="288">
        <v>19.82</v>
      </c>
      <c r="J315" s="279">
        <v>617.45</v>
      </c>
      <c r="K315" s="288">
        <v>18.05</v>
      </c>
      <c r="L315" s="279">
        <v>562.44</v>
      </c>
      <c r="M315" s="290">
        <f t="shared" si="46"/>
        <v>0.032092312068842895</v>
      </c>
      <c r="N315" s="289">
        <v>337.573</v>
      </c>
      <c r="O315" s="289">
        <f t="shared" si="47"/>
        <v>10.833498062015503</v>
      </c>
      <c r="P315" s="285">
        <f t="shared" si="48"/>
        <v>1925.5387241305737</v>
      </c>
      <c r="Q315" s="291">
        <f t="shared" si="49"/>
        <v>650.0098837209301</v>
      </c>
      <c r="S315" s="87"/>
      <c r="T315" s="87"/>
    </row>
    <row r="316" spans="1:20" ht="13.5" thickBot="1">
      <c r="A316" s="924"/>
      <c r="B316" s="246">
        <v>10</v>
      </c>
      <c r="C316" s="738" t="s">
        <v>177</v>
      </c>
      <c r="D316" s="237">
        <v>4</v>
      </c>
      <c r="E316" s="237">
        <v>1930</v>
      </c>
      <c r="F316" s="292">
        <v>10.605</v>
      </c>
      <c r="G316" s="292">
        <v>0.255</v>
      </c>
      <c r="H316" s="292">
        <v>0.07</v>
      </c>
      <c r="I316" s="292">
        <v>10.28</v>
      </c>
      <c r="J316" s="281">
        <v>319.18</v>
      </c>
      <c r="K316" s="292">
        <v>5.15</v>
      </c>
      <c r="L316" s="281">
        <v>159.84</v>
      </c>
      <c r="M316" s="294">
        <f t="shared" si="46"/>
        <v>0.03221971971971972</v>
      </c>
      <c r="N316" s="246">
        <v>337.573</v>
      </c>
      <c r="O316" s="293">
        <f t="shared" si="47"/>
        <v>10.876507444944945</v>
      </c>
      <c r="P316" s="293">
        <f t="shared" si="48"/>
        <v>1933.1831831831835</v>
      </c>
      <c r="Q316" s="295">
        <f t="shared" si="49"/>
        <v>652.5904466966969</v>
      </c>
      <c r="S316" s="87"/>
      <c r="T316" s="87"/>
    </row>
    <row r="317" spans="1:20" ht="12.75">
      <c r="A317" s="948" t="s">
        <v>12</v>
      </c>
      <c r="B317" s="39">
        <v>1</v>
      </c>
      <c r="C317" s="770" t="s">
        <v>178</v>
      </c>
      <c r="D317" s="240">
        <v>9</v>
      </c>
      <c r="E317" s="240">
        <v>1925</v>
      </c>
      <c r="F317" s="429">
        <v>13.104</v>
      </c>
      <c r="G317" s="429">
        <v>0.357</v>
      </c>
      <c r="H317" s="429">
        <v>1.6</v>
      </c>
      <c r="I317" s="429">
        <v>11.147</v>
      </c>
      <c r="J317" s="360">
        <v>392.63</v>
      </c>
      <c r="K317" s="429">
        <v>10.74</v>
      </c>
      <c r="L317" s="357">
        <v>326.76</v>
      </c>
      <c r="M317" s="303">
        <f t="shared" si="46"/>
        <v>0.03286816011751745</v>
      </c>
      <c r="N317" s="304">
        <v>337.573</v>
      </c>
      <c r="O317" s="304">
        <f t="shared" si="47"/>
        <v>11.095403415350717</v>
      </c>
      <c r="P317" s="304">
        <f t="shared" si="48"/>
        <v>1972.0896070510466</v>
      </c>
      <c r="Q317" s="305">
        <f t="shared" si="49"/>
        <v>665.7242049210429</v>
      </c>
      <c r="S317" s="87"/>
      <c r="T317" s="87"/>
    </row>
    <row r="318" spans="1:20" ht="12.75">
      <c r="A318" s="919"/>
      <c r="B318" s="41">
        <v>2</v>
      </c>
      <c r="C318" s="188" t="s">
        <v>180</v>
      </c>
      <c r="D318" s="189">
        <v>19</v>
      </c>
      <c r="E318" s="189">
        <v>1961</v>
      </c>
      <c r="F318" s="315">
        <v>30.761</v>
      </c>
      <c r="G318" s="315">
        <v>1.173</v>
      </c>
      <c r="H318" s="315">
        <v>0.21</v>
      </c>
      <c r="I318" s="315">
        <v>29.378</v>
      </c>
      <c r="J318" s="317">
        <v>886.26</v>
      </c>
      <c r="K318" s="315">
        <v>22.18</v>
      </c>
      <c r="L318" s="317">
        <v>669.1</v>
      </c>
      <c r="M318" s="309">
        <f t="shared" si="46"/>
        <v>0.033149006127634134</v>
      </c>
      <c r="N318" s="310">
        <v>337.573</v>
      </c>
      <c r="O318" s="310">
        <f t="shared" si="47"/>
        <v>11.190209445523838</v>
      </c>
      <c r="P318" s="304">
        <f t="shared" si="48"/>
        <v>1988.940367658048</v>
      </c>
      <c r="Q318" s="311">
        <f t="shared" si="49"/>
        <v>671.4125667314303</v>
      </c>
      <c r="S318" s="87"/>
      <c r="T318" s="87"/>
    </row>
    <row r="319" spans="1:20" ht="12.75">
      <c r="A319" s="919"/>
      <c r="B319" s="41">
        <v>3</v>
      </c>
      <c r="C319" s="188" t="s">
        <v>176</v>
      </c>
      <c r="D319" s="189">
        <v>4</v>
      </c>
      <c r="E319" s="189">
        <v>1947</v>
      </c>
      <c r="F319" s="315">
        <v>10.065</v>
      </c>
      <c r="G319" s="315">
        <v>0.612</v>
      </c>
      <c r="H319" s="315">
        <v>0.72</v>
      </c>
      <c r="I319" s="315">
        <v>8.733</v>
      </c>
      <c r="J319" s="317">
        <v>256.84</v>
      </c>
      <c r="K319" s="315">
        <v>7.62</v>
      </c>
      <c r="L319" s="317">
        <v>224.01</v>
      </c>
      <c r="M319" s="309">
        <f t="shared" si="46"/>
        <v>0.03401633855631445</v>
      </c>
      <c r="N319" s="310">
        <v>337.573</v>
      </c>
      <c r="O319" s="310">
        <f t="shared" si="47"/>
        <v>11.482997455470738</v>
      </c>
      <c r="P319" s="304">
        <f t="shared" si="48"/>
        <v>2040.980313378867</v>
      </c>
      <c r="Q319" s="311">
        <f t="shared" si="49"/>
        <v>688.9798473282442</v>
      </c>
      <c r="S319" s="87"/>
      <c r="T319" s="87"/>
    </row>
    <row r="320" spans="1:20" ht="12.75">
      <c r="A320" s="919"/>
      <c r="B320" s="41">
        <v>4</v>
      </c>
      <c r="C320" s="188" t="s">
        <v>175</v>
      </c>
      <c r="D320" s="189">
        <v>6</v>
      </c>
      <c r="E320" s="189">
        <v>1930</v>
      </c>
      <c r="F320" s="315">
        <v>10.616</v>
      </c>
      <c r="G320" s="315">
        <v>0.255</v>
      </c>
      <c r="H320" s="315">
        <v>0.8</v>
      </c>
      <c r="I320" s="315">
        <v>9.561</v>
      </c>
      <c r="J320" s="317">
        <v>323.39</v>
      </c>
      <c r="K320" s="315">
        <v>9.31</v>
      </c>
      <c r="L320" s="317">
        <v>266.7</v>
      </c>
      <c r="M320" s="309">
        <f t="shared" si="46"/>
        <v>0.03490813648293964</v>
      </c>
      <c r="N320" s="310">
        <v>337.573</v>
      </c>
      <c r="O320" s="310">
        <f t="shared" si="47"/>
        <v>11.784044356955382</v>
      </c>
      <c r="P320" s="304">
        <f t="shared" si="48"/>
        <v>2094.4881889763783</v>
      </c>
      <c r="Q320" s="311">
        <f t="shared" si="49"/>
        <v>707.042661417323</v>
      </c>
      <c r="S320" s="87"/>
      <c r="T320" s="87"/>
    </row>
    <row r="321" spans="1:20" ht="12.75">
      <c r="A321" s="919"/>
      <c r="B321" s="41">
        <v>5</v>
      </c>
      <c r="C321" s="188" t="s">
        <v>181</v>
      </c>
      <c r="D321" s="189">
        <v>12</v>
      </c>
      <c r="E321" s="189">
        <v>1962</v>
      </c>
      <c r="F321" s="315">
        <v>23.661</v>
      </c>
      <c r="G321" s="315">
        <v>0.306</v>
      </c>
      <c r="H321" s="315">
        <v>0.14</v>
      </c>
      <c r="I321" s="315">
        <v>23.215</v>
      </c>
      <c r="J321" s="317">
        <v>864.16</v>
      </c>
      <c r="K321" s="315">
        <v>19.24</v>
      </c>
      <c r="L321" s="317">
        <v>544.13</v>
      </c>
      <c r="M321" s="309">
        <f t="shared" si="46"/>
        <v>0.03535919725065701</v>
      </c>
      <c r="N321" s="310">
        <v>337.573</v>
      </c>
      <c r="O321" s="310">
        <f t="shared" si="47"/>
        <v>11.936310293496039</v>
      </c>
      <c r="P321" s="304">
        <f t="shared" si="48"/>
        <v>2121.5518350394204</v>
      </c>
      <c r="Q321" s="311">
        <f t="shared" si="49"/>
        <v>716.1786176097622</v>
      </c>
      <c r="S321" s="87"/>
      <c r="T321" s="87"/>
    </row>
    <row r="322" spans="1:20" ht="12.75">
      <c r="A322" s="919"/>
      <c r="B322" s="41">
        <v>6</v>
      </c>
      <c r="C322" s="188" t="s">
        <v>174</v>
      </c>
      <c r="D322" s="189">
        <v>6</v>
      </c>
      <c r="E322" s="189">
        <v>1910</v>
      </c>
      <c r="F322" s="315">
        <v>12.453</v>
      </c>
      <c r="G322" s="315">
        <v>0.153</v>
      </c>
      <c r="H322" s="315">
        <v>0.96</v>
      </c>
      <c r="I322" s="315">
        <v>11.34</v>
      </c>
      <c r="J322" s="317">
        <v>303.9</v>
      </c>
      <c r="K322" s="315">
        <v>11.34</v>
      </c>
      <c r="L322" s="317">
        <v>303.9</v>
      </c>
      <c r="M322" s="309">
        <f t="shared" si="46"/>
        <v>0.03731490621915104</v>
      </c>
      <c r="N322" s="310">
        <v>337.573</v>
      </c>
      <c r="O322" s="310">
        <f t="shared" si="47"/>
        <v>12.596504837117473</v>
      </c>
      <c r="P322" s="304">
        <f t="shared" si="48"/>
        <v>2238.8943731490626</v>
      </c>
      <c r="Q322" s="311">
        <f t="shared" si="49"/>
        <v>755.7902902270484</v>
      </c>
      <c r="S322" s="87"/>
      <c r="T322" s="87"/>
    </row>
    <row r="323" spans="1:20" ht="12.75">
      <c r="A323" s="919"/>
      <c r="B323" s="41">
        <v>7</v>
      </c>
      <c r="C323" s="188" t="s">
        <v>169</v>
      </c>
      <c r="D323" s="189">
        <v>4</v>
      </c>
      <c r="E323" s="189">
        <v>1914</v>
      </c>
      <c r="F323" s="315">
        <v>8.73</v>
      </c>
      <c r="G323" s="315">
        <v>0.408</v>
      </c>
      <c r="H323" s="315">
        <v>0.64</v>
      </c>
      <c r="I323" s="315">
        <v>7.682</v>
      </c>
      <c r="J323" s="317">
        <v>203.32</v>
      </c>
      <c r="K323" s="315">
        <v>5.71</v>
      </c>
      <c r="L323" s="317">
        <v>151.17</v>
      </c>
      <c r="M323" s="309">
        <f t="shared" si="46"/>
        <v>0.037772044717867305</v>
      </c>
      <c r="N323" s="310">
        <v>337.573</v>
      </c>
      <c r="O323" s="310">
        <f t="shared" si="47"/>
        <v>12.75082245154462</v>
      </c>
      <c r="P323" s="304">
        <f t="shared" si="48"/>
        <v>2266.322683072038</v>
      </c>
      <c r="Q323" s="311">
        <f t="shared" si="49"/>
        <v>765.0493470926772</v>
      </c>
      <c r="S323" s="87"/>
      <c r="T323" s="87"/>
    </row>
    <row r="324" spans="1:20" ht="12.75">
      <c r="A324" s="919"/>
      <c r="B324" s="41">
        <v>8</v>
      </c>
      <c r="C324" s="188" t="s">
        <v>179</v>
      </c>
      <c r="D324" s="189">
        <v>11</v>
      </c>
      <c r="E324" s="189">
        <v>1961</v>
      </c>
      <c r="F324" s="315">
        <v>21.253</v>
      </c>
      <c r="G324" s="315">
        <v>1.173</v>
      </c>
      <c r="H324" s="315">
        <v>0.11</v>
      </c>
      <c r="I324" s="315">
        <v>19.97</v>
      </c>
      <c r="J324" s="317">
        <v>524.32</v>
      </c>
      <c r="K324" s="315">
        <v>18.09</v>
      </c>
      <c r="L324" s="317">
        <v>474.9</v>
      </c>
      <c r="M324" s="309">
        <f t="shared" si="46"/>
        <v>0.03809222994314593</v>
      </c>
      <c r="N324" s="310">
        <v>337.573</v>
      </c>
      <c r="O324" s="310">
        <f t="shared" si="47"/>
        <v>12.8589083385976</v>
      </c>
      <c r="P324" s="304">
        <f t="shared" si="48"/>
        <v>2285.533796588756</v>
      </c>
      <c r="Q324" s="311">
        <f t="shared" si="49"/>
        <v>771.5345003158561</v>
      </c>
      <c r="S324" s="87"/>
      <c r="T324" s="87"/>
    </row>
    <row r="325" spans="1:20" ht="12.75">
      <c r="A325" s="919"/>
      <c r="B325" s="41">
        <v>9</v>
      </c>
      <c r="C325" s="248" t="s">
        <v>183</v>
      </c>
      <c r="D325" s="189">
        <v>18</v>
      </c>
      <c r="E325" s="189">
        <v>1961</v>
      </c>
      <c r="F325" s="315">
        <v>35.964</v>
      </c>
      <c r="G325" s="315">
        <v>1.122</v>
      </c>
      <c r="H325" s="315">
        <v>0.21</v>
      </c>
      <c r="I325" s="315">
        <v>34.632</v>
      </c>
      <c r="J325" s="317">
        <v>887.64</v>
      </c>
      <c r="K325" s="315">
        <v>28.36</v>
      </c>
      <c r="L325" s="317">
        <v>726.9</v>
      </c>
      <c r="M325" s="309">
        <f t="shared" si="46"/>
        <v>0.039014995185032326</v>
      </c>
      <c r="N325" s="41">
        <v>337.573</v>
      </c>
      <c r="O325" s="310">
        <f t="shared" si="47"/>
        <v>13.170408969596917</v>
      </c>
      <c r="P325" s="304">
        <f t="shared" si="48"/>
        <v>2340.8997111019394</v>
      </c>
      <c r="Q325" s="311">
        <f t="shared" si="49"/>
        <v>790.2245381758149</v>
      </c>
      <c r="S325" s="87"/>
      <c r="T325" s="87"/>
    </row>
    <row r="326" spans="1:20" ht="13.5" thickBot="1">
      <c r="A326" s="920"/>
      <c r="B326" s="46">
        <v>10</v>
      </c>
      <c r="C326" s="241" t="s">
        <v>318</v>
      </c>
      <c r="D326" s="242">
        <v>12</v>
      </c>
      <c r="E326" s="242">
        <v>1968</v>
      </c>
      <c r="F326" s="316">
        <v>17.666</v>
      </c>
      <c r="G326" s="316">
        <v>0.255</v>
      </c>
      <c r="H326" s="316">
        <v>0.08</v>
      </c>
      <c r="I326" s="316">
        <v>17.331</v>
      </c>
      <c r="J326" s="358">
        <v>489.67</v>
      </c>
      <c r="K326" s="316">
        <v>16.22</v>
      </c>
      <c r="L326" s="358">
        <v>409.77</v>
      </c>
      <c r="M326" s="306">
        <f t="shared" si="46"/>
        <v>0.03958318080874637</v>
      </c>
      <c r="N326" s="307">
        <v>337.573</v>
      </c>
      <c r="O326" s="307">
        <f t="shared" si="47"/>
        <v>13.362213095150938</v>
      </c>
      <c r="P326" s="307">
        <f t="shared" si="48"/>
        <v>2374.9908485247825</v>
      </c>
      <c r="Q326" s="308">
        <f t="shared" si="49"/>
        <v>801.7327857090563</v>
      </c>
      <c r="S326" s="87"/>
      <c r="T326" s="87"/>
    </row>
    <row r="327" spans="19:20" ht="12.75">
      <c r="S327" s="87"/>
      <c r="T327" s="87"/>
    </row>
    <row r="328" spans="19:20" ht="12.75">
      <c r="S328" s="87"/>
      <c r="T328" s="87"/>
    </row>
    <row r="329" spans="19:20" ht="12.75">
      <c r="S329" s="87"/>
      <c r="T329" s="87"/>
    </row>
    <row r="330" spans="19:20" ht="12.75">
      <c r="S330" s="87"/>
      <c r="T330" s="87"/>
    </row>
    <row r="331" spans="19:20" ht="12.75">
      <c r="S331" s="87"/>
      <c r="T331" s="87"/>
    </row>
    <row r="332" spans="19:20" ht="12.75">
      <c r="S332" s="87"/>
      <c r="T332" s="87"/>
    </row>
    <row r="333" spans="1:20" ht="15">
      <c r="A333" s="906" t="s">
        <v>62</v>
      </c>
      <c r="B333" s="906"/>
      <c r="C333" s="906"/>
      <c r="D333" s="906"/>
      <c r="E333" s="906"/>
      <c r="F333" s="906"/>
      <c r="G333" s="906"/>
      <c r="H333" s="906"/>
      <c r="I333" s="906"/>
      <c r="J333" s="906"/>
      <c r="K333" s="906"/>
      <c r="L333" s="906"/>
      <c r="M333" s="906"/>
      <c r="N333" s="906"/>
      <c r="O333" s="906"/>
      <c r="P333" s="906"/>
      <c r="Q333" s="906"/>
      <c r="S333" s="87"/>
      <c r="T333" s="87"/>
    </row>
    <row r="334" spans="1:20" ht="13.5" thickBot="1">
      <c r="A334" s="935" t="s">
        <v>597</v>
      </c>
      <c r="B334" s="935"/>
      <c r="C334" s="935"/>
      <c r="D334" s="935"/>
      <c r="E334" s="935"/>
      <c r="F334" s="935"/>
      <c r="G334" s="935"/>
      <c r="H334" s="935"/>
      <c r="I334" s="935"/>
      <c r="J334" s="935"/>
      <c r="K334" s="935"/>
      <c r="L334" s="935"/>
      <c r="M334" s="935"/>
      <c r="N334" s="935"/>
      <c r="O334" s="935"/>
      <c r="P334" s="935"/>
      <c r="Q334" s="935"/>
      <c r="S334" s="87"/>
      <c r="T334" s="87"/>
    </row>
    <row r="335" spans="1:20" ht="12.75" customHeight="1">
      <c r="A335" s="890" t="s">
        <v>1</v>
      </c>
      <c r="B335" s="892" t="s">
        <v>0</v>
      </c>
      <c r="C335" s="876" t="s">
        <v>2</v>
      </c>
      <c r="D335" s="888" t="s">
        <v>3</v>
      </c>
      <c r="E335" s="888" t="s">
        <v>13</v>
      </c>
      <c r="F335" s="896" t="s">
        <v>14</v>
      </c>
      <c r="G335" s="897"/>
      <c r="H335" s="897"/>
      <c r="I335" s="898"/>
      <c r="J335" s="888" t="s">
        <v>4</v>
      </c>
      <c r="K335" s="888" t="s">
        <v>15</v>
      </c>
      <c r="L335" s="888" t="s">
        <v>5</v>
      </c>
      <c r="M335" s="888" t="s">
        <v>6</v>
      </c>
      <c r="N335" s="888" t="s">
        <v>16</v>
      </c>
      <c r="O335" s="949" t="s">
        <v>17</v>
      </c>
      <c r="P335" s="888" t="s">
        <v>25</v>
      </c>
      <c r="Q335" s="878" t="s">
        <v>26</v>
      </c>
      <c r="S335" s="87"/>
      <c r="T335" s="87"/>
    </row>
    <row r="336" spans="1:20" s="2" customFormat="1" ht="33.75">
      <c r="A336" s="891"/>
      <c r="B336" s="893"/>
      <c r="C336" s="969"/>
      <c r="D336" s="889"/>
      <c r="E336" s="889"/>
      <c r="F336" s="36" t="s">
        <v>18</v>
      </c>
      <c r="G336" s="36" t="s">
        <v>19</v>
      </c>
      <c r="H336" s="36" t="s">
        <v>20</v>
      </c>
      <c r="I336" s="36" t="s">
        <v>21</v>
      </c>
      <c r="J336" s="889"/>
      <c r="K336" s="889"/>
      <c r="L336" s="889"/>
      <c r="M336" s="889"/>
      <c r="N336" s="889"/>
      <c r="O336" s="950"/>
      <c r="P336" s="889"/>
      <c r="Q336" s="879"/>
      <c r="S336" s="87"/>
      <c r="T336" s="87"/>
    </row>
    <row r="337" spans="1:20" s="3" customFormat="1" ht="13.5" customHeight="1" thickBot="1">
      <c r="A337" s="891"/>
      <c r="B337" s="946"/>
      <c r="C337" s="970"/>
      <c r="D337" s="59" t="s">
        <v>7</v>
      </c>
      <c r="E337" s="59" t="s">
        <v>8</v>
      </c>
      <c r="F337" s="59" t="s">
        <v>9</v>
      </c>
      <c r="G337" s="59" t="s">
        <v>9</v>
      </c>
      <c r="H337" s="59" t="s">
        <v>9</v>
      </c>
      <c r="I337" s="59" t="s">
        <v>9</v>
      </c>
      <c r="J337" s="59" t="s">
        <v>22</v>
      </c>
      <c r="K337" s="59" t="s">
        <v>9</v>
      </c>
      <c r="L337" s="59" t="s">
        <v>22</v>
      </c>
      <c r="M337" s="59" t="s">
        <v>23</v>
      </c>
      <c r="N337" s="59" t="s">
        <v>10</v>
      </c>
      <c r="O337" s="59" t="s">
        <v>24</v>
      </c>
      <c r="P337" s="60" t="s">
        <v>27</v>
      </c>
      <c r="Q337" s="61" t="s">
        <v>28</v>
      </c>
      <c r="S337" s="87"/>
      <c r="T337" s="87"/>
    </row>
    <row r="338" spans="1:20" ht="12.75">
      <c r="A338" s="947" t="s">
        <v>11</v>
      </c>
      <c r="B338" s="30">
        <v>1</v>
      </c>
      <c r="C338" s="258" t="s">
        <v>320</v>
      </c>
      <c r="D338" s="259">
        <v>46</v>
      </c>
      <c r="E338" s="259">
        <v>1993</v>
      </c>
      <c r="F338" s="475">
        <v>44.948984</v>
      </c>
      <c r="G338" s="475">
        <v>6.585528</v>
      </c>
      <c r="H338" s="475">
        <v>9.84</v>
      </c>
      <c r="I338" s="475">
        <v>28.523476</v>
      </c>
      <c r="J338" s="477">
        <v>2941.14</v>
      </c>
      <c r="K338" s="475">
        <v>25.40923</v>
      </c>
      <c r="L338" s="477">
        <v>2706.72</v>
      </c>
      <c r="M338" s="480">
        <v>0.009387461577111782</v>
      </c>
      <c r="N338" s="203">
        <v>277.1</v>
      </c>
      <c r="O338" s="473">
        <f aca="true" t="shared" si="50" ref="O338:O377">M338*N338*1.09</f>
        <v>2.8353795072892662</v>
      </c>
      <c r="P338" s="473">
        <f aca="true" t="shared" si="51" ref="P338:P377">M338*60*1000</f>
        <v>563.2476946267069</v>
      </c>
      <c r="Q338" s="488">
        <f aca="true" t="shared" si="52" ref="Q338:Q347">P338*N338/1000</f>
        <v>156.0759361810605</v>
      </c>
      <c r="R338" s="6"/>
      <c r="S338" s="87"/>
      <c r="T338" s="87"/>
    </row>
    <row r="339" spans="1:20" ht="12.75">
      <c r="A339" s="928"/>
      <c r="B339" s="31">
        <v>2</v>
      </c>
      <c r="C339" s="255" t="s">
        <v>186</v>
      </c>
      <c r="D339" s="204">
        <v>54</v>
      </c>
      <c r="E339" s="204">
        <v>2008</v>
      </c>
      <c r="F339" s="374">
        <v>44.955</v>
      </c>
      <c r="G339" s="374">
        <v>4.54</v>
      </c>
      <c r="H339" s="374">
        <v>2.04</v>
      </c>
      <c r="I339" s="374">
        <v>38.375</v>
      </c>
      <c r="J339" s="376">
        <v>3786.21</v>
      </c>
      <c r="K339" s="374">
        <v>21.2206</v>
      </c>
      <c r="L339" s="376">
        <v>2030.27</v>
      </c>
      <c r="M339" s="481">
        <v>0.01045210735517936</v>
      </c>
      <c r="N339" s="203">
        <v>277.1</v>
      </c>
      <c r="O339" s="474">
        <f t="shared" si="50"/>
        <v>3.1569440534510194</v>
      </c>
      <c r="P339" s="474">
        <f t="shared" si="51"/>
        <v>627.1264413107616</v>
      </c>
      <c r="Q339" s="158">
        <f t="shared" si="52"/>
        <v>173.77673688721205</v>
      </c>
      <c r="S339" s="87"/>
      <c r="T339" s="87"/>
    </row>
    <row r="340" spans="1:20" ht="12.75">
      <c r="A340" s="928"/>
      <c r="B340" s="31">
        <v>3</v>
      </c>
      <c r="C340" s="255" t="s">
        <v>319</v>
      </c>
      <c r="D340" s="204">
        <v>55</v>
      </c>
      <c r="E340" s="204">
        <v>1990</v>
      </c>
      <c r="F340" s="374">
        <v>57.837995</v>
      </c>
      <c r="G340" s="374">
        <v>6.5025</v>
      </c>
      <c r="H340" s="374">
        <v>12.56</v>
      </c>
      <c r="I340" s="374">
        <v>38.775495</v>
      </c>
      <c r="J340" s="376">
        <v>3527.73</v>
      </c>
      <c r="K340" s="374">
        <v>38.775495</v>
      </c>
      <c r="L340" s="376">
        <v>3527.73</v>
      </c>
      <c r="M340" s="481">
        <v>0.0109916277606279</v>
      </c>
      <c r="N340" s="203">
        <v>277.1</v>
      </c>
      <c r="O340" s="474">
        <f t="shared" si="50"/>
        <v>3.3199002571922906</v>
      </c>
      <c r="P340" s="474">
        <f t="shared" si="51"/>
        <v>659.497665637674</v>
      </c>
      <c r="Q340" s="158">
        <f t="shared" si="52"/>
        <v>182.7468031481995</v>
      </c>
      <c r="S340" s="87"/>
      <c r="T340" s="87"/>
    </row>
    <row r="341" spans="1:20" ht="12.75">
      <c r="A341" s="928"/>
      <c r="B341" s="31">
        <v>4</v>
      </c>
      <c r="C341" s="255" t="s">
        <v>321</v>
      </c>
      <c r="D341" s="204">
        <v>55</v>
      </c>
      <c r="E341" s="204">
        <v>1993</v>
      </c>
      <c r="F341" s="374">
        <v>56.621005</v>
      </c>
      <c r="G341" s="374">
        <v>8.8995</v>
      </c>
      <c r="H341" s="374">
        <v>8.64</v>
      </c>
      <c r="I341" s="374">
        <v>39.081505</v>
      </c>
      <c r="J341" s="376">
        <v>3524.86</v>
      </c>
      <c r="K341" s="374">
        <v>39.081505</v>
      </c>
      <c r="L341" s="376">
        <v>3524.86</v>
      </c>
      <c r="M341" s="481">
        <v>0.011087392123375112</v>
      </c>
      <c r="N341" s="203">
        <v>277.1</v>
      </c>
      <c r="O341" s="474">
        <f t="shared" si="50"/>
        <v>3.348824829552096</v>
      </c>
      <c r="P341" s="474">
        <f t="shared" si="51"/>
        <v>665.2435274025067</v>
      </c>
      <c r="Q341" s="158">
        <f t="shared" si="52"/>
        <v>184.33898144323464</v>
      </c>
      <c r="S341" s="87"/>
      <c r="T341" s="87"/>
    </row>
    <row r="342" spans="1:20" ht="12.75">
      <c r="A342" s="928"/>
      <c r="B342" s="31">
        <v>5</v>
      </c>
      <c r="C342" s="255" t="s">
        <v>184</v>
      </c>
      <c r="D342" s="204">
        <v>25</v>
      </c>
      <c r="E342" s="204">
        <v>1978</v>
      </c>
      <c r="F342" s="374">
        <v>20.526</v>
      </c>
      <c r="G342" s="374">
        <v>2.346</v>
      </c>
      <c r="H342" s="374">
        <v>1</v>
      </c>
      <c r="I342" s="374">
        <v>17.18</v>
      </c>
      <c r="J342" s="376">
        <v>1284.25</v>
      </c>
      <c r="K342" s="374">
        <v>17.18</v>
      </c>
      <c r="L342" s="376">
        <v>1284.25</v>
      </c>
      <c r="M342" s="481">
        <v>0.013377457660112906</v>
      </c>
      <c r="N342" s="203">
        <v>277.1</v>
      </c>
      <c r="O342" s="474">
        <f t="shared" si="50"/>
        <v>4.040513934202842</v>
      </c>
      <c r="P342" s="474">
        <f t="shared" si="51"/>
        <v>802.6474596067743</v>
      </c>
      <c r="Q342" s="158">
        <f t="shared" si="52"/>
        <v>222.41361105703717</v>
      </c>
      <c r="S342" s="87"/>
      <c r="T342" s="87"/>
    </row>
    <row r="343" spans="1:20" ht="12.75">
      <c r="A343" s="928"/>
      <c r="B343" s="31">
        <v>6</v>
      </c>
      <c r="C343" s="255" t="s">
        <v>459</v>
      </c>
      <c r="D343" s="204">
        <v>22</v>
      </c>
      <c r="E343" s="204">
        <v>1994</v>
      </c>
      <c r="F343" s="374">
        <v>21.003</v>
      </c>
      <c r="G343" s="374">
        <v>1.836</v>
      </c>
      <c r="H343" s="374">
        <v>3.52</v>
      </c>
      <c r="I343" s="374">
        <v>15.647</v>
      </c>
      <c r="J343" s="376">
        <v>1162.77</v>
      </c>
      <c r="K343" s="374">
        <v>15.647</v>
      </c>
      <c r="L343" s="376">
        <v>1162.77</v>
      </c>
      <c r="M343" s="481">
        <v>0.013456659528539609</v>
      </c>
      <c r="N343" s="203">
        <v>277.1</v>
      </c>
      <c r="O343" s="474">
        <f t="shared" si="50"/>
        <v>4.064435987340575</v>
      </c>
      <c r="P343" s="474">
        <f t="shared" si="51"/>
        <v>807.3995717123765</v>
      </c>
      <c r="Q343" s="158">
        <f t="shared" si="52"/>
        <v>223.73042132149956</v>
      </c>
      <c r="S343" s="87"/>
      <c r="T343" s="87"/>
    </row>
    <row r="344" spans="1:20" ht="12.75">
      <c r="A344" s="928"/>
      <c r="B344" s="31">
        <v>7</v>
      </c>
      <c r="C344" s="255" t="s">
        <v>455</v>
      </c>
      <c r="D344" s="204">
        <v>9</v>
      </c>
      <c r="E344" s="204">
        <v>2006</v>
      </c>
      <c r="F344" s="374">
        <v>12.895</v>
      </c>
      <c r="G344" s="374">
        <v>0.92</v>
      </c>
      <c r="H344" s="374">
        <v>1.44</v>
      </c>
      <c r="I344" s="374">
        <v>10.535</v>
      </c>
      <c r="J344" s="376">
        <v>887.8</v>
      </c>
      <c r="K344" s="374">
        <v>7.562919</v>
      </c>
      <c r="L344" s="376">
        <v>560.62</v>
      </c>
      <c r="M344" s="481">
        <v>0.013490276836359744</v>
      </c>
      <c r="N344" s="203">
        <v>277.1</v>
      </c>
      <c r="O344" s="474">
        <f t="shared" si="50"/>
        <v>4.074589725377261</v>
      </c>
      <c r="P344" s="474">
        <f t="shared" si="51"/>
        <v>809.4166101815846</v>
      </c>
      <c r="Q344" s="158">
        <f t="shared" si="52"/>
        <v>224.2893426813171</v>
      </c>
      <c r="S344" s="87"/>
      <c r="T344" s="87"/>
    </row>
    <row r="345" spans="1:20" ht="12.75">
      <c r="A345" s="928"/>
      <c r="B345" s="31">
        <v>8</v>
      </c>
      <c r="C345" s="255" t="s">
        <v>322</v>
      </c>
      <c r="D345" s="204">
        <v>104</v>
      </c>
      <c r="E345" s="204">
        <v>1965</v>
      </c>
      <c r="F345" s="374">
        <v>88.135996</v>
      </c>
      <c r="G345" s="374">
        <v>8.126952</v>
      </c>
      <c r="H345" s="374">
        <v>15.84</v>
      </c>
      <c r="I345" s="374">
        <v>64.169044</v>
      </c>
      <c r="J345" s="376">
        <v>4447.51</v>
      </c>
      <c r="K345" s="374">
        <v>64.169044</v>
      </c>
      <c r="L345" s="376">
        <v>4447.51</v>
      </c>
      <c r="M345" s="481">
        <v>0.014428083129661316</v>
      </c>
      <c r="N345" s="203">
        <v>277.1</v>
      </c>
      <c r="O345" s="474">
        <f t="shared" si="50"/>
        <v>4.357843800399775</v>
      </c>
      <c r="P345" s="474">
        <f t="shared" si="51"/>
        <v>865.684987779679</v>
      </c>
      <c r="Q345" s="158">
        <f t="shared" si="52"/>
        <v>239.88131011374907</v>
      </c>
      <c r="S345" s="87"/>
      <c r="T345" s="87"/>
    </row>
    <row r="346" spans="1:20" ht="12.75">
      <c r="A346" s="928"/>
      <c r="B346" s="31">
        <v>9</v>
      </c>
      <c r="C346" s="255" t="s">
        <v>185</v>
      </c>
      <c r="D346" s="204">
        <v>54</v>
      </c>
      <c r="E346" s="204">
        <v>1992</v>
      </c>
      <c r="F346" s="374">
        <v>52.941974</v>
      </c>
      <c r="G346" s="374">
        <v>6.020703</v>
      </c>
      <c r="H346" s="374">
        <v>8.64</v>
      </c>
      <c r="I346" s="374">
        <v>38.281295</v>
      </c>
      <c r="J346" s="376">
        <v>2632.94</v>
      </c>
      <c r="K346" s="374">
        <v>38.281295</v>
      </c>
      <c r="L346" s="376">
        <v>2632.94</v>
      </c>
      <c r="M346" s="481">
        <v>0.014539372336627497</v>
      </c>
      <c r="N346" s="203">
        <v>277.1</v>
      </c>
      <c r="O346" s="474">
        <f t="shared" si="50"/>
        <v>4.391457481182633</v>
      </c>
      <c r="P346" s="474">
        <f t="shared" si="51"/>
        <v>872.3623401976498</v>
      </c>
      <c r="Q346" s="158">
        <f t="shared" si="52"/>
        <v>241.73160446876878</v>
      </c>
      <c r="S346" s="87"/>
      <c r="T346" s="87"/>
    </row>
    <row r="347" spans="1:20" s="96" customFormat="1" ht="13.5" thickBot="1">
      <c r="A347" s="929"/>
      <c r="B347" s="99">
        <v>10</v>
      </c>
      <c r="C347" s="587" t="s">
        <v>460</v>
      </c>
      <c r="D347" s="234">
        <v>101</v>
      </c>
      <c r="E347" s="234">
        <v>1968</v>
      </c>
      <c r="F347" s="375">
        <v>91.342997</v>
      </c>
      <c r="G347" s="375">
        <v>9.300768</v>
      </c>
      <c r="H347" s="375">
        <v>15.92</v>
      </c>
      <c r="I347" s="375">
        <v>66.122229</v>
      </c>
      <c r="J347" s="516">
        <v>4482.08</v>
      </c>
      <c r="K347" s="375">
        <v>66.122229</v>
      </c>
      <c r="L347" s="516">
        <v>4482.08</v>
      </c>
      <c r="M347" s="588">
        <v>0.014752576705458181</v>
      </c>
      <c r="N347" s="369">
        <v>277.1</v>
      </c>
      <c r="O347" s="370">
        <f t="shared" si="50"/>
        <v>4.455853515539884</v>
      </c>
      <c r="P347" s="370">
        <f t="shared" si="51"/>
        <v>885.1546023274909</v>
      </c>
      <c r="Q347" s="371">
        <f t="shared" si="52"/>
        <v>245.27634030494775</v>
      </c>
      <c r="S347" s="97"/>
      <c r="T347" s="97"/>
    </row>
    <row r="348" spans="1:20" ht="11.25" customHeight="1">
      <c r="A348" s="942" t="s">
        <v>29</v>
      </c>
      <c r="B348" s="33">
        <v>1</v>
      </c>
      <c r="C348" s="199" t="s">
        <v>454</v>
      </c>
      <c r="D348" s="150">
        <v>22</v>
      </c>
      <c r="E348" s="150">
        <v>2006</v>
      </c>
      <c r="F348" s="584">
        <v>24.14</v>
      </c>
      <c r="G348" s="584">
        <v>0.92</v>
      </c>
      <c r="H348" s="584">
        <v>3.52</v>
      </c>
      <c r="I348" s="584">
        <v>19.7</v>
      </c>
      <c r="J348" s="585">
        <v>1279.24</v>
      </c>
      <c r="K348" s="584">
        <v>16.977388</v>
      </c>
      <c r="L348" s="585">
        <v>1150.54</v>
      </c>
      <c r="M348" s="586">
        <v>0.014756017174544129</v>
      </c>
      <c r="N348" s="542">
        <v>277.1</v>
      </c>
      <c r="O348" s="543">
        <f t="shared" si="50"/>
        <v>4.456892671382135</v>
      </c>
      <c r="P348" s="543">
        <f t="shared" si="51"/>
        <v>885.3610304726477</v>
      </c>
      <c r="Q348" s="544">
        <f aca="true" t="shared" si="53" ref="Q348:Q377">N348*P348/1000</f>
        <v>245.3335415439707</v>
      </c>
      <c r="S348" s="87"/>
      <c r="T348" s="87"/>
    </row>
    <row r="349" spans="1:20" ht="12.75" customHeight="1">
      <c r="A349" s="943"/>
      <c r="B349" s="35">
        <v>2</v>
      </c>
      <c r="C349" s="187" t="s">
        <v>456</v>
      </c>
      <c r="D349" s="151">
        <v>52</v>
      </c>
      <c r="E349" s="151">
        <v>1976</v>
      </c>
      <c r="F349" s="196">
        <v>64.272999</v>
      </c>
      <c r="G349" s="196">
        <v>6.4413</v>
      </c>
      <c r="H349" s="196">
        <v>8.16</v>
      </c>
      <c r="I349" s="196">
        <v>49.671699</v>
      </c>
      <c r="J349" s="377">
        <v>3247.28</v>
      </c>
      <c r="K349" s="196">
        <v>48.543155</v>
      </c>
      <c r="L349" s="377">
        <v>3176.92</v>
      </c>
      <c r="M349" s="482">
        <v>0.015279942522946753</v>
      </c>
      <c r="N349" s="160">
        <v>277.1</v>
      </c>
      <c r="O349" s="161">
        <f t="shared" si="50"/>
        <v>4.615138559688314</v>
      </c>
      <c r="P349" s="161">
        <f t="shared" si="51"/>
        <v>916.7965513768052</v>
      </c>
      <c r="Q349" s="162">
        <f t="shared" si="53"/>
        <v>254.04432438651273</v>
      </c>
      <c r="S349" s="87"/>
      <c r="T349" s="87"/>
    </row>
    <row r="350" spans="1:20" ht="12.75" customHeight="1">
      <c r="A350" s="943"/>
      <c r="B350" s="35">
        <v>3</v>
      </c>
      <c r="C350" s="187" t="s">
        <v>598</v>
      </c>
      <c r="D350" s="151">
        <v>70</v>
      </c>
      <c r="E350" s="151">
        <v>1986</v>
      </c>
      <c r="F350" s="196">
        <v>84.133405</v>
      </c>
      <c r="G350" s="196">
        <v>21.211818</v>
      </c>
      <c r="H350" s="196">
        <v>11.2</v>
      </c>
      <c r="I350" s="196">
        <v>51.721587</v>
      </c>
      <c r="J350" s="377">
        <v>3375.02</v>
      </c>
      <c r="K350" s="196">
        <v>51.721587</v>
      </c>
      <c r="L350" s="377">
        <v>3375.02</v>
      </c>
      <c r="M350" s="482">
        <v>0.015324823852895686</v>
      </c>
      <c r="N350" s="160">
        <v>277.1</v>
      </c>
      <c r="O350" s="161">
        <f t="shared" si="50"/>
        <v>4.628694471704761</v>
      </c>
      <c r="P350" s="161">
        <f t="shared" si="51"/>
        <v>919.4894311737412</v>
      </c>
      <c r="Q350" s="162">
        <f t="shared" si="53"/>
        <v>254.7905213782437</v>
      </c>
      <c r="S350" s="87"/>
      <c r="T350" s="87"/>
    </row>
    <row r="351" spans="1:20" ht="12.75" customHeight="1">
      <c r="A351" s="943"/>
      <c r="B351" s="35">
        <v>4</v>
      </c>
      <c r="C351" s="187" t="s">
        <v>458</v>
      </c>
      <c r="D351" s="151">
        <v>100</v>
      </c>
      <c r="E351" s="151">
        <v>1966</v>
      </c>
      <c r="F351" s="196">
        <v>92.525991</v>
      </c>
      <c r="G351" s="196">
        <v>7.9662</v>
      </c>
      <c r="H351" s="196">
        <v>15.84</v>
      </c>
      <c r="I351" s="196">
        <v>68.719791</v>
      </c>
      <c r="J351" s="377">
        <v>4481.51</v>
      </c>
      <c r="K351" s="196">
        <v>68.719791</v>
      </c>
      <c r="L351" s="377">
        <v>4481.51</v>
      </c>
      <c r="M351" s="482">
        <v>0.01533407065921977</v>
      </c>
      <c r="N351" s="160">
        <v>277.1</v>
      </c>
      <c r="O351" s="161">
        <f t="shared" si="50"/>
        <v>4.631487367840082</v>
      </c>
      <c r="P351" s="161">
        <f t="shared" si="51"/>
        <v>920.0442395531862</v>
      </c>
      <c r="Q351" s="162">
        <f t="shared" si="53"/>
        <v>254.94425878018794</v>
      </c>
      <c r="S351" s="87"/>
      <c r="T351" s="87"/>
    </row>
    <row r="352" spans="1:20" ht="12.75" customHeight="1">
      <c r="A352" s="943"/>
      <c r="B352" s="35">
        <v>5</v>
      </c>
      <c r="C352" s="187" t="s">
        <v>457</v>
      </c>
      <c r="D352" s="151">
        <v>55</v>
      </c>
      <c r="E352" s="151">
        <v>1995</v>
      </c>
      <c r="F352" s="196">
        <v>65.929999</v>
      </c>
      <c r="G352" s="196">
        <v>5.98332</v>
      </c>
      <c r="H352" s="196">
        <v>8.72</v>
      </c>
      <c r="I352" s="196">
        <v>51.226679</v>
      </c>
      <c r="J352" s="377">
        <v>3308.16</v>
      </c>
      <c r="K352" s="196">
        <v>51.226679</v>
      </c>
      <c r="L352" s="377">
        <v>3308.16</v>
      </c>
      <c r="M352" s="482">
        <v>0.015484946012284775</v>
      </c>
      <c r="N352" s="160">
        <v>277.1</v>
      </c>
      <c r="O352" s="161">
        <f t="shared" si="50"/>
        <v>4.677057608604482</v>
      </c>
      <c r="P352" s="161">
        <f t="shared" si="51"/>
        <v>929.0967607370865</v>
      </c>
      <c r="Q352" s="162">
        <f t="shared" si="53"/>
        <v>257.4527124002467</v>
      </c>
      <c r="S352" s="87"/>
      <c r="T352" s="87"/>
    </row>
    <row r="353" spans="1:20" ht="12.75" customHeight="1">
      <c r="A353" s="943"/>
      <c r="B353" s="35">
        <v>6</v>
      </c>
      <c r="C353" s="187" t="s">
        <v>453</v>
      </c>
      <c r="D353" s="151">
        <v>60</v>
      </c>
      <c r="E353" s="151">
        <v>1988</v>
      </c>
      <c r="F353" s="196">
        <v>52.127709</v>
      </c>
      <c r="G353" s="196">
        <v>5.5845</v>
      </c>
      <c r="H353" s="196">
        <v>9.6</v>
      </c>
      <c r="I353" s="196">
        <v>36.943209</v>
      </c>
      <c r="J353" s="377">
        <v>2363.76</v>
      </c>
      <c r="K353" s="196">
        <v>36.943209</v>
      </c>
      <c r="L353" s="377">
        <v>2363.76</v>
      </c>
      <c r="M353" s="482">
        <v>0.015629001675296985</v>
      </c>
      <c r="N353" s="160">
        <v>277.1</v>
      </c>
      <c r="O353" s="161">
        <f t="shared" si="50"/>
        <v>4.720568037005027</v>
      </c>
      <c r="P353" s="161">
        <f t="shared" si="51"/>
        <v>937.7401005178191</v>
      </c>
      <c r="Q353" s="162">
        <f t="shared" si="53"/>
        <v>259.8477818534877</v>
      </c>
      <c r="S353" s="87"/>
      <c r="T353" s="87"/>
    </row>
    <row r="354" spans="1:20" ht="12.75" customHeight="1">
      <c r="A354" s="943"/>
      <c r="B354" s="35">
        <v>7</v>
      </c>
      <c r="C354" s="187" t="s">
        <v>599</v>
      </c>
      <c r="D354" s="151">
        <v>100</v>
      </c>
      <c r="E354" s="151">
        <v>1973</v>
      </c>
      <c r="F354" s="196">
        <v>97.312002</v>
      </c>
      <c r="G354" s="196">
        <v>11.420175</v>
      </c>
      <c r="H354" s="196">
        <v>15.971</v>
      </c>
      <c r="I354" s="196">
        <v>69.920827</v>
      </c>
      <c r="J354" s="377">
        <v>4362.31</v>
      </c>
      <c r="K354" s="196">
        <v>69.920827</v>
      </c>
      <c r="L354" s="377">
        <v>4362.31</v>
      </c>
      <c r="M354" s="482">
        <v>0.016028394818341656</v>
      </c>
      <c r="N354" s="160">
        <v>277.1</v>
      </c>
      <c r="O354" s="161">
        <f t="shared" si="50"/>
        <v>4.841200342537096</v>
      </c>
      <c r="P354" s="161">
        <f t="shared" si="51"/>
        <v>961.7036891004994</v>
      </c>
      <c r="Q354" s="162">
        <f t="shared" si="53"/>
        <v>266.48809224974843</v>
      </c>
      <c r="S354" s="87"/>
      <c r="T354" s="87"/>
    </row>
    <row r="355" spans="1:20" ht="12.75" customHeight="1">
      <c r="A355" s="943"/>
      <c r="B355" s="35">
        <v>8</v>
      </c>
      <c r="C355" s="187" t="s">
        <v>600</v>
      </c>
      <c r="D355" s="151">
        <v>56</v>
      </c>
      <c r="E355" s="151">
        <v>1991</v>
      </c>
      <c r="F355" s="196">
        <v>76.870975</v>
      </c>
      <c r="G355" s="196">
        <v>7.37358</v>
      </c>
      <c r="H355" s="196">
        <v>13.36</v>
      </c>
      <c r="I355" s="196">
        <v>56.137424</v>
      </c>
      <c r="J355" s="377">
        <v>3478.2</v>
      </c>
      <c r="K355" s="196">
        <v>54.16299</v>
      </c>
      <c r="L355" s="377">
        <v>3303.97</v>
      </c>
      <c r="M355" s="482">
        <v>0.016393305629288403</v>
      </c>
      <c r="N355" s="160">
        <v>277.1</v>
      </c>
      <c r="O355" s="161">
        <f t="shared" si="50"/>
        <v>4.9514176389646405</v>
      </c>
      <c r="P355" s="161">
        <f t="shared" si="51"/>
        <v>983.5983377573042</v>
      </c>
      <c r="Q355" s="162">
        <f t="shared" si="53"/>
        <v>272.55509939254904</v>
      </c>
      <c r="S355" s="87"/>
      <c r="T355" s="87"/>
    </row>
    <row r="356" spans="1:20" ht="13.5" customHeight="1">
      <c r="A356" s="943"/>
      <c r="B356" s="35">
        <v>9</v>
      </c>
      <c r="C356" s="187" t="s">
        <v>601</v>
      </c>
      <c r="D356" s="151">
        <v>51</v>
      </c>
      <c r="E356" s="151">
        <v>1970</v>
      </c>
      <c r="F356" s="196">
        <v>56.188999</v>
      </c>
      <c r="G356" s="196">
        <v>4.837452</v>
      </c>
      <c r="H356" s="196">
        <v>7.84</v>
      </c>
      <c r="I356" s="196">
        <v>43.511547</v>
      </c>
      <c r="J356" s="377">
        <v>2632.69</v>
      </c>
      <c r="K356" s="196">
        <v>42.318599</v>
      </c>
      <c r="L356" s="377">
        <v>2560.51</v>
      </c>
      <c r="M356" s="482">
        <v>0.016527410164381313</v>
      </c>
      <c r="N356" s="160">
        <v>277.1</v>
      </c>
      <c r="O356" s="161">
        <f t="shared" si="50"/>
        <v>4.991922438639568</v>
      </c>
      <c r="P356" s="161">
        <f t="shared" si="51"/>
        <v>991.6446098628788</v>
      </c>
      <c r="Q356" s="162">
        <f t="shared" si="53"/>
        <v>274.7847213930038</v>
      </c>
      <c r="S356" s="87"/>
      <c r="T356" s="87"/>
    </row>
    <row r="357" spans="1:20" ht="13.5" customHeight="1" thickBot="1">
      <c r="A357" s="944"/>
      <c r="B357" s="90">
        <v>10</v>
      </c>
      <c r="C357" s="195" t="s">
        <v>602</v>
      </c>
      <c r="D357" s="152">
        <v>80</v>
      </c>
      <c r="E357" s="152">
        <v>1964</v>
      </c>
      <c r="F357" s="197">
        <v>82.693004</v>
      </c>
      <c r="G357" s="197">
        <v>6.6555</v>
      </c>
      <c r="H357" s="197">
        <v>12.72</v>
      </c>
      <c r="I357" s="197">
        <v>63.317504</v>
      </c>
      <c r="J357" s="378">
        <v>3830.86</v>
      </c>
      <c r="K357" s="197">
        <v>63.317504</v>
      </c>
      <c r="L357" s="378">
        <v>3830.86</v>
      </c>
      <c r="M357" s="591">
        <v>0.016528274069008003</v>
      </c>
      <c r="N357" s="198">
        <v>277.1</v>
      </c>
      <c r="O357" s="192">
        <f t="shared" si="50"/>
        <v>4.9921833715291095</v>
      </c>
      <c r="P357" s="192">
        <f t="shared" si="51"/>
        <v>991.6964441404801</v>
      </c>
      <c r="Q357" s="193">
        <f t="shared" si="53"/>
        <v>274.7990846713271</v>
      </c>
      <c r="S357" s="87"/>
      <c r="T357" s="87"/>
    </row>
    <row r="358" spans="1:20" ht="12.75">
      <c r="A358" s="921" t="s">
        <v>30</v>
      </c>
      <c r="B358" s="231">
        <v>1</v>
      </c>
      <c r="C358" s="589" t="s">
        <v>603</v>
      </c>
      <c r="D358" s="346">
        <v>12</v>
      </c>
      <c r="E358" s="346">
        <v>1971</v>
      </c>
      <c r="F358" s="511">
        <v>16.296999</v>
      </c>
      <c r="G358" s="511">
        <v>0</v>
      </c>
      <c r="H358" s="511">
        <v>0</v>
      </c>
      <c r="I358" s="511">
        <v>16.296999</v>
      </c>
      <c r="J358" s="518">
        <v>538.8</v>
      </c>
      <c r="K358" s="511">
        <v>16.296999</v>
      </c>
      <c r="L358" s="518">
        <v>538.8</v>
      </c>
      <c r="M358" s="590">
        <v>0.030246</v>
      </c>
      <c r="N358" s="494">
        <v>277.1</v>
      </c>
      <c r="O358" s="495">
        <f t="shared" si="50"/>
        <v>9.135471594</v>
      </c>
      <c r="P358" s="495">
        <f t="shared" si="51"/>
        <v>1814.76</v>
      </c>
      <c r="Q358" s="496">
        <f t="shared" si="53"/>
        <v>502.869996</v>
      </c>
      <c r="S358" s="87"/>
      <c r="T358" s="87"/>
    </row>
    <row r="359" spans="1:20" ht="12.75">
      <c r="A359" s="922"/>
      <c r="B359" s="232">
        <v>2</v>
      </c>
      <c r="C359" s="244" t="s">
        <v>604</v>
      </c>
      <c r="D359" s="233">
        <v>8</v>
      </c>
      <c r="E359" s="233">
        <v>1962</v>
      </c>
      <c r="F359" s="476">
        <v>12.782</v>
      </c>
      <c r="G359" s="476">
        <v>0.612</v>
      </c>
      <c r="H359" s="476">
        <v>0.97</v>
      </c>
      <c r="I359" s="476">
        <v>11.2</v>
      </c>
      <c r="J359" s="478">
        <v>366.73</v>
      </c>
      <c r="K359" s="476">
        <v>11.2</v>
      </c>
      <c r="L359" s="478">
        <v>366.73</v>
      </c>
      <c r="M359" s="483">
        <v>0.03054</v>
      </c>
      <c r="N359" s="372">
        <v>277.1</v>
      </c>
      <c r="O359" s="373">
        <f t="shared" si="50"/>
        <v>9.224271060000001</v>
      </c>
      <c r="P359" s="373">
        <f t="shared" si="51"/>
        <v>1832.4</v>
      </c>
      <c r="Q359" s="497">
        <f t="shared" si="53"/>
        <v>507.7580400000001</v>
      </c>
      <c r="S359" s="87"/>
      <c r="T359" s="87"/>
    </row>
    <row r="360" spans="1:20" ht="12.75">
      <c r="A360" s="922"/>
      <c r="B360" s="232">
        <v>3</v>
      </c>
      <c r="C360" s="244" t="s">
        <v>605</v>
      </c>
      <c r="D360" s="233">
        <v>10</v>
      </c>
      <c r="E360" s="233">
        <v>1938</v>
      </c>
      <c r="F360" s="476">
        <v>13.827</v>
      </c>
      <c r="G360" s="476">
        <v>0.102</v>
      </c>
      <c r="H360" s="476">
        <v>1.44</v>
      </c>
      <c r="I360" s="476">
        <v>12.285</v>
      </c>
      <c r="J360" s="478">
        <v>435.85</v>
      </c>
      <c r="K360" s="476">
        <v>10.591406</v>
      </c>
      <c r="L360" s="478">
        <v>343.67</v>
      </c>
      <c r="M360" s="483">
        <v>0.030818</v>
      </c>
      <c r="N360" s="372">
        <v>277.1</v>
      </c>
      <c r="O360" s="373">
        <f t="shared" si="50"/>
        <v>9.308237902000002</v>
      </c>
      <c r="P360" s="373">
        <f t="shared" si="51"/>
        <v>1849.0800000000002</v>
      </c>
      <c r="Q360" s="497">
        <f t="shared" si="53"/>
        <v>512.380068</v>
      </c>
      <c r="S360" s="87"/>
      <c r="T360" s="87"/>
    </row>
    <row r="361" spans="1:20" ht="12.75">
      <c r="A361" s="922"/>
      <c r="B361" s="232">
        <v>4</v>
      </c>
      <c r="C361" s="244" t="s">
        <v>325</v>
      </c>
      <c r="D361" s="233">
        <v>7</v>
      </c>
      <c r="E361" s="233">
        <v>1900</v>
      </c>
      <c r="F361" s="476">
        <v>9.849</v>
      </c>
      <c r="G361" s="476">
        <v>0.553452</v>
      </c>
      <c r="H361" s="476">
        <v>0.96</v>
      </c>
      <c r="I361" s="476">
        <v>8.335548</v>
      </c>
      <c r="J361" s="478">
        <v>263.54</v>
      </c>
      <c r="K361" s="476">
        <v>4.949647</v>
      </c>
      <c r="L361" s="478">
        <v>156.49</v>
      </c>
      <c r="M361" s="483">
        <v>0.031629</v>
      </c>
      <c r="N361" s="372">
        <v>277.1</v>
      </c>
      <c r="O361" s="373">
        <f t="shared" si="50"/>
        <v>9.553191531000001</v>
      </c>
      <c r="P361" s="373">
        <f t="shared" si="51"/>
        <v>1897.7399999999998</v>
      </c>
      <c r="Q361" s="497">
        <f t="shared" si="53"/>
        <v>525.863754</v>
      </c>
      <c r="S361" s="87"/>
      <c r="T361" s="87"/>
    </row>
    <row r="362" spans="1:20" ht="12.75">
      <c r="A362" s="922"/>
      <c r="B362" s="232">
        <v>5</v>
      </c>
      <c r="C362" s="244" t="s">
        <v>606</v>
      </c>
      <c r="D362" s="233">
        <v>5</v>
      </c>
      <c r="E362" s="233">
        <v>1880</v>
      </c>
      <c r="F362" s="476">
        <v>7.657</v>
      </c>
      <c r="G362" s="476">
        <v>0.306</v>
      </c>
      <c r="H362" s="476">
        <v>0.72</v>
      </c>
      <c r="I362" s="476">
        <v>6.631</v>
      </c>
      <c r="J362" s="478">
        <v>377.71</v>
      </c>
      <c r="K362" s="476">
        <v>5.951977</v>
      </c>
      <c r="L362" s="478">
        <v>184.32</v>
      </c>
      <c r="M362" s="483">
        <v>0.032291</v>
      </c>
      <c r="N362" s="372">
        <v>277.1</v>
      </c>
      <c r="O362" s="373">
        <f t="shared" si="50"/>
        <v>9.753141349</v>
      </c>
      <c r="P362" s="373">
        <f t="shared" si="51"/>
        <v>1937.46</v>
      </c>
      <c r="Q362" s="497">
        <f t="shared" si="53"/>
        <v>536.870166</v>
      </c>
      <c r="S362" s="87"/>
      <c r="T362" s="87"/>
    </row>
    <row r="363" spans="1:20" ht="12.75">
      <c r="A363" s="922"/>
      <c r="B363" s="232">
        <v>6</v>
      </c>
      <c r="C363" s="244" t="s">
        <v>324</v>
      </c>
      <c r="D363" s="233">
        <v>24</v>
      </c>
      <c r="E363" s="233">
        <v>1961</v>
      </c>
      <c r="F363" s="476">
        <v>33.849999</v>
      </c>
      <c r="G363" s="476">
        <v>1.420452</v>
      </c>
      <c r="H363" s="476">
        <v>3.6</v>
      </c>
      <c r="I363" s="476">
        <v>28.829547</v>
      </c>
      <c r="J363" s="478">
        <v>887.52</v>
      </c>
      <c r="K363" s="476">
        <v>23.318112</v>
      </c>
      <c r="L363" s="478">
        <v>717.85</v>
      </c>
      <c r="M363" s="483">
        <v>0.032483</v>
      </c>
      <c r="N363" s="372">
        <v>277.1</v>
      </c>
      <c r="O363" s="373">
        <f t="shared" si="50"/>
        <v>9.811132837</v>
      </c>
      <c r="P363" s="373">
        <f t="shared" si="51"/>
        <v>1948.98</v>
      </c>
      <c r="Q363" s="497">
        <f t="shared" si="53"/>
        <v>540.062358</v>
      </c>
      <c r="S363" s="87"/>
      <c r="T363" s="87"/>
    </row>
    <row r="364" spans="1:20" ht="12.75">
      <c r="A364" s="922"/>
      <c r="B364" s="232">
        <v>7</v>
      </c>
      <c r="C364" s="244" t="s">
        <v>190</v>
      </c>
      <c r="D364" s="233">
        <v>22</v>
      </c>
      <c r="E364" s="233">
        <v>1960</v>
      </c>
      <c r="F364" s="476">
        <v>33.867999</v>
      </c>
      <c r="G364" s="476">
        <v>0.867</v>
      </c>
      <c r="H364" s="476">
        <v>3.04</v>
      </c>
      <c r="I364" s="476">
        <v>29.960999</v>
      </c>
      <c r="J364" s="478">
        <v>943.17</v>
      </c>
      <c r="K364" s="476">
        <v>20.631159</v>
      </c>
      <c r="L364" s="478">
        <v>630.75</v>
      </c>
      <c r="M364" s="483">
        <v>0.032708</v>
      </c>
      <c r="N364" s="372">
        <v>277.1</v>
      </c>
      <c r="O364" s="373">
        <f t="shared" si="50"/>
        <v>9.879091612000003</v>
      </c>
      <c r="P364" s="373">
        <f t="shared" si="51"/>
        <v>1962.48</v>
      </c>
      <c r="Q364" s="497">
        <f t="shared" si="53"/>
        <v>543.8032080000002</v>
      </c>
      <c r="S364" s="87"/>
      <c r="T364" s="87"/>
    </row>
    <row r="365" spans="1:20" ht="12.75">
      <c r="A365" s="922"/>
      <c r="B365" s="232">
        <v>8</v>
      </c>
      <c r="C365" s="244" t="s">
        <v>607</v>
      </c>
      <c r="D365" s="233">
        <v>12</v>
      </c>
      <c r="E365" s="233">
        <v>1972</v>
      </c>
      <c r="F365" s="476">
        <v>17.556</v>
      </c>
      <c r="G365" s="476">
        <v>0</v>
      </c>
      <c r="H365" s="476">
        <v>0</v>
      </c>
      <c r="I365" s="476">
        <v>17.556</v>
      </c>
      <c r="J365" s="478">
        <v>532.47</v>
      </c>
      <c r="K365" s="476">
        <v>17.556</v>
      </c>
      <c r="L365" s="478">
        <v>532.47</v>
      </c>
      <c r="M365" s="483">
        <v>0.03297</v>
      </c>
      <c r="N365" s="372">
        <v>277.1</v>
      </c>
      <c r="O365" s="373">
        <f t="shared" si="50"/>
        <v>9.95822583</v>
      </c>
      <c r="P365" s="373">
        <f t="shared" si="51"/>
        <v>1978.2</v>
      </c>
      <c r="Q365" s="497">
        <f t="shared" si="53"/>
        <v>548.1592200000001</v>
      </c>
      <c r="S365" s="87"/>
      <c r="T365" s="87"/>
    </row>
    <row r="366" spans="1:20" ht="12.75">
      <c r="A366" s="923"/>
      <c r="B366" s="245">
        <v>9</v>
      </c>
      <c r="C366" s="244" t="s">
        <v>189</v>
      </c>
      <c r="D366" s="233">
        <v>4</v>
      </c>
      <c r="E366" s="233">
        <v>1850</v>
      </c>
      <c r="F366" s="476">
        <v>7.141001</v>
      </c>
      <c r="G366" s="476">
        <v>0.204</v>
      </c>
      <c r="H366" s="476">
        <v>0.64</v>
      </c>
      <c r="I366" s="476">
        <v>6.297001</v>
      </c>
      <c r="J366" s="478">
        <v>190.97</v>
      </c>
      <c r="K366" s="476">
        <v>5.108626</v>
      </c>
      <c r="L366" s="478">
        <v>154.93</v>
      </c>
      <c r="M366" s="483">
        <v>0.032973</v>
      </c>
      <c r="N366" s="372">
        <v>277.1</v>
      </c>
      <c r="O366" s="373">
        <f t="shared" si="50"/>
        <v>9.959131947000003</v>
      </c>
      <c r="P366" s="373">
        <f t="shared" si="51"/>
        <v>1978.38</v>
      </c>
      <c r="Q366" s="497">
        <f t="shared" si="53"/>
        <v>548.2090980000002</v>
      </c>
      <c r="S366" s="87"/>
      <c r="T366" s="87"/>
    </row>
    <row r="367" spans="1:20" ht="13.5" thickBot="1">
      <c r="A367" s="924"/>
      <c r="B367" s="246">
        <v>10</v>
      </c>
      <c r="C367" s="247" t="s">
        <v>187</v>
      </c>
      <c r="D367" s="237">
        <v>8</v>
      </c>
      <c r="E367" s="237">
        <v>1970</v>
      </c>
      <c r="F367" s="550">
        <v>11.96</v>
      </c>
      <c r="G367" s="550">
        <v>0.255</v>
      </c>
      <c r="H367" s="550">
        <v>0.96</v>
      </c>
      <c r="I367" s="550">
        <v>10.745</v>
      </c>
      <c r="J367" s="552">
        <v>321.83</v>
      </c>
      <c r="K367" s="550">
        <v>7.53816</v>
      </c>
      <c r="L367" s="552">
        <v>225.78</v>
      </c>
      <c r="M367" s="600">
        <v>0.033387</v>
      </c>
      <c r="N367" s="548">
        <v>277.1</v>
      </c>
      <c r="O367" s="546">
        <f t="shared" si="50"/>
        <v>10.084176093</v>
      </c>
      <c r="P367" s="546">
        <f t="shared" si="51"/>
        <v>2003.2199999999998</v>
      </c>
      <c r="Q367" s="547">
        <f t="shared" si="53"/>
        <v>555.092262</v>
      </c>
      <c r="S367" s="87"/>
      <c r="T367" s="87"/>
    </row>
    <row r="368" spans="1:20" ht="12.75">
      <c r="A368" s="948" t="s">
        <v>12</v>
      </c>
      <c r="B368" s="80">
        <v>1</v>
      </c>
      <c r="C368" s="592" t="s">
        <v>188</v>
      </c>
      <c r="D368" s="593">
        <v>9</v>
      </c>
      <c r="E368" s="593">
        <v>1965</v>
      </c>
      <c r="F368" s="594">
        <v>14.204</v>
      </c>
      <c r="G368" s="594">
        <v>0.714</v>
      </c>
      <c r="H368" s="594">
        <v>0.07</v>
      </c>
      <c r="I368" s="594">
        <v>13.42</v>
      </c>
      <c r="J368" s="595">
        <v>399.34</v>
      </c>
      <c r="K368" s="594">
        <v>13.42</v>
      </c>
      <c r="L368" s="595">
        <v>399.34</v>
      </c>
      <c r="M368" s="596">
        <v>0.033605</v>
      </c>
      <c r="N368" s="597">
        <v>277.1</v>
      </c>
      <c r="O368" s="598">
        <f t="shared" si="50"/>
        <v>10.150020595000003</v>
      </c>
      <c r="P368" s="598">
        <f t="shared" si="51"/>
        <v>2016.3000000000002</v>
      </c>
      <c r="Q368" s="599">
        <f t="shared" si="53"/>
        <v>558.7167300000001</v>
      </c>
      <c r="S368" s="87"/>
      <c r="T368" s="87"/>
    </row>
    <row r="369" spans="1:20" ht="12.75">
      <c r="A369" s="919"/>
      <c r="B369" s="41">
        <v>2</v>
      </c>
      <c r="C369" s="188" t="s">
        <v>192</v>
      </c>
      <c r="D369" s="189">
        <v>6</v>
      </c>
      <c r="E369" s="189">
        <v>1959</v>
      </c>
      <c r="F369" s="312">
        <v>12.272001</v>
      </c>
      <c r="G369" s="312">
        <v>0.509031</v>
      </c>
      <c r="H369" s="312">
        <v>0.96</v>
      </c>
      <c r="I369" s="312">
        <v>10.80297</v>
      </c>
      <c r="J369" s="479">
        <v>317.83</v>
      </c>
      <c r="K369" s="312">
        <v>10.80297</v>
      </c>
      <c r="L369" s="479">
        <v>317.83</v>
      </c>
      <c r="M369" s="484">
        <v>0.033989</v>
      </c>
      <c r="N369" s="201">
        <v>277.1</v>
      </c>
      <c r="O369" s="208">
        <f t="shared" si="50"/>
        <v>10.266003571000002</v>
      </c>
      <c r="P369" s="208">
        <f t="shared" si="51"/>
        <v>2039.3399999999997</v>
      </c>
      <c r="Q369" s="207">
        <f t="shared" si="53"/>
        <v>565.1011139999999</v>
      </c>
      <c r="S369" s="87"/>
      <c r="T369" s="87"/>
    </row>
    <row r="370" spans="1:20" ht="12.75">
      <c r="A370" s="919"/>
      <c r="B370" s="41">
        <v>3</v>
      </c>
      <c r="C370" s="188" t="s">
        <v>608</v>
      </c>
      <c r="D370" s="189">
        <v>7</v>
      </c>
      <c r="E370" s="189">
        <v>1963</v>
      </c>
      <c r="F370" s="312">
        <v>12.309701</v>
      </c>
      <c r="G370" s="312">
        <v>0.867</v>
      </c>
      <c r="H370" s="312">
        <v>0.06</v>
      </c>
      <c r="I370" s="312">
        <v>11.382701</v>
      </c>
      <c r="J370" s="479">
        <v>334.67</v>
      </c>
      <c r="K370" s="312">
        <v>4.738173</v>
      </c>
      <c r="L370" s="479">
        <v>139.31</v>
      </c>
      <c r="M370" s="484">
        <v>0.034011</v>
      </c>
      <c r="N370" s="201">
        <v>277.1</v>
      </c>
      <c r="O370" s="208">
        <f t="shared" si="50"/>
        <v>10.272648429000002</v>
      </c>
      <c r="P370" s="208">
        <f t="shared" si="51"/>
        <v>2040.6599999999999</v>
      </c>
      <c r="Q370" s="207">
        <f t="shared" si="53"/>
        <v>565.466886</v>
      </c>
      <c r="S370" s="87"/>
      <c r="T370" s="87"/>
    </row>
    <row r="371" spans="1:20" ht="12.75">
      <c r="A371" s="919"/>
      <c r="B371" s="41">
        <v>4</v>
      </c>
      <c r="C371" s="188" t="s">
        <v>461</v>
      </c>
      <c r="D371" s="189">
        <v>13</v>
      </c>
      <c r="E371" s="189">
        <v>1961</v>
      </c>
      <c r="F371" s="312">
        <v>20.575998</v>
      </c>
      <c r="G371" s="312">
        <v>1.173</v>
      </c>
      <c r="H371" s="312">
        <v>1.92</v>
      </c>
      <c r="I371" s="312">
        <v>17.482998</v>
      </c>
      <c r="J371" s="479">
        <v>513.65</v>
      </c>
      <c r="K371" s="312">
        <v>17.482998</v>
      </c>
      <c r="L371" s="479">
        <v>513.65</v>
      </c>
      <c r="M371" s="484">
        <v>0.034036</v>
      </c>
      <c r="N371" s="201">
        <v>277.1</v>
      </c>
      <c r="O371" s="208">
        <f t="shared" si="50"/>
        <v>10.280199404</v>
      </c>
      <c r="P371" s="208">
        <f t="shared" si="51"/>
        <v>2042.16</v>
      </c>
      <c r="Q371" s="207">
        <f t="shared" si="53"/>
        <v>565.8825360000001</v>
      </c>
      <c r="S371" s="87"/>
      <c r="T371" s="87"/>
    </row>
    <row r="372" spans="1:20" ht="12.75">
      <c r="A372" s="919"/>
      <c r="B372" s="41">
        <v>5</v>
      </c>
      <c r="C372" s="188" t="s">
        <v>323</v>
      </c>
      <c r="D372" s="189">
        <v>12</v>
      </c>
      <c r="E372" s="189">
        <v>1973</v>
      </c>
      <c r="F372" s="312">
        <v>17.640999</v>
      </c>
      <c r="G372" s="312">
        <v>0</v>
      </c>
      <c r="H372" s="312">
        <v>0</v>
      </c>
      <c r="I372" s="312">
        <v>17.640999</v>
      </c>
      <c r="J372" s="479">
        <v>510.06</v>
      </c>
      <c r="K372" s="312">
        <v>17.640999</v>
      </c>
      <c r="L372" s="479">
        <v>510.06</v>
      </c>
      <c r="M372" s="484">
        <v>0.034586</v>
      </c>
      <c r="N372" s="201">
        <v>277.1</v>
      </c>
      <c r="O372" s="208">
        <f t="shared" si="50"/>
        <v>10.446320854000001</v>
      </c>
      <c r="P372" s="208">
        <f t="shared" si="51"/>
        <v>2075.16</v>
      </c>
      <c r="Q372" s="207">
        <f t="shared" si="53"/>
        <v>575.026836</v>
      </c>
      <c r="S372" s="87"/>
      <c r="T372" s="87"/>
    </row>
    <row r="373" spans="1:20" ht="12.75">
      <c r="A373" s="919"/>
      <c r="B373" s="41">
        <v>6</v>
      </c>
      <c r="C373" s="188" t="s">
        <v>462</v>
      </c>
      <c r="D373" s="189">
        <v>83</v>
      </c>
      <c r="E373" s="189">
        <v>1963</v>
      </c>
      <c r="F373" s="312">
        <v>52.890999</v>
      </c>
      <c r="G373" s="312">
        <v>0</v>
      </c>
      <c r="H373" s="312">
        <v>0</v>
      </c>
      <c r="I373" s="312">
        <v>52.890999</v>
      </c>
      <c r="J373" s="479">
        <v>1484.32</v>
      </c>
      <c r="K373" s="312">
        <v>50.30225</v>
      </c>
      <c r="L373" s="479">
        <v>1411.67</v>
      </c>
      <c r="M373" s="484">
        <v>0.035633</v>
      </c>
      <c r="N373" s="201">
        <v>277.1</v>
      </c>
      <c r="O373" s="208">
        <f t="shared" si="50"/>
        <v>10.762555687</v>
      </c>
      <c r="P373" s="208">
        <f t="shared" si="51"/>
        <v>2137.9799999999996</v>
      </c>
      <c r="Q373" s="207">
        <f t="shared" si="53"/>
        <v>592.4342579999999</v>
      </c>
      <c r="S373" s="87"/>
      <c r="T373" s="87"/>
    </row>
    <row r="374" spans="1:20" ht="12.75">
      <c r="A374" s="919"/>
      <c r="B374" s="41">
        <v>7</v>
      </c>
      <c r="C374" s="188" t="s">
        <v>609</v>
      </c>
      <c r="D374" s="189">
        <v>8</v>
      </c>
      <c r="E374" s="189">
        <v>1968</v>
      </c>
      <c r="F374" s="312">
        <v>14.641</v>
      </c>
      <c r="G374" s="312">
        <v>0.306</v>
      </c>
      <c r="H374" s="312">
        <v>0.07</v>
      </c>
      <c r="I374" s="312">
        <v>14.265</v>
      </c>
      <c r="J374" s="479">
        <v>394.35</v>
      </c>
      <c r="K374" s="312">
        <v>14.265</v>
      </c>
      <c r="L374" s="479">
        <v>394.35</v>
      </c>
      <c r="M374" s="484">
        <v>0.036173</v>
      </c>
      <c r="N374" s="201">
        <v>277.1</v>
      </c>
      <c r="O374" s="208">
        <f t="shared" si="50"/>
        <v>10.925656747000001</v>
      </c>
      <c r="P374" s="208">
        <f t="shared" si="51"/>
        <v>2170.3799999999997</v>
      </c>
      <c r="Q374" s="207">
        <f t="shared" si="53"/>
        <v>601.412298</v>
      </c>
      <c r="S374" s="87"/>
      <c r="T374" s="87"/>
    </row>
    <row r="375" spans="1:20" ht="12.75">
      <c r="A375" s="919"/>
      <c r="B375" s="41">
        <v>8</v>
      </c>
      <c r="C375" s="188" t="s">
        <v>463</v>
      </c>
      <c r="D375" s="189">
        <v>5</v>
      </c>
      <c r="E375" s="189">
        <v>1938</v>
      </c>
      <c r="F375" s="312">
        <v>6.5206</v>
      </c>
      <c r="G375" s="312">
        <v>0.459</v>
      </c>
      <c r="H375" s="312">
        <v>0.04</v>
      </c>
      <c r="I375" s="312">
        <v>6.0216</v>
      </c>
      <c r="J375" s="479">
        <v>152.85</v>
      </c>
      <c r="K375" s="312">
        <v>6.0216</v>
      </c>
      <c r="L375" s="479">
        <v>152.85</v>
      </c>
      <c r="M375" s="484">
        <v>0.039395</v>
      </c>
      <c r="N375" s="201">
        <v>277.1</v>
      </c>
      <c r="O375" s="208">
        <f t="shared" si="50"/>
        <v>11.898826405000001</v>
      </c>
      <c r="P375" s="208">
        <f t="shared" si="51"/>
        <v>2363.7000000000003</v>
      </c>
      <c r="Q375" s="207">
        <f t="shared" si="53"/>
        <v>654.9812700000001</v>
      </c>
      <c r="S375" s="87"/>
      <c r="T375" s="87"/>
    </row>
    <row r="376" spans="1:20" ht="12.75">
      <c r="A376" s="919"/>
      <c r="B376" s="41">
        <v>9</v>
      </c>
      <c r="C376" s="248" t="s">
        <v>191</v>
      </c>
      <c r="D376" s="189">
        <v>4</v>
      </c>
      <c r="E376" s="189">
        <v>1870</v>
      </c>
      <c r="F376" s="312">
        <v>7.551999</v>
      </c>
      <c r="G376" s="312">
        <v>0.3825</v>
      </c>
      <c r="H376" s="312">
        <v>0.64</v>
      </c>
      <c r="I376" s="312">
        <v>6.529499</v>
      </c>
      <c r="J376" s="479">
        <v>160.97</v>
      </c>
      <c r="K376" s="312">
        <v>6.529499</v>
      </c>
      <c r="L376" s="479">
        <v>160.97</v>
      </c>
      <c r="M376" s="484">
        <v>0.040563</v>
      </c>
      <c r="N376" s="201">
        <v>277.1</v>
      </c>
      <c r="O376" s="208">
        <f t="shared" si="50"/>
        <v>12.251607957000003</v>
      </c>
      <c r="P376" s="208">
        <f t="shared" si="51"/>
        <v>2433.78</v>
      </c>
      <c r="Q376" s="207">
        <f t="shared" si="53"/>
        <v>674.4004380000001</v>
      </c>
      <c r="S376" s="87"/>
      <c r="T376" s="87"/>
    </row>
    <row r="377" spans="1:20" ht="13.5" thickBot="1">
      <c r="A377" s="920"/>
      <c r="B377" s="46">
        <v>10</v>
      </c>
      <c r="C377" s="582" t="s">
        <v>464</v>
      </c>
      <c r="D377" s="242">
        <v>5</v>
      </c>
      <c r="E377" s="242">
        <v>1938</v>
      </c>
      <c r="F377" s="514">
        <v>6.911999</v>
      </c>
      <c r="G377" s="514">
        <v>0</v>
      </c>
      <c r="H377" s="514">
        <v>0</v>
      </c>
      <c r="I377" s="514">
        <v>6.911999</v>
      </c>
      <c r="J377" s="521">
        <v>168.56</v>
      </c>
      <c r="K377" s="506">
        <v>6.911999</v>
      </c>
      <c r="L377" s="521">
        <v>168.56</v>
      </c>
      <c r="M377" s="583">
        <v>0.041006</v>
      </c>
      <c r="N377" s="506">
        <v>277.1</v>
      </c>
      <c r="O377" s="507">
        <f t="shared" si="50"/>
        <v>12.385411234000003</v>
      </c>
      <c r="P377" s="507">
        <f t="shared" si="51"/>
        <v>2460.36</v>
      </c>
      <c r="Q377" s="508">
        <f t="shared" si="53"/>
        <v>681.765756</v>
      </c>
      <c r="S377" s="87"/>
      <c r="T377" s="87"/>
    </row>
    <row r="378" spans="19:20" ht="12.75">
      <c r="S378" s="87"/>
      <c r="T378" s="87"/>
    </row>
    <row r="379" spans="19:20" ht="12.75">
      <c r="S379" s="87"/>
      <c r="T379" s="87"/>
    </row>
    <row r="380" spans="19:20" ht="12.75">
      <c r="S380" s="87"/>
      <c r="T380" s="87"/>
    </row>
    <row r="381" spans="19:20" ht="12.75">
      <c r="S381" s="87"/>
      <c r="T381" s="87"/>
    </row>
    <row r="382" spans="1:20" ht="15">
      <c r="A382" s="906" t="s">
        <v>63</v>
      </c>
      <c r="B382" s="906"/>
      <c r="C382" s="906"/>
      <c r="D382" s="906"/>
      <c r="E382" s="906"/>
      <c r="F382" s="906"/>
      <c r="G382" s="906"/>
      <c r="H382" s="906"/>
      <c r="I382" s="906"/>
      <c r="J382" s="906"/>
      <c r="K382" s="906"/>
      <c r="L382" s="906"/>
      <c r="M382" s="906"/>
      <c r="N382" s="906"/>
      <c r="O382" s="906"/>
      <c r="P382" s="906"/>
      <c r="Q382" s="906"/>
      <c r="S382" s="87"/>
      <c r="T382" s="87"/>
    </row>
    <row r="383" spans="1:20" ht="13.5" thickBot="1">
      <c r="A383" s="935" t="s">
        <v>610</v>
      </c>
      <c r="B383" s="935"/>
      <c r="C383" s="935"/>
      <c r="D383" s="935"/>
      <c r="E383" s="935"/>
      <c r="F383" s="935"/>
      <c r="G383" s="935"/>
      <c r="H383" s="935"/>
      <c r="I383" s="935"/>
      <c r="J383" s="935"/>
      <c r="K383" s="935"/>
      <c r="L383" s="935"/>
      <c r="M383" s="935"/>
      <c r="N383" s="935"/>
      <c r="O383" s="935"/>
      <c r="P383" s="935"/>
      <c r="Q383" s="935"/>
      <c r="S383" s="87"/>
      <c r="T383" s="87"/>
    </row>
    <row r="384" spans="1:20" ht="12.75" customHeight="1">
      <c r="A384" s="890" t="s">
        <v>1</v>
      </c>
      <c r="B384" s="892" t="s">
        <v>0</v>
      </c>
      <c r="C384" s="888" t="s">
        <v>2</v>
      </c>
      <c r="D384" s="888" t="s">
        <v>3</v>
      </c>
      <c r="E384" s="888" t="s">
        <v>13</v>
      </c>
      <c r="F384" s="896" t="s">
        <v>14</v>
      </c>
      <c r="G384" s="897"/>
      <c r="H384" s="897"/>
      <c r="I384" s="898"/>
      <c r="J384" s="888" t="s">
        <v>4</v>
      </c>
      <c r="K384" s="888" t="s">
        <v>15</v>
      </c>
      <c r="L384" s="888" t="s">
        <v>5</v>
      </c>
      <c r="M384" s="888" t="s">
        <v>6</v>
      </c>
      <c r="N384" s="888" t="s">
        <v>16</v>
      </c>
      <c r="O384" s="949" t="s">
        <v>17</v>
      </c>
      <c r="P384" s="888" t="s">
        <v>25</v>
      </c>
      <c r="Q384" s="878" t="s">
        <v>26</v>
      </c>
      <c r="S384" s="87"/>
      <c r="T384" s="87"/>
    </row>
    <row r="385" spans="1:20" s="2" customFormat="1" ht="33.75">
      <c r="A385" s="891"/>
      <c r="B385" s="893"/>
      <c r="C385" s="894"/>
      <c r="D385" s="889"/>
      <c r="E385" s="889"/>
      <c r="F385" s="36" t="s">
        <v>18</v>
      </c>
      <c r="G385" s="36" t="s">
        <v>19</v>
      </c>
      <c r="H385" s="36" t="s">
        <v>20</v>
      </c>
      <c r="I385" s="36" t="s">
        <v>21</v>
      </c>
      <c r="J385" s="889"/>
      <c r="K385" s="889"/>
      <c r="L385" s="889"/>
      <c r="M385" s="889"/>
      <c r="N385" s="889"/>
      <c r="O385" s="950"/>
      <c r="P385" s="889"/>
      <c r="Q385" s="879"/>
      <c r="S385" s="87"/>
      <c r="T385" s="87"/>
    </row>
    <row r="386" spans="1:20" s="3" customFormat="1" ht="13.5" customHeight="1" thickBot="1">
      <c r="A386" s="891"/>
      <c r="B386" s="893"/>
      <c r="C386" s="895"/>
      <c r="D386" s="59" t="s">
        <v>7</v>
      </c>
      <c r="E386" s="59" t="s">
        <v>8</v>
      </c>
      <c r="F386" s="59" t="s">
        <v>9</v>
      </c>
      <c r="G386" s="59" t="s">
        <v>9</v>
      </c>
      <c r="H386" s="59" t="s">
        <v>9</v>
      </c>
      <c r="I386" s="59" t="s">
        <v>9</v>
      </c>
      <c r="J386" s="59" t="s">
        <v>22</v>
      </c>
      <c r="K386" s="59" t="s">
        <v>9</v>
      </c>
      <c r="L386" s="59" t="s">
        <v>22</v>
      </c>
      <c r="M386" s="59" t="s">
        <v>23</v>
      </c>
      <c r="N386" s="59" t="s">
        <v>10</v>
      </c>
      <c r="O386" s="59" t="s">
        <v>24</v>
      </c>
      <c r="P386" s="60" t="s">
        <v>27</v>
      </c>
      <c r="Q386" s="61" t="s">
        <v>28</v>
      </c>
      <c r="S386" s="87"/>
      <c r="T386" s="87"/>
    </row>
    <row r="387" spans="1:20" ht="11.25" customHeight="1">
      <c r="A387" s="942" t="s">
        <v>29</v>
      </c>
      <c r="B387" s="33">
        <v>1</v>
      </c>
      <c r="C387" s="34" t="s">
        <v>611</v>
      </c>
      <c r="D387" s="35">
        <v>52</v>
      </c>
      <c r="E387" s="35">
        <v>1973</v>
      </c>
      <c r="F387" s="262">
        <v>42.296</v>
      </c>
      <c r="G387" s="262">
        <v>5.46</v>
      </c>
      <c r="H387" s="262">
        <v>8</v>
      </c>
      <c r="I387" s="263">
        <v>28.83</v>
      </c>
      <c r="J387" s="432">
        <v>2742.82</v>
      </c>
      <c r="K387" s="262">
        <v>24.8</v>
      </c>
      <c r="L387" s="432">
        <v>2625.72</v>
      </c>
      <c r="M387" s="147">
        <f>K387/L387</f>
        <v>0.00944502841125482</v>
      </c>
      <c r="N387" s="148">
        <v>248.4</v>
      </c>
      <c r="O387" s="148">
        <f>M387*N387</f>
        <v>2.346145057355697</v>
      </c>
      <c r="P387" s="148">
        <f>M387*60*1000</f>
        <v>566.7017046752891</v>
      </c>
      <c r="Q387" s="170">
        <f>P387*N387/1000</f>
        <v>140.7687034413418</v>
      </c>
      <c r="S387" s="87"/>
      <c r="T387" s="87"/>
    </row>
    <row r="388" spans="1:20" ht="12.75" customHeight="1">
      <c r="A388" s="943"/>
      <c r="B388" s="35">
        <v>2</v>
      </c>
      <c r="C388" s="34" t="s">
        <v>612</v>
      </c>
      <c r="D388" s="35">
        <v>30</v>
      </c>
      <c r="E388" s="35">
        <v>1987</v>
      </c>
      <c r="F388" s="263">
        <v>23.971</v>
      </c>
      <c r="G388" s="263">
        <v>2.94</v>
      </c>
      <c r="H388" s="263">
        <v>4.8</v>
      </c>
      <c r="I388" s="263">
        <v>16.23</v>
      </c>
      <c r="J388" s="118">
        <v>1510.61</v>
      </c>
      <c r="K388" s="263">
        <v>15.27</v>
      </c>
      <c r="L388" s="118">
        <v>1454.73</v>
      </c>
      <c r="M388" s="147">
        <f>K388/L388</f>
        <v>0.010496793219360293</v>
      </c>
      <c r="N388" s="148">
        <v>248.4</v>
      </c>
      <c r="O388" s="148">
        <f>M388*N388</f>
        <v>2.607403435689097</v>
      </c>
      <c r="P388" s="148">
        <f>M388*60*1000</f>
        <v>629.8075931616177</v>
      </c>
      <c r="Q388" s="170">
        <f>P388*N388/1000</f>
        <v>156.44420614134583</v>
      </c>
      <c r="S388" s="87"/>
      <c r="T388" s="87"/>
    </row>
    <row r="389" spans="1:20" ht="12.75" customHeight="1">
      <c r="A389" s="943"/>
      <c r="B389" s="35">
        <v>3</v>
      </c>
      <c r="C389" s="34" t="s">
        <v>613</v>
      </c>
      <c r="D389" s="35">
        <v>34</v>
      </c>
      <c r="E389" s="35">
        <v>1973</v>
      </c>
      <c r="F389" s="263">
        <v>27.486</v>
      </c>
      <c r="G389" s="263">
        <v>1.89</v>
      </c>
      <c r="H389" s="263">
        <v>5.12</v>
      </c>
      <c r="I389" s="263">
        <v>20.48</v>
      </c>
      <c r="J389" s="118">
        <v>1759.84</v>
      </c>
      <c r="K389" s="263">
        <v>20.46</v>
      </c>
      <c r="L389" s="118">
        <v>1759.84</v>
      </c>
      <c r="M389" s="139">
        <f>K389/L389</f>
        <v>0.011626056914264934</v>
      </c>
      <c r="N389" s="148">
        <v>248.4</v>
      </c>
      <c r="O389" s="148">
        <f>M389*N389</f>
        <v>2.88791253750341</v>
      </c>
      <c r="P389" s="148">
        <f>M389*60*1000</f>
        <v>697.563414855896</v>
      </c>
      <c r="Q389" s="168">
        <f>P389*N389/1000</f>
        <v>173.27475225020456</v>
      </c>
      <c r="S389" s="87"/>
      <c r="T389" s="87"/>
    </row>
    <row r="390" spans="1:20" ht="12.75" customHeight="1">
      <c r="A390" s="943"/>
      <c r="B390" s="35">
        <v>4</v>
      </c>
      <c r="C390" s="34" t="s">
        <v>614</v>
      </c>
      <c r="D390" s="35">
        <v>12</v>
      </c>
      <c r="E390" s="35">
        <v>1963</v>
      </c>
      <c r="F390" s="263">
        <v>10.2</v>
      </c>
      <c r="G390" s="263">
        <v>0.78</v>
      </c>
      <c r="H390" s="263">
        <v>1.92</v>
      </c>
      <c r="I390" s="263">
        <v>7.48</v>
      </c>
      <c r="J390" s="118">
        <v>528.5</v>
      </c>
      <c r="K390" s="263">
        <v>7.48</v>
      </c>
      <c r="L390" s="118">
        <v>528.5</v>
      </c>
      <c r="M390" s="139">
        <f>K390/L390</f>
        <v>0.014153263954588458</v>
      </c>
      <c r="N390" s="148">
        <v>248.4</v>
      </c>
      <c r="O390" s="138">
        <f>M390*N390</f>
        <v>3.515670766319773</v>
      </c>
      <c r="P390" s="148">
        <f>M390*60*1000</f>
        <v>849.1958372753074</v>
      </c>
      <c r="Q390" s="168">
        <f>P390*N390/1000</f>
        <v>210.9402459791864</v>
      </c>
      <c r="S390" s="87"/>
      <c r="T390" s="87"/>
    </row>
    <row r="391" spans="1:20" ht="12.75" customHeight="1">
      <c r="A391" s="943"/>
      <c r="B391" s="35">
        <v>5</v>
      </c>
      <c r="C391" s="34" t="s">
        <v>615</v>
      </c>
      <c r="D391" s="35">
        <v>32</v>
      </c>
      <c r="E391" s="35">
        <v>1977</v>
      </c>
      <c r="F391" s="263">
        <v>41.1</v>
      </c>
      <c r="G391" s="263">
        <v>2.62</v>
      </c>
      <c r="H391" s="263">
        <v>7.04</v>
      </c>
      <c r="I391" s="263">
        <v>31.47</v>
      </c>
      <c r="J391" s="118">
        <v>1794.45</v>
      </c>
      <c r="K391" s="263">
        <v>31.47</v>
      </c>
      <c r="L391" s="118">
        <v>1794.45</v>
      </c>
      <c r="M391" s="139">
        <f>K391/L391</f>
        <v>0.017537407004931872</v>
      </c>
      <c r="N391" s="148">
        <v>248.4</v>
      </c>
      <c r="O391" s="138">
        <f>M391*N391</f>
        <v>4.356291900025077</v>
      </c>
      <c r="P391" s="148">
        <f>M391*60*1000</f>
        <v>1052.2444202959123</v>
      </c>
      <c r="Q391" s="168">
        <f>P391*N391/1000</f>
        <v>261.3775140015046</v>
      </c>
      <c r="S391" s="87"/>
      <c r="T391" s="87"/>
    </row>
    <row r="392" spans="1:20" ht="12.75" customHeight="1">
      <c r="A392" s="943"/>
      <c r="B392" s="35">
        <v>6</v>
      </c>
      <c r="C392" s="34"/>
      <c r="D392" s="35"/>
      <c r="E392" s="35"/>
      <c r="F392" s="263"/>
      <c r="G392" s="263"/>
      <c r="H392" s="263"/>
      <c r="I392" s="263"/>
      <c r="J392" s="118"/>
      <c r="K392" s="263"/>
      <c r="L392" s="118"/>
      <c r="M392" s="139"/>
      <c r="N392" s="148"/>
      <c r="O392" s="138"/>
      <c r="P392" s="148"/>
      <c r="Q392" s="168"/>
      <c r="S392" s="87"/>
      <c r="T392" s="87"/>
    </row>
    <row r="393" spans="1:20" ht="12.75" customHeight="1">
      <c r="A393" s="943"/>
      <c r="B393" s="35">
        <v>7</v>
      </c>
      <c r="C393" s="34"/>
      <c r="D393" s="140"/>
      <c r="E393" s="140"/>
      <c r="F393" s="351"/>
      <c r="G393" s="351"/>
      <c r="H393" s="351"/>
      <c r="I393" s="351"/>
      <c r="J393" s="353"/>
      <c r="K393" s="351"/>
      <c r="L393" s="353"/>
      <c r="M393" s="140"/>
      <c r="N393" s="140"/>
      <c r="O393" s="141"/>
      <c r="P393" s="141"/>
      <c r="Q393" s="142"/>
      <c r="S393" s="87"/>
      <c r="T393" s="87"/>
    </row>
    <row r="394" spans="1:20" ht="16.5" customHeight="1" thickBot="1">
      <c r="A394" s="944"/>
      <c r="B394" s="90"/>
      <c r="C394" s="89"/>
      <c r="D394" s="90"/>
      <c r="E394" s="90"/>
      <c r="F394" s="385"/>
      <c r="G394" s="385"/>
      <c r="H394" s="385"/>
      <c r="I394" s="385"/>
      <c r="J394" s="380"/>
      <c r="K394" s="385"/>
      <c r="L394" s="380"/>
      <c r="M394" s="381"/>
      <c r="N394" s="379"/>
      <c r="O394" s="382"/>
      <c r="P394" s="171"/>
      <c r="Q394" s="172"/>
      <c r="S394" s="87"/>
      <c r="T394" s="87"/>
    </row>
    <row r="395" spans="1:20" ht="12.75">
      <c r="A395" s="921" t="s">
        <v>30</v>
      </c>
      <c r="B395" s="231">
        <v>1</v>
      </c>
      <c r="C395" s="270" t="s">
        <v>193</v>
      </c>
      <c r="D395" s="231">
        <v>45</v>
      </c>
      <c r="E395" s="231">
        <v>1972</v>
      </c>
      <c r="F395" s="423">
        <v>56.5</v>
      </c>
      <c r="G395" s="423">
        <v>4.62</v>
      </c>
      <c r="H395" s="423">
        <v>7.2</v>
      </c>
      <c r="I395" s="423">
        <v>44.71</v>
      </c>
      <c r="J395" s="434">
        <v>1840.92</v>
      </c>
      <c r="K395" s="423">
        <v>44.71</v>
      </c>
      <c r="L395" s="356">
        <v>1840.92</v>
      </c>
      <c r="M395" s="286">
        <f>K395/L395</f>
        <v>0.024286769658648937</v>
      </c>
      <c r="N395" s="285">
        <v>248.4</v>
      </c>
      <c r="O395" s="285">
        <f>M395*N395</f>
        <v>6.032833583208396</v>
      </c>
      <c r="P395" s="285">
        <f>M395*60*1000</f>
        <v>1457.206179518936</v>
      </c>
      <c r="Q395" s="287">
        <f>P395*N395/1000</f>
        <v>361.97001499250376</v>
      </c>
      <c r="S395" s="87"/>
      <c r="T395" s="87"/>
    </row>
    <row r="396" spans="1:20" ht="12.75">
      <c r="A396" s="922"/>
      <c r="B396" s="232">
        <v>2</v>
      </c>
      <c r="C396" s="272" t="s">
        <v>616</v>
      </c>
      <c r="D396" s="232">
        <v>36</v>
      </c>
      <c r="E396" s="232">
        <v>1972</v>
      </c>
      <c r="F396" s="288">
        <v>49.221</v>
      </c>
      <c r="G396" s="288">
        <v>2.457</v>
      </c>
      <c r="H396" s="288">
        <v>5.76</v>
      </c>
      <c r="I396" s="288">
        <v>41.004</v>
      </c>
      <c r="J396" s="279">
        <v>1516.82</v>
      </c>
      <c r="K396" s="288">
        <v>39.51</v>
      </c>
      <c r="L396" s="279">
        <v>1461.52</v>
      </c>
      <c r="M396" s="290">
        <f>K396/L396</f>
        <v>0.027033499370518365</v>
      </c>
      <c r="N396" s="285">
        <v>248.4</v>
      </c>
      <c r="O396" s="289">
        <f>M396*N396</f>
        <v>6.715121243636762</v>
      </c>
      <c r="P396" s="285">
        <f>M396*60*1000</f>
        <v>1622.009962231102</v>
      </c>
      <c r="Q396" s="291">
        <f>P396*N396/1000</f>
        <v>402.90727461820575</v>
      </c>
      <c r="S396" s="87"/>
      <c r="T396" s="87"/>
    </row>
    <row r="397" spans="1:20" ht="12.75">
      <c r="A397" s="922"/>
      <c r="B397" s="232">
        <v>3</v>
      </c>
      <c r="C397" s="272" t="s">
        <v>617</v>
      </c>
      <c r="D397" s="232">
        <v>28</v>
      </c>
      <c r="E397" s="232">
        <v>1963</v>
      </c>
      <c r="F397" s="288">
        <v>35.183</v>
      </c>
      <c r="G397" s="288">
        <v>2.856</v>
      </c>
      <c r="H397" s="288">
        <v>0</v>
      </c>
      <c r="I397" s="288">
        <v>32.327</v>
      </c>
      <c r="J397" s="279">
        <v>1271.69</v>
      </c>
      <c r="K397" s="288">
        <v>19.37</v>
      </c>
      <c r="L397" s="279">
        <v>714.34</v>
      </c>
      <c r="M397" s="290">
        <f>K397/L397</f>
        <v>0.027115939188621666</v>
      </c>
      <c r="N397" s="285">
        <v>248.4</v>
      </c>
      <c r="O397" s="289">
        <f>M397*N397</f>
        <v>6.735599294453622</v>
      </c>
      <c r="P397" s="285">
        <f>M397*60*1000</f>
        <v>1626.9563513173</v>
      </c>
      <c r="Q397" s="291">
        <f>P397*N397/1000</f>
        <v>404.1359576672174</v>
      </c>
      <c r="S397" s="87"/>
      <c r="T397" s="87"/>
    </row>
    <row r="398" spans="1:20" ht="12.75">
      <c r="A398" s="922"/>
      <c r="B398" s="232">
        <v>4</v>
      </c>
      <c r="C398" s="272" t="s">
        <v>618</v>
      </c>
      <c r="D398" s="232">
        <v>40</v>
      </c>
      <c r="E398" s="232">
        <v>1978</v>
      </c>
      <c r="F398" s="288">
        <v>68.7</v>
      </c>
      <c r="G398" s="288">
        <v>3.5</v>
      </c>
      <c r="H398" s="288">
        <v>6.4</v>
      </c>
      <c r="I398" s="288">
        <v>58.75</v>
      </c>
      <c r="J398" s="279">
        <v>2108.1</v>
      </c>
      <c r="K398" s="288">
        <v>58.75</v>
      </c>
      <c r="L398" s="279">
        <v>2108.1</v>
      </c>
      <c r="M398" s="290">
        <f>K398/L398</f>
        <v>0.027868696930885634</v>
      </c>
      <c r="N398" s="285">
        <v>248.4</v>
      </c>
      <c r="O398" s="289">
        <f>M398*N398</f>
        <v>6.9225843176319914</v>
      </c>
      <c r="P398" s="285">
        <f>M398*60*1000</f>
        <v>1672.121815853138</v>
      </c>
      <c r="Q398" s="291">
        <f>P398*N398/1000</f>
        <v>415.3550590579195</v>
      </c>
      <c r="S398" s="87"/>
      <c r="T398" s="87"/>
    </row>
    <row r="399" spans="1:20" ht="12.75">
      <c r="A399" s="922"/>
      <c r="B399" s="232">
        <v>5</v>
      </c>
      <c r="C399" s="272"/>
      <c r="D399" s="273"/>
      <c r="E399" s="273"/>
      <c r="F399" s="352"/>
      <c r="G399" s="352"/>
      <c r="H399" s="352"/>
      <c r="I399" s="352"/>
      <c r="J399" s="354"/>
      <c r="K399" s="352"/>
      <c r="L399" s="354"/>
      <c r="M399" s="273"/>
      <c r="N399" s="273"/>
      <c r="O399" s="298"/>
      <c r="P399" s="299"/>
      <c r="Q399" s="274"/>
      <c r="S399" s="87"/>
      <c r="T399" s="87"/>
    </row>
    <row r="400" spans="1:20" ht="12.75">
      <c r="A400" s="922"/>
      <c r="B400" s="232">
        <v>6</v>
      </c>
      <c r="C400" s="272"/>
      <c r="D400" s="232"/>
      <c r="E400" s="232"/>
      <c r="F400" s="288"/>
      <c r="G400" s="288"/>
      <c r="H400" s="288"/>
      <c r="I400" s="288"/>
      <c r="J400" s="279"/>
      <c r="K400" s="288"/>
      <c r="L400" s="279"/>
      <c r="M400" s="290"/>
      <c r="N400" s="289"/>
      <c r="O400" s="383"/>
      <c r="P400" s="289"/>
      <c r="Q400" s="291"/>
      <c r="S400" s="87"/>
      <c r="T400" s="87"/>
    </row>
    <row r="401" spans="1:20" ht="12.75">
      <c r="A401" s="922"/>
      <c r="B401" s="232">
        <v>7</v>
      </c>
      <c r="C401" s="272"/>
      <c r="D401" s="232"/>
      <c r="E401" s="232"/>
      <c r="F401" s="288"/>
      <c r="G401" s="288"/>
      <c r="H401" s="288"/>
      <c r="I401" s="288"/>
      <c r="J401" s="279"/>
      <c r="K401" s="288"/>
      <c r="L401" s="279"/>
      <c r="M401" s="290"/>
      <c r="N401" s="289"/>
      <c r="O401" s="383"/>
      <c r="P401" s="289"/>
      <c r="Q401" s="291"/>
      <c r="S401" s="87"/>
      <c r="T401" s="87"/>
    </row>
    <row r="402" spans="1:20" ht="13.5" thickBot="1">
      <c r="A402" s="924"/>
      <c r="B402" s="246">
        <v>8</v>
      </c>
      <c r="C402" s="276"/>
      <c r="D402" s="246"/>
      <c r="E402" s="246"/>
      <c r="F402" s="292"/>
      <c r="G402" s="292"/>
      <c r="H402" s="292"/>
      <c r="I402" s="292"/>
      <c r="J402" s="281"/>
      <c r="K402" s="292"/>
      <c r="L402" s="281"/>
      <c r="M402" s="294"/>
      <c r="N402" s="293"/>
      <c r="O402" s="384"/>
      <c r="P402" s="293"/>
      <c r="Q402" s="295"/>
      <c r="S402" s="87"/>
      <c r="T402" s="87"/>
    </row>
    <row r="403" spans="1:20" ht="12.75">
      <c r="A403" s="948" t="s">
        <v>12</v>
      </c>
      <c r="B403" s="39">
        <v>1</v>
      </c>
      <c r="C403" s="238" t="s">
        <v>619</v>
      </c>
      <c r="D403" s="39">
        <v>9</v>
      </c>
      <c r="E403" s="39">
        <v>1968</v>
      </c>
      <c r="F403" s="429">
        <v>13.4</v>
      </c>
      <c r="G403" s="429">
        <v>0.82</v>
      </c>
      <c r="H403" s="429">
        <v>1.44</v>
      </c>
      <c r="I403" s="429">
        <v>11.1</v>
      </c>
      <c r="J403" s="360">
        <v>412.22</v>
      </c>
      <c r="K403" s="429">
        <v>11.1</v>
      </c>
      <c r="L403" s="357">
        <v>412.22</v>
      </c>
      <c r="M403" s="226">
        <f aca="true" t="shared" si="54" ref="M403:M408">K403/L403</f>
        <v>0.02692736888069477</v>
      </c>
      <c r="N403" s="177">
        <v>248.4</v>
      </c>
      <c r="O403" s="177">
        <f aca="true" t="shared" si="55" ref="O403:O408">M403*N403</f>
        <v>6.688758429964581</v>
      </c>
      <c r="P403" s="177">
        <f aca="true" t="shared" si="56" ref="P403:P408">M403*60*1000</f>
        <v>1615.6421328416864</v>
      </c>
      <c r="Q403" s="305">
        <f aca="true" t="shared" si="57" ref="Q403:Q408">P403*N403/1000</f>
        <v>401.3255057978749</v>
      </c>
      <c r="S403" s="87"/>
      <c r="T403" s="87"/>
    </row>
    <row r="404" spans="1:20" ht="12.75">
      <c r="A404" s="919"/>
      <c r="B404" s="41">
        <v>2</v>
      </c>
      <c r="C404" s="49" t="s">
        <v>620</v>
      </c>
      <c r="D404" s="41">
        <v>24</v>
      </c>
      <c r="E404" s="41">
        <v>1965</v>
      </c>
      <c r="F404" s="185">
        <v>35.932</v>
      </c>
      <c r="G404" s="185">
        <v>1.683</v>
      </c>
      <c r="H404" s="185">
        <v>3.84</v>
      </c>
      <c r="I404" s="185">
        <v>30.409</v>
      </c>
      <c r="J404" s="317">
        <v>1116.83</v>
      </c>
      <c r="K404" s="185">
        <v>26.74</v>
      </c>
      <c r="L404" s="317">
        <v>982.04</v>
      </c>
      <c r="M404" s="227">
        <f t="shared" si="54"/>
        <v>0.02722903344059305</v>
      </c>
      <c r="N404" s="177">
        <v>248.4</v>
      </c>
      <c r="O404" s="310">
        <f t="shared" si="55"/>
        <v>6.763691906643314</v>
      </c>
      <c r="P404" s="177">
        <f t="shared" si="56"/>
        <v>1633.7420064355829</v>
      </c>
      <c r="Q404" s="311">
        <f t="shared" si="57"/>
        <v>405.8215143985988</v>
      </c>
      <c r="S404" s="87"/>
      <c r="T404" s="87"/>
    </row>
    <row r="405" spans="1:20" ht="12.75">
      <c r="A405" s="919"/>
      <c r="B405" s="41">
        <v>3</v>
      </c>
      <c r="C405" s="49" t="s">
        <v>621</v>
      </c>
      <c r="D405" s="41">
        <v>25</v>
      </c>
      <c r="E405" s="41">
        <v>1964</v>
      </c>
      <c r="F405" s="185">
        <v>36.395</v>
      </c>
      <c r="G405" s="185">
        <v>0.79</v>
      </c>
      <c r="H405" s="185">
        <v>3.84</v>
      </c>
      <c r="I405" s="185">
        <v>31.76</v>
      </c>
      <c r="J405" s="317">
        <v>1114.14</v>
      </c>
      <c r="K405" s="185">
        <v>27.2</v>
      </c>
      <c r="L405" s="317">
        <v>954.2</v>
      </c>
      <c r="M405" s="227">
        <f t="shared" si="54"/>
        <v>0.02850555439111297</v>
      </c>
      <c r="N405" s="177">
        <v>248.4</v>
      </c>
      <c r="O405" s="310">
        <f t="shared" si="55"/>
        <v>7.080779710752462</v>
      </c>
      <c r="P405" s="177">
        <f t="shared" si="56"/>
        <v>1710.3332634667784</v>
      </c>
      <c r="Q405" s="311">
        <f t="shared" si="57"/>
        <v>424.84678264514775</v>
      </c>
      <c r="S405" s="87"/>
      <c r="T405" s="87"/>
    </row>
    <row r="406" spans="1:20" ht="12.75">
      <c r="A406" s="919"/>
      <c r="B406" s="41">
        <v>4</v>
      </c>
      <c r="C406" s="49" t="s">
        <v>465</v>
      </c>
      <c r="D406" s="41">
        <v>13</v>
      </c>
      <c r="E406" s="41">
        <v>1958</v>
      </c>
      <c r="F406" s="185">
        <v>21.981</v>
      </c>
      <c r="G406" s="185">
        <v>0.408</v>
      </c>
      <c r="H406" s="185">
        <v>1.45</v>
      </c>
      <c r="I406" s="185">
        <v>20.123</v>
      </c>
      <c r="J406" s="317">
        <v>693.99</v>
      </c>
      <c r="K406" s="185">
        <v>7.6</v>
      </c>
      <c r="L406" s="317">
        <v>262.18</v>
      </c>
      <c r="M406" s="227">
        <f t="shared" si="54"/>
        <v>0.028987718361431075</v>
      </c>
      <c r="N406" s="177">
        <v>248.4</v>
      </c>
      <c r="O406" s="310">
        <f t="shared" si="55"/>
        <v>7.20054924097948</v>
      </c>
      <c r="P406" s="177">
        <f t="shared" si="56"/>
        <v>1739.2631016858645</v>
      </c>
      <c r="Q406" s="311">
        <f t="shared" si="57"/>
        <v>432.03295445876876</v>
      </c>
      <c r="S406" s="87"/>
      <c r="T406" s="87"/>
    </row>
    <row r="407" spans="1:20" ht="12.75">
      <c r="A407" s="919"/>
      <c r="B407" s="41">
        <v>5</v>
      </c>
      <c r="C407" s="49" t="s">
        <v>194</v>
      </c>
      <c r="D407" s="41">
        <v>47</v>
      </c>
      <c r="E407" s="41">
        <v>1981</v>
      </c>
      <c r="F407" s="185">
        <v>52.779</v>
      </c>
      <c r="G407" s="185">
        <v>0.43</v>
      </c>
      <c r="H407" s="185">
        <v>1.79</v>
      </c>
      <c r="I407" s="185">
        <v>50.56</v>
      </c>
      <c r="J407" s="317">
        <v>1526.37</v>
      </c>
      <c r="K407" s="185">
        <v>49.42</v>
      </c>
      <c r="L407" s="317">
        <v>1491.96</v>
      </c>
      <c r="M407" s="227">
        <f t="shared" si="54"/>
        <v>0.03312421244537387</v>
      </c>
      <c r="N407" s="177">
        <v>248.4</v>
      </c>
      <c r="O407" s="310">
        <f t="shared" si="55"/>
        <v>8.22805437143087</v>
      </c>
      <c r="P407" s="177">
        <f t="shared" si="56"/>
        <v>1987.452746722432</v>
      </c>
      <c r="Q407" s="311">
        <f t="shared" si="57"/>
        <v>493.6832622858521</v>
      </c>
      <c r="S407" s="87"/>
      <c r="T407" s="87"/>
    </row>
    <row r="408" spans="1:20" ht="12.75">
      <c r="A408" s="919"/>
      <c r="B408" s="41">
        <v>6</v>
      </c>
      <c r="C408" s="49" t="s">
        <v>622</v>
      </c>
      <c r="D408" s="41">
        <v>18</v>
      </c>
      <c r="E408" s="41">
        <v>1967</v>
      </c>
      <c r="F408" s="185">
        <v>23.4</v>
      </c>
      <c r="G408" s="185">
        <v>1.12</v>
      </c>
      <c r="H408" s="185">
        <v>0</v>
      </c>
      <c r="I408" s="185">
        <v>22.31</v>
      </c>
      <c r="J408" s="317">
        <v>597.08</v>
      </c>
      <c r="K408" s="185">
        <v>22.31</v>
      </c>
      <c r="L408" s="317">
        <v>597.08</v>
      </c>
      <c r="M408" s="227">
        <f t="shared" si="54"/>
        <v>0.03736517719568567</v>
      </c>
      <c r="N408" s="177">
        <v>248.4</v>
      </c>
      <c r="O408" s="310">
        <f t="shared" si="55"/>
        <v>9.28151001540832</v>
      </c>
      <c r="P408" s="177">
        <f t="shared" si="56"/>
        <v>2241.91063174114</v>
      </c>
      <c r="Q408" s="311">
        <f t="shared" si="57"/>
        <v>556.8906009244993</v>
      </c>
      <c r="S408" s="87"/>
      <c r="T408" s="87"/>
    </row>
    <row r="409" spans="1:20" ht="12.75">
      <c r="A409" s="919"/>
      <c r="B409" s="41">
        <v>7</v>
      </c>
      <c r="C409" s="49"/>
      <c r="D409" s="41"/>
      <c r="E409" s="41"/>
      <c r="F409" s="315"/>
      <c r="G409" s="315"/>
      <c r="H409" s="315"/>
      <c r="I409" s="315"/>
      <c r="J409" s="317"/>
      <c r="K409" s="315"/>
      <c r="L409" s="317"/>
      <c r="M409" s="309"/>
      <c r="N409" s="304"/>
      <c r="O409" s="310"/>
      <c r="P409" s="304"/>
      <c r="Q409" s="311"/>
      <c r="S409" s="87"/>
      <c r="T409" s="87"/>
    </row>
    <row r="410" spans="1:20" ht="13.5" thickBot="1">
      <c r="A410" s="920"/>
      <c r="B410" s="46">
        <v>8</v>
      </c>
      <c r="C410" s="51"/>
      <c r="D410" s="46"/>
      <c r="E410" s="46"/>
      <c r="F410" s="316"/>
      <c r="G410" s="316"/>
      <c r="H410" s="316"/>
      <c r="I410" s="316"/>
      <c r="J410" s="358"/>
      <c r="K410" s="316"/>
      <c r="L410" s="358"/>
      <c r="M410" s="306"/>
      <c r="N410" s="307"/>
      <c r="O410" s="307"/>
      <c r="P410" s="307"/>
      <c r="Q410" s="308"/>
      <c r="S410" s="87"/>
      <c r="T410" s="87"/>
    </row>
    <row r="411" spans="19:20" ht="12.75">
      <c r="S411" s="87"/>
      <c r="T411" s="87"/>
    </row>
    <row r="412" spans="19:20" ht="12.75">
      <c r="S412" s="87"/>
      <c r="T412" s="87"/>
    </row>
    <row r="413" spans="19:20" ht="12.75">
      <c r="S413" s="87"/>
      <c r="T413" s="87"/>
    </row>
    <row r="414" spans="19:20" ht="12.75">
      <c r="S414" s="87"/>
      <c r="T414" s="87"/>
    </row>
    <row r="415" spans="19:20" ht="12.75">
      <c r="S415" s="87"/>
      <c r="T415" s="87"/>
    </row>
    <row r="416" spans="19:20" ht="12.75">
      <c r="S416" s="87"/>
      <c r="T416" s="87"/>
    </row>
    <row r="417" spans="1:20" ht="15">
      <c r="A417" s="906" t="s">
        <v>64</v>
      </c>
      <c r="B417" s="906"/>
      <c r="C417" s="906"/>
      <c r="D417" s="906"/>
      <c r="E417" s="906"/>
      <c r="F417" s="906"/>
      <c r="G417" s="906"/>
      <c r="H417" s="906"/>
      <c r="I417" s="906"/>
      <c r="J417" s="906"/>
      <c r="K417" s="906"/>
      <c r="L417" s="906"/>
      <c r="M417" s="906"/>
      <c r="N417" s="906"/>
      <c r="O417" s="906"/>
      <c r="P417" s="906"/>
      <c r="Q417" s="906"/>
      <c r="S417" s="87"/>
      <c r="T417" s="87"/>
    </row>
    <row r="418" spans="1:20" ht="13.5" thickBot="1">
      <c r="A418" s="935" t="s">
        <v>638</v>
      </c>
      <c r="B418" s="935"/>
      <c r="C418" s="935"/>
      <c r="D418" s="935"/>
      <c r="E418" s="935"/>
      <c r="F418" s="935"/>
      <c r="G418" s="935"/>
      <c r="H418" s="935"/>
      <c r="I418" s="935"/>
      <c r="J418" s="935"/>
      <c r="K418" s="935"/>
      <c r="L418" s="935"/>
      <c r="M418" s="935"/>
      <c r="N418" s="935"/>
      <c r="O418" s="935"/>
      <c r="P418" s="935"/>
      <c r="Q418" s="935"/>
      <c r="S418" s="87"/>
      <c r="T418" s="87"/>
    </row>
    <row r="419" spans="1:20" ht="12.75" customHeight="1">
      <c r="A419" s="961" t="s">
        <v>1</v>
      </c>
      <c r="B419" s="964" t="s">
        <v>0</v>
      </c>
      <c r="C419" s="889" t="s">
        <v>2</v>
      </c>
      <c r="D419" s="889" t="s">
        <v>3</v>
      </c>
      <c r="E419" s="889" t="s">
        <v>13</v>
      </c>
      <c r="F419" s="968" t="s">
        <v>14</v>
      </c>
      <c r="G419" s="968"/>
      <c r="H419" s="968"/>
      <c r="I419" s="968"/>
      <c r="J419" s="889" t="s">
        <v>4</v>
      </c>
      <c r="K419" s="889" t="s">
        <v>15</v>
      </c>
      <c r="L419" s="889" t="s">
        <v>5</v>
      </c>
      <c r="M419" s="889" t="s">
        <v>6</v>
      </c>
      <c r="N419" s="889" t="s">
        <v>16</v>
      </c>
      <c r="O419" s="889" t="s">
        <v>17</v>
      </c>
      <c r="P419" s="889" t="s">
        <v>25</v>
      </c>
      <c r="Q419" s="879" t="s">
        <v>26</v>
      </c>
      <c r="S419" s="87"/>
      <c r="T419" s="87"/>
    </row>
    <row r="420" spans="1:20" s="2" customFormat="1" ht="33.75">
      <c r="A420" s="962"/>
      <c r="B420" s="965"/>
      <c r="C420" s="959"/>
      <c r="D420" s="959"/>
      <c r="E420" s="959"/>
      <c r="F420" s="36" t="s">
        <v>18</v>
      </c>
      <c r="G420" s="36" t="s">
        <v>19</v>
      </c>
      <c r="H420" s="36" t="s">
        <v>20</v>
      </c>
      <c r="I420" s="36" t="s">
        <v>21</v>
      </c>
      <c r="J420" s="959"/>
      <c r="K420" s="959"/>
      <c r="L420" s="959"/>
      <c r="M420" s="959"/>
      <c r="N420" s="959"/>
      <c r="O420" s="959"/>
      <c r="P420" s="959"/>
      <c r="Q420" s="960"/>
      <c r="S420" s="87"/>
      <c r="T420" s="87"/>
    </row>
    <row r="421" spans="1:20" s="3" customFormat="1" ht="13.5" customHeight="1" thickBot="1">
      <c r="A421" s="963"/>
      <c r="B421" s="966"/>
      <c r="C421" s="967"/>
      <c r="D421" s="59" t="s">
        <v>7</v>
      </c>
      <c r="E421" s="59" t="s">
        <v>8</v>
      </c>
      <c r="F421" s="59" t="s">
        <v>9</v>
      </c>
      <c r="G421" s="59" t="s">
        <v>9</v>
      </c>
      <c r="H421" s="59" t="s">
        <v>9</v>
      </c>
      <c r="I421" s="59" t="s">
        <v>9</v>
      </c>
      <c r="J421" s="59" t="s">
        <v>22</v>
      </c>
      <c r="K421" s="59" t="s">
        <v>9</v>
      </c>
      <c r="L421" s="59" t="s">
        <v>22</v>
      </c>
      <c r="M421" s="59" t="s">
        <v>23</v>
      </c>
      <c r="N421" s="59" t="s">
        <v>10</v>
      </c>
      <c r="O421" s="59" t="s">
        <v>24</v>
      </c>
      <c r="P421" s="59" t="s">
        <v>27</v>
      </c>
      <c r="Q421" s="61" t="s">
        <v>28</v>
      </c>
      <c r="S421" s="87"/>
      <c r="T421" s="87"/>
    </row>
    <row r="422" spans="1:20" ht="12.75">
      <c r="A422" s="937" t="s">
        <v>11</v>
      </c>
      <c r="B422" s="30">
        <v>1</v>
      </c>
      <c r="C422" s="792" t="s">
        <v>327</v>
      </c>
      <c r="D422" s="202">
        <v>45</v>
      </c>
      <c r="E422" s="202">
        <v>1991</v>
      </c>
      <c r="F422" s="509">
        <f aca="true" t="shared" si="58" ref="F422:F461">G422+H422+I422</f>
        <v>27.51</v>
      </c>
      <c r="G422" s="509">
        <v>3.97</v>
      </c>
      <c r="H422" s="509">
        <v>6.24</v>
      </c>
      <c r="I422" s="509">
        <v>17.3</v>
      </c>
      <c r="J422" s="515">
        <v>2321.73</v>
      </c>
      <c r="K422" s="509">
        <v>17.3</v>
      </c>
      <c r="L422" s="515">
        <v>2321.73</v>
      </c>
      <c r="M422" s="485">
        <f aca="true" t="shared" si="59" ref="M422:M461">K422/L422</f>
        <v>0.00745134016444634</v>
      </c>
      <c r="N422" s="486">
        <v>315</v>
      </c>
      <c r="O422" s="487">
        <f aca="true" t="shared" si="60" ref="O422:O461">M422*N422</f>
        <v>2.347172151800597</v>
      </c>
      <c r="P422" s="487">
        <f aca="true" t="shared" si="61" ref="P422:P461">M422*60*1000</f>
        <v>447.08040986678037</v>
      </c>
      <c r="Q422" s="488">
        <f aca="true" t="shared" si="62" ref="Q422:Q461">P422*N422/1000</f>
        <v>140.8303291080358</v>
      </c>
      <c r="R422" s="6"/>
      <c r="S422" s="87"/>
      <c r="T422" s="87"/>
    </row>
    <row r="423" spans="1:20" ht="12.75">
      <c r="A423" s="912"/>
      <c r="B423" s="31">
        <v>2</v>
      </c>
      <c r="C423" s="793" t="s">
        <v>326</v>
      </c>
      <c r="D423" s="204">
        <v>39</v>
      </c>
      <c r="E423" s="204">
        <v>1985</v>
      </c>
      <c r="F423" s="374">
        <f t="shared" si="58"/>
        <v>27.650000000000002</v>
      </c>
      <c r="G423" s="374">
        <v>4.19</v>
      </c>
      <c r="H423" s="374">
        <v>6.32</v>
      </c>
      <c r="I423" s="374">
        <v>17.14</v>
      </c>
      <c r="J423" s="376">
        <v>2285.27</v>
      </c>
      <c r="K423" s="374">
        <v>17.14</v>
      </c>
      <c r="L423" s="376">
        <v>2285.27</v>
      </c>
      <c r="M423" s="156">
        <f t="shared" si="59"/>
        <v>0.007500207852901408</v>
      </c>
      <c r="N423" s="157">
        <v>315</v>
      </c>
      <c r="O423" s="474">
        <f t="shared" si="60"/>
        <v>2.3625654736639436</v>
      </c>
      <c r="P423" s="474">
        <f t="shared" si="61"/>
        <v>450.0124711740845</v>
      </c>
      <c r="Q423" s="158">
        <f t="shared" si="62"/>
        <v>141.75392841983663</v>
      </c>
      <c r="S423" s="87"/>
      <c r="T423" s="87"/>
    </row>
    <row r="424" spans="1:20" ht="12.75">
      <c r="A424" s="912"/>
      <c r="B424" s="31">
        <v>3</v>
      </c>
      <c r="C424" s="793" t="s">
        <v>466</v>
      </c>
      <c r="D424" s="204">
        <v>45</v>
      </c>
      <c r="E424" s="204">
        <v>1975</v>
      </c>
      <c r="F424" s="374">
        <f t="shared" si="58"/>
        <v>29.64</v>
      </c>
      <c r="G424" s="374">
        <v>3.58</v>
      </c>
      <c r="H424" s="374">
        <v>7.2</v>
      </c>
      <c r="I424" s="374">
        <v>18.86</v>
      </c>
      <c r="J424" s="376">
        <v>2325.22</v>
      </c>
      <c r="K424" s="374">
        <v>18.86</v>
      </c>
      <c r="L424" s="376">
        <v>2325.22</v>
      </c>
      <c r="M424" s="156">
        <f t="shared" si="59"/>
        <v>0.008111060458795297</v>
      </c>
      <c r="N424" s="157">
        <v>315</v>
      </c>
      <c r="O424" s="474">
        <f t="shared" si="60"/>
        <v>2.5549840445205185</v>
      </c>
      <c r="P424" s="474">
        <f t="shared" si="61"/>
        <v>486.6636275277178</v>
      </c>
      <c r="Q424" s="158">
        <f t="shared" si="62"/>
        <v>153.2990426712311</v>
      </c>
      <c r="S424" s="87"/>
      <c r="T424" s="87"/>
    </row>
    <row r="425" spans="1:20" ht="12.75">
      <c r="A425" s="912"/>
      <c r="B425" s="31">
        <v>4</v>
      </c>
      <c r="C425" s="793" t="s">
        <v>328</v>
      </c>
      <c r="D425" s="204">
        <v>44</v>
      </c>
      <c r="E425" s="204">
        <v>1975</v>
      </c>
      <c r="F425" s="374">
        <f t="shared" si="58"/>
        <v>29.61</v>
      </c>
      <c r="G425" s="374">
        <v>3.79</v>
      </c>
      <c r="H425" s="374">
        <v>7.04</v>
      </c>
      <c r="I425" s="374">
        <v>18.78</v>
      </c>
      <c r="J425" s="376">
        <v>2309.11</v>
      </c>
      <c r="K425" s="374">
        <v>18.78</v>
      </c>
      <c r="L425" s="376">
        <v>2309.11</v>
      </c>
      <c r="M425" s="156">
        <f t="shared" si="59"/>
        <v>0.008133003624773181</v>
      </c>
      <c r="N425" s="157">
        <v>315</v>
      </c>
      <c r="O425" s="474">
        <f t="shared" si="60"/>
        <v>2.561896141803552</v>
      </c>
      <c r="P425" s="474">
        <f t="shared" si="61"/>
        <v>487.98021748639087</v>
      </c>
      <c r="Q425" s="158">
        <f t="shared" si="62"/>
        <v>153.71376850821315</v>
      </c>
      <c r="S425" s="87"/>
      <c r="T425" s="87"/>
    </row>
    <row r="426" spans="1:20" ht="12.75">
      <c r="A426" s="912"/>
      <c r="B426" s="31">
        <v>5</v>
      </c>
      <c r="C426" s="793" t="s">
        <v>470</v>
      </c>
      <c r="D426" s="204">
        <v>55</v>
      </c>
      <c r="E426" s="204">
        <v>1992</v>
      </c>
      <c r="F426" s="374">
        <f t="shared" si="58"/>
        <v>66.5</v>
      </c>
      <c r="G426" s="374">
        <v>0</v>
      </c>
      <c r="H426" s="374">
        <v>0</v>
      </c>
      <c r="I426" s="374">
        <v>66.5</v>
      </c>
      <c r="J426" s="376">
        <v>3755.18</v>
      </c>
      <c r="K426" s="374">
        <v>66.5</v>
      </c>
      <c r="L426" s="376">
        <v>3755.18</v>
      </c>
      <c r="M426" s="156">
        <f t="shared" si="59"/>
        <v>0.017708871478863863</v>
      </c>
      <c r="N426" s="157">
        <v>315</v>
      </c>
      <c r="O426" s="474">
        <f t="shared" si="60"/>
        <v>5.578294515842117</v>
      </c>
      <c r="P426" s="474">
        <f t="shared" si="61"/>
        <v>1062.5322887318318</v>
      </c>
      <c r="Q426" s="158">
        <f t="shared" si="62"/>
        <v>334.697670950527</v>
      </c>
      <c r="S426" s="87"/>
      <c r="T426" s="87"/>
    </row>
    <row r="427" spans="1:20" ht="12.75">
      <c r="A427" s="912"/>
      <c r="B427" s="31">
        <v>6</v>
      </c>
      <c r="C427" s="793" t="s">
        <v>469</v>
      </c>
      <c r="D427" s="204">
        <v>30</v>
      </c>
      <c r="E427" s="204">
        <v>1990</v>
      </c>
      <c r="F427" s="374">
        <f t="shared" si="58"/>
        <v>36.06</v>
      </c>
      <c r="G427" s="374">
        <v>3.99</v>
      </c>
      <c r="H427" s="374">
        <v>4.8</v>
      </c>
      <c r="I427" s="374">
        <v>27.27</v>
      </c>
      <c r="J427" s="376">
        <v>1510.09</v>
      </c>
      <c r="K427" s="374">
        <v>27.27</v>
      </c>
      <c r="L427" s="376">
        <v>1510.09</v>
      </c>
      <c r="M427" s="156">
        <f t="shared" si="59"/>
        <v>0.018058526313001214</v>
      </c>
      <c r="N427" s="157">
        <v>315</v>
      </c>
      <c r="O427" s="474">
        <f t="shared" si="60"/>
        <v>5.688435788595382</v>
      </c>
      <c r="P427" s="474">
        <f t="shared" si="61"/>
        <v>1083.5115787800728</v>
      </c>
      <c r="Q427" s="158">
        <f t="shared" si="62"/>
        <v>341.30614731572297</v>
      </c>
      <c r="S427" s="87"/>
      <c r="T427" s="87"/>
    </row>
    <row r="428" spans="1:20" ht="12.75">
      <c r="A428" s="912"/>
      <c r="B428" s="31">
        <v>7</v>
      </c>
      <c r="C428" s="793" t="s">
        <v>467</v>
      </c>
      <c r="D428" s="204">
        <v>76</v>
      </c>
      <c r="E428" s="204">
        <v>1985</v>
      </c>
      <c r="F428" s="374">
        <f t="shared" si="58"/>
        <v>92.6</v>
      </c>
      <c r="G428" s="374">
        <v>6.72</v>
      </c>
      <c r="H428" s="374">
        <v>12</v>
      </c>
      <c r="I428" s="374">
        <v>73.88</v>
      </c>
      <c r="J428" s="376">
        <v>4030.92</v>
      </c>
      <c r="K428" s="374">
        <v>73.88</v>
      </c>
      <c r="L428" s="376">
        <v>4030.92</v>
      </c>
      <c r="M428" s="156">
        <f t="shared" si="59"/>
        <v>0.01832832207039584</v>
      </c>
      <c r="N428" s="157">
        <v>315</v>
      </c>
      <c r="O428" s="474">
        <f t="shared" si="60"/>
        <v>5.77342145217469</v>
      </c>
      <c r="P428" s="474">
        <f t="shared" si="61"/>
        <v>1099.6993242237502</v>
      </c>
      <c r="Q428" s="158">
        <f t="shared" si="62"/>
        <v>346.4052871304813</v>
      </c>
      <c r="S428" s="87"/>
      <c r="T428" s="87"/>
    </row>
    <row r="429" spans="1:20" ht="12.75">
      <c r="A429" s="912"/>
      <c r="B429" s="31">
        <v>8</v>
      </c>
      <c r="C429" s="793" t="s">
        <v>330</v>
      </c>
      <c r="D429" s="204">
        <v>45</v>
      </c>
      <c r="E429" s="204">
        <v>1983</v>
      </c>
      <c r="F429" s="374">
        <f t="shared" si="58"/>
        <v>54.3</v>
      </c>
      <c r="G429" s="374">
        <v>3.7</v>
      </c>
      <c r="H429" s="374">
        <v>7.2</v>
      </c>
      <c r="I429" s="374">
        <v>43.4</v>
      </c>
      <c r="J429" s="376">
        <v>2323.8</v>
      </c>
      <c r="K429" s="374">
        <v>43.4</v>
      </c>
      <c r="L429" s="376">
        <v>2323.8</v>
      </c>
      <c r="M429" s="156">
        <f t="shared" si="59"/>
        <v>0.018676306050434632</v>
      </c>
      <c r="N429" s="157">
        <v>315</v>
      </c>
      <c r="O429" s="474">
        <f t="shared" si="60"/>
        <v>5.88303640588691</v>
      </c>
      <c r="P429" s="474">
        <f t="shared" si="61"/>
        <v>1120.578363026078</v>
      </c>
      <c r="Q429" s="158">
        <f t="shared" si="62"/>
        <v>352.98218435321456</v>
      </c>
      <c r="S429" s="87"/>
      <c r="T429" s="87"/>
    </row>
    <row r="430" spans="1:20" ht="12.75">
      <c r="A430" s="912"/>
      <c r="B430" s="31">
        <v>9</v>
      </c>
      <c r="C430" s="793" t="s">
        <v>331</v>
      </c>
      <c r="D430" s="204">
        <v>66</v>
      </c>
      <c r="E430" s="204">
        <v>1972</v>
      </c>
      <c r="F430" s="374">
        <f t="shared" si="58"/>
        <v>77.06</v>
      </c>
      <c r="G430" s="374">
        <v>6.4</v>
      </c>
      <c r="H430" s="374">
        <v>10.4</v>
      </c>
      <c r="I430" s="374">
        <v>60.26</v>
      </c>
      <c r="J430" s="376">
        <v>3215.54</v>
      </c>
      <c r="K430" s="374">
        <v>60.26</v>
      </c>
      <c r="L430" s="376">
        <v>3215.54</v>
      </c>
      <c r="M430" s="156">
        <f t="shared" si="59"/>
        <v>0.01874024269640558</v>
      </c>
      <c r="N430" s="157">
        <v>315</v>
      </c>
      <c r="O430" s="474">
        <f t="shared" si="60"/>
        <v>5.903176449367757</v>
      </c>
      <c r="P430" s="474">
        <f t="shared" si="61"/>
        <v>1124.4145617843349</v>
      </c>
      <c r="Q430" s="158">
        <f t="shared" si="62"/>
        <v>354.1905869620655</v>
      </c>
      <c r="S430" s="87"/>
      <c r="T430" s="87"/>
    </row>
    <row r="431" spans="1:20" ht="13.5" thickBot="1">
      <c r="A431" s="913"/>
      <c r="B431" s="64">
        <v>10</v>
      </c>
      <c r="C431" s="794" t="s">
        <v>329</v>
      </c>
      <c r="D431" s="234">
        <v>45</v>
      </c>
      <c r="E431" s="234">
        <v>1981</v>
      </c>
      <c r="F431" s="375">
        <f t="shared" si="58"/>
        <v>55.3</v>
      </c>
      <c r="G431" s="375">
        <v>4.27</v>
      </c>
      <c r="H431" s="375">
        <v>7.2</v>
      </c>
      <c r="I431" s="375">
        <v>43.83</v>
      </c>
      <c r="J431" s="516">
        <v>2323.16</v>
      </c>
      <c r="K431" s="375">
        <v>43.83</v>
      </c>
      <c r="L431" s="516">
        <v>2323.16</v>
      </c>
      <c r="M431" s="386">
        <f t="shared" si="59"/>
        <v>0.018866543845451885</v>
      </c>
      <c r="N431" s="369">
        <v>315</v>
      </c>
      <c r="O431" s="370">
        <f t="shared" si="60"/>
        <v>5.942961311317344</v>
      </c>
      <c r="P431" s="370">
        <f t="shared" si="61"/>
        <v>1131.992630727113</v>
      </c>
      <c r="Q431" s="371">
        <f t="shared" si="62"/>
        <v>356.57767867904056</v>
      </c>
      <c r="S431" s="87"/>
      <c r="T431" s="87"/>
    </row>
    <row r="432" spans="1:20" ht="11.25" customHeight="1">
      <c r="A432" s="938" t="s">
        <v>29</v>
      </c>
      <c r="B432" s="67">
        <v>1</v>
      </c>
      <c r="C432" s="795" t="s">
        <v>623</v>
      </c>
      <c r="D432" s="235">
        <v>44</v>
      </c>
      <c r="E432" s="235">
        <v>1988</v>
      </c>
      <c r="F432" s="510">
        <f t="shared" si="58"/>
        <v>54.79</v>
      </c>
      <c r="G432" s="510">
        <v>3.96</v>
      </c>
      <c r="H432" s="510">
        <v>7.04</v>
      </c>
      <c r="I432" s="510">
        <v>43.79</v>
      </c>
      <c r="J432" s="517">
        <v>2297.82</v>
      </c>
      <c r="K432" s="510">
        <v>43.79</v>
      </c>
      <c r="L432" s="517">
        <v>2297.82</v>
      </c>
      <c r="M432" s="489">
        <f t="shared" si="59"/>
        <v>0.01905719333977422</v>
      </c>
      <c r="N432" s="490">
        <v>315</v>
      </c>
      <c r="O432" s="491">
        <f t="shared" si="60"/>
        <v>6.003015902028879</v>
      </c>
      <c r="P432" s="491">
        <f t="shared" si="61"/>
        <v>1143.431600386453</v>
      </c>
      <c r="Q432" s="492">
        <f t="shared" si="62"/>
        <v>360.1809541217327</v>
      </c>
      <c r="S432" s="87"/>
      <c r="T432" s="87"/>
    </row>
    <row r="433" spans="1:20" ht="12.75" customHeight="1">
      <c r="A433" s="939"/>
      <c r="B433" s="35">
        <v>2</v>
      </c>
      <c r="C433" s="796" t="s">
        <v>624</v>
      </c>
      <c r="D433" s="151">
        <v>45</v>
      </c>
      <c r="E433" s="151">
        <v>1981</v>
      </c>
      <c r="F433" s="196">
        <f t="shared" si="58"/>
        <v>54.2</v>
      </c>
      <c r="G433" s="196">
        <v>4.06</v>
      </c>
      <c r="H433" s="196">
        <v>7.12</v>
      </c>
      <c r="I433" s="196">
        <v>43.02</v>
      </c>
      <c r="J433" s="377">
        <v>2250.72</v>
      </c>
      <c r="K433" s="196">
        <v>43.02</v>
      </c>
      <c r="L433" s="377">
        <v>2250.72</v>
      </c>
      <c r="M433" s="159">
        <f t="shared" si="59"/>
        <v>0.01911388355726168</v>
      </c>
      <c r="N433" s="160">
        <v>315</v>
      </c>
      <c r="O433" s="161">
        <f t="shared" si="60"/>
        <v>6.020873320537429</v>
      </c>
      <c r="P433" s="161">
        <f t="shared" si="61"/>
        <v>1146.8330134357009</v>
      </c>
      <c r="Q433" s="162">
        <f t="shared" si="62"/>
        <v>361.25239923224575</v>
      </c>
      <c r="S433" s="87"/>
      <c r="T433" s="87"/>
    </row>
    <row r="434" spans="1:20" ht="12.75" customHeight="1">
      <c r="A434" s="939"/>
      <c r="B434" s="35">
        <v>3</v>
      </c>
      <c r="C434" s="796" t="s">
        <v>625</v>
      </c>
      <c r="D434" s="151">
        <v>40</v>
      </c>
      <c r="E434" s="151">
        <v>1988</v>
      </c>
      <c r="F434" s="196">
        <f t="shared" si="58"/>
        <v>54.489999999999995</v>
      </c>
      <c r="G434" s="196">
        <v>4.3</v>
      </c>
      <c r="H434" s="196">
        <v>6.4</v>
      </c>
      <c r="I434" s="196">
        <v>43.79</v>
      </c>
      <c r="J434" s="377">
        <v>2275.45</v>
      </c>
      <c r="K434" s="196">
        <v>43.79</v>
      </c>
      <c r="L434" s="377">
        <v>2275.45</v>
      </c>
      <c r="M434" s="159">
        <f t="shared" si="59"/>
        <v>0.019244545035048015</v>
      </c>
      <c r="N434" s="160">
        <v>315</v>
      </c>
      <c r="O434" s="161">
        <f t="shared" si="60"/>
        <v>6.062031686040124</v>
      </c>
      <c r="P434" s="161">
        <f t="shared" si="61"/>
        <v>1154.672702102881</v>
      </c>
      <c r="Q434" s="162">
        <f t="shared" si="62"/>
        <v>363.72190116240756</v>
      </c>
      <c r="S434" s="87"/>
      <c r="T434" s="87"/>
    </row>
    <row r="435" spans="1:20" ht="12.75" customHeight="1">
      <c r="A435" s="939"/>
      <c r="B435" s="35">
        <v>4</v>
      </c>
      <c r="C435" s="796" t="s">
        <v>332</v>
      </c>
      <c r="D435" s="151">
        <v>75</v>
      </c>
      <c r="E435" s="151">
        <v>1981</v>
      </c>
      <c r="F435" s="196">
        <f t="shared" si="58"/>
        <v>94.54</v>
      </c>
      <c r="G435" s="196">
        <v>6.3</v>
      </c>
      <c r="H435" s="196">
        <v>11.84</v>
      </c>
      <c r="I435" s="196">
        <v>76.4</v>
      </c>
      <c r="J435" s="377">
        <v>4034.29</v>
      </c>
      <c r="K435" s="196">
        <v>76.4</v>
      </c>
      <c r="L435" s="377">
        <v>3952.66</v>
      </c>
      <c r="M435" s="159">
        <f t="shared" si="59"/>
        <v>0.01932875582519114</v>
      </c>
      <c r="N435" s="160">
        <v>315</v>
      </c>
      <c r="O435" s="161">
        <f t="shared" si="60"/>
        <v>6.088558084935209</v>
      </c>
      <c r="P435" s="161">
        <f t="shared" si="61"/>
        <v>1159.7253495114685</v>
      </c>
      <c r="Q435" s="162">
        <f t="shared" si="62"/>
        <v>365.3134850961126</v>
      </c>
      <c r="S435" s="87"/>
      <c r="T435" s="87"/>
    </row>
    <row r="436" spans="1:20" ht="12.75" customHeight="1">
      <c r="A436" s="939"/>
      <c r="B436" s="35">
        <v>5</v>
      </c>
      <c r="C436" s="796" t="s">
        <v>626</v>
      </c>
      <c r="D436" s="151">
        <v>50</v>
      </c>
      <c r="E436" s="151">
        <v>1992</v>
      </c>
      <c r="F436" s="196">
        <f t="shared" si="58"/>
        <v>56.2</v>
      </c>
      <c r="G436" s="196">
        <v>3.61</v>
      </c>
      <c r="H436" s="196">
        <v>7.84</v>
      </c>
      <c r="I436" s="196">
        <v>44.75</v>
      </c>
      <c r="J436" s="377">
        <v>2313.92</v>
      </c>
      <c r="K436" s="196">
        <v>44.75</v>
      </c>
      <c r="L436" s="377">
        <v>2313.92</v>
      </c>
      <c r="M436" s="159">
        <f t="shared" si="59"/>
        <v>0.01933947586779145</v>
      </c>
      <c r="N436" s="160">
        <v>315</v>
      </c>
      <c r="O436" s="161">
        <f t="shared" si="60"/>
        <v>6.091934898354308</v>
      </c>
      <c r="P436" s="161">
        <f t="shared" si="61"/>
        <v>1160.3685520674871</v>
      </c>
      <c r="Q436" s="162">
        <f t="shared" si="62"/>
        <v>365.51609390125844</v>
      </c>
      <c r="S436" s="87"/>
      <c r="T436" s="87"/>
    </row>
    <row r="437" spans="1:20" ht="12.75" customHeight="1">
      <c r="A437" s="939"/>
      <c r="B437" s="35">
        <v>6</v>
      </c>
      <c r="C437" s="796" t="s">
        <v>627</v>
      </c>
      <c r="D437" s="151">
        <v>19</v>
      </c>
      <c r="E437" s="151">
        <v>1997</v>
      </c>
      <c r="F437" s="196">
        <f t="shared" si="58"/>
        <v>26.32</v>
      </c>
      <c r="G437" s="196">
        <v>1.69</v>
      </c>
      <c r="H437" s="196">
        <v>3.04</v>
      </c>
      <c r="I437" s="196">
        <v>21.59</v>
      </c>
      <c r="J437" s="377">
        <v>1404.59</v>
      </c>
      <c r="K437" s="196">
        <v>21.59</v>
      </c>
      <c r="L437" s="377">
        <v>1116.22</v>
      </c>
      <c r="M437" s="159">
        <f t="shared" si="59"/>
        <v>0.019342065184282668</v>
      </c>
      <c r="N437" s="160">
        <v>315</v>
      </c>
      <c r="O437" s="161">
        <f t="shared" si="60"/>
        <v>6.09275053304904</v>
      </c>
      <c r="P437" s="161">
        <f t="shared" si="61"/>
        <v>1160.52391105696</v>
      </c>
      <c r="Q437" s="162">
        <f t="shared" si="62"/>
        <v>365.5650319829424</v>
      </c>
      <c r="S437" s="87"/>
      <c r="T437" s="87"/>
    </row>
    <row r="438" spans="1:20" ht="12.75" customHeight="1">
      <c r="A438" s="939"/>
      <c r="B438" s="35">
        <v>7</v>
      </c>
      <c r="C438" s="796" t="s">
        <v>628</v>
      </c>
      <c r="D438" s="151">
        <v>43</v>
      </c>
      <c r="E438" s="151">
        <v>1990</v>
      </c>
      <c r="F438" s="196">
        <f t="shared" si="58"/>
        <v>54.75</v>
      </c>
      <c r="G438" s="196">
        <v>4.95</v>
      </c>
      <c r="H438" s="196">
        <v>6.88</v>
      </c>
      <c r="I438" s="196">
        <v>42.92</v>
      </c>
      <c r="J438" s="377">
        <v>2203.68</v>
      </c>
      <c r="K438" s="196">
        <v>42.92</v>
      </c>
      <c r="L438" s="377">
        <v>2203.68</v>
      </c>
      <c r="M438" s="159">
        <f t="shared" si="59"/>
        <v>0.019476512016263707</v>
      </c>
      <c r="N438" s="160">
        <v>315</v>
      </c>
      <c r="O438" s="161">
        <f t="shared" si="60"/>
        <v>6.135101285123068</v>
      </c>
      <c r="P438" s="161">
        <f t="shared" si="61"/>
        <v>1168.5907209758225</v>
      </c>
      <c r="Q438" s="162">
        <f t="shared" si="62"/>
        <v>368.1060771073841</v>
      </c>
      <c r="S438" s="87"/>
      <c r="T438" s="87"/>
    </row>
    <row r="439" spans="1:20" ht="12.75" customHeight="1">
      <c r="A439" s="939"/>
      <c r="B439" s="35">
        <v>8</v>
      </c>
      <c r="C439" s="796" t="s">
        <v>629</v>
      </c>
      <c r="D439" s="151">
        <v>30</v>
      </c>
      <c r="E439" s="151">
        <v>1988</v>
      </c>
      <c r="F439" s="196">
        <f t="shared" si="58"/>
        <v>39.699999999999996</v>
      </c>
      <c r="G439" s="196">
        <v>3.16</v>
      </c>
      <c r="H439" s="196">
        <v>4.8</v>
      </c>
      <c r="I439" s="196">
        <v>31.74</v>
      </c>
      <c r="J439" s="377">
        <v>1627.91</v>
      </c>
      <c r="K439" s="196">
        <v>31.74</v>
      </c>
      <c r="L439" s="377">
        <v>1627.91</v>
      </c>
      <c r="M439" s="159">
        <f t="shared" si="59"/>
        <v>0.01949739236198561</v>
      </c>
      <c r="N439" s="160">
        <v>315</v>
      </c>
      <c r="O439" s="161">
        <f t="shared" si="60"/>
        <v>6.141678594025468</v>
      </c>
      <c r="P439" s="161">
        <f t="shared" si="61"/>
        <v>1169.8435417191367</v>
      </c>
      <c r="Q439" s="162">
        <f t="shared" si="62"/>
        <v>368.5007156415281</v>
      </c>
      <c r="S439" s="87"/>
      <c r="T439" s="87"/>
    </row>
    <row r="440" spans="1:20" ht="13.5" customHeight="1">
      <c r="A440" s="939"/>
      <c r="B440" s="35">
        <v>9</v>
      </c>
      <c r="C440" s="796" t="s">
        <v>630</v>
      </c>
      <c r="D440" s="151">
        <v>59</v>
      </c>
      <c r="E440" s="151">
        <v>1995</v>
      </c>
      <c r="F440" s="196">
        <f t="shared" si="58"/>
        <v>81.50999999999999</v>
      </c>
      <c r="G440" s="196">
        <v>6.51</v>
      </c>
      <c r="H440" s="196">
        <v>9.84</v>
      </c>
      <c r="I440" s="196">
        <v>65.16</v>
      </c>
      <c r="J440" s="377">
        <v>3418.34</v>
      </c>
      <c r="K440" s="196">
        <v>65.16</v>
      </c>
      <c r="L440" s="377">
        <v>3339.79</v>
      </c>
      <c r="M440" s="159">
        <f t="shared" si="59"/>
        <v>0.019510208725698322</v>
      </c>
      <c r="N440" s="160">
        <v>315</v>
      </c>
      <c r="O440" s="161">
        <f t="shared" si="60"/>
        <v>6.145715748594972</v>
      </c>
      <c r="P440" s="161">
        <f t="shared" si="61"/>
        <v>1170.6125235418995</v>
      </c>
      <c r="Q440" s="162">
        <f t="shared" si="62"/>
        <v>368.74294491569833</v>
      </c>
      <c r="S440" s="87"/>
      <c r="T440" s="87"/>
    </row>
    <row r="441" spans="1:20" ht="13.5" customHeight="1" thickBot="1">
      <c r="A441" s="940"/>
      <c r="B441" s="38">
        <v>10</v>
      </c>
      <c r="C441" s="797" t="s">
        <v>468</v>
      </c>
      <c r="D441" s="152">
        <v>96</v>
      </c>
      <c r="E441" s="152">
        <v>1983</v>
      </c>
      <c r="F441" s="197">
        <f t="shared" si="58"/>
        <v>94.35</v>
      </c>
      <c r="G441" s="197">
        <v>6.66</v>
      </c>
      <c r="H441" s="197">
        <v>15.2</v>
      </c>
      <c r="I441" s="197">
        <v>72.49</v>
      </c>
      <c r="J441" s="378">
        <v>3696.4</v>
      </c>
      <c r="K441" s="197">
        <v>72.49</v>
      </c>
      <c r="L441" s="378">
        <v>3696.4</v>
      </c>
      <c r="M441" s="191">
        <f t="shared" si="59"/>
        <v>0.019610972838437397</v>
      </c>
      <c r="N441" s="198">
        <v>315</v>
      </c>
      <c r="O441" s="192">
        <f t="shared" si="60"/>
        <v>6.17745644410778</v>
      </c>
      <c r="P441" s="192">
        <f t="shared" si="61"/>
        <v>1176.6583703062438</v>
      </c>
      <c r="Q441" s="193">
        <f t="shared" si="62"/>
        <v>370.64738664646677</v>
      </c>
      <c r="S441" s="87"/>
      <c r="T441" s="87"/>
    </row>
    <row r="442" spans="1:20" ht="12.75">
      <c r="A442" s="956" t="s">
        <v>30</v>
      </c>
      <c r="B442" s="280">
        <v>1</v>
      </c>
      <c r="C442" s="798" t="s">
        <v>631</v>
      </c>
      <c r="D442" s="346">
        <v>32</v>
      </c>
      <c r="E442" s="346">
        <v>1963</v>
      </c>
      <c r="F442" s="511">
        <f t="shared" si="58"/>
        <v>41.92</v>
      </c>
      <c r="G442" s="511">
        <v>0</v>
      </c>
      <c r="H442" s="511">
        <v>0</v>
      </c>
      <c r="I442" s="511">
        <v>41.92</v>
      </c>
      <c r="J442" s="518">
        <v>1402.34</v>
      </c>
      <c r="K442" s="511">
        <v>41.92</v>
      </c>
      <c r="L442" s="518">
        <v>1402.34</v>
      </c>
      <c r="M442" s="493">
        <f t="shared" si="59"/>
        <v>0.029892893306901324</v>
      </c>
      <c r="N442" s="494">
        <v>315</v>
      </c>
      <c r="O442" s="495">
        <f t="shared" si="60"/>
        <v>9.416261391673917</v>
      </c>
      <c r="P442" s="495">
        <f t="shared" si="61"/>
        <v>1793.5735984140795</v>
      </c>
      <c r="Q442" s="496">
        <f t="shared" si="62"/>
        <v>564.9756835004351</v>
      </c>
      <c r="S442" s="87"/>
      <c r="T442" s="87"/>
    </row>
    <row r="443" spans="1:20" ht="12.75">
      <c r="A443" s="957"/>
      <c r="B443" s="232">
        <v>2</v>
      </c>
      <c r="C443" s="799" t="s">
        <v>334</v>
      </c>
      <c r="D443" s="233">
        <v>29</v>
      </c>
      <c r="E443" s="233">
        <v>1962</v>
      </c>
      <c r="F443" s="476">
        <f t="shared" si="58"/>
        <v>38.08</v>
      </c>
      <c r="G443" s="476">
        <v>0</v>
      </c>
      <c r="H443" s="476">
        <v>0</v>
      </c>
      <c r="I443" s="476">
        <v>38.08</v>
      </c>
      <c r="J443" s="478">
        <v>1326.36</v>
      </c>
      <c r="K443" s="476">
        <v>38.08</v>
      </c>
      <c r="L443" s="478">
        <v>1271.96</v>
      </c>
      <c r="M443" s="387">
        <f t="shared" si="59"/>
        <v>0.029938048366300825</v>
      </c>
      <c r="N443" s="494">
        <v>315</v>
      </c>
      <c r="O443" s="373">
        <f t="shared" si="60"/>
        <v>9.43048523538476</v>
      </c>
      <c r="P443" s="373">
        <f t="shared" si="61"/>
        <v>1796.2829019780495</v>
      </c>
      <c r="Q443" s="497">
        <f t="shared" si="62"/>
        <v>565.8291141230857</v>
      </c>
      <c r="S443" s="87"/>
      <c r="T443" s="87"/>
    </row>
    <row r="444" spans="1:20" ht="12.75">
      <c r="A444" s="957"/>
      <c r="B444" s="232">
        <v>3</v>
      </c>
      <c r="C444" s="799" t="s">
        <v>632</v>
      </c>
      <c r="D444" s="233">
        <v>23</v>
      </c>
      <c r="E444" s="233">
        <v>1977</v>
      </c>
      <c r="F444" s="476">
        <f t="shared" si="58"/>
        <v>32.31</v>
      </c>
      <c r="G444" s="476">
        <v>0</v>
      </c>
      <c r="H444" s="476">
        <v>0</v>
      </c>
      <c r="I444" s="476">
        <v>32.31</v>
      </c>
      <c r="J444" s="478">
        <v>1072.88</v>
      </c>
      <c r="K444" s="476">
        <v>32.31</v>
      </c>
      <c r="L444" s="478">
        <v>1072.88</v>
      </c>
      <c r="M444" s="387">
        <f t="shared" si="59"/>
        <v>0.030115203937066588</v>
      </c>
      <c r="N444" s="494">
        <v>315</v>
      </c>
      <c r="O444" s="373">
        <f t="shared" si="60"/>
        <v>9.486289240175974</v>
      </c>
      <c r="P444" s="373">
        <f t="shared" si="61"/>
        <v>1806.9122362239953</v>
      </c>
      <c r="Q444" s="497">
        <f t="shared" si="62"/>
        <v>569.1773544105585</v>
      </c>
      <c r="S444" s="87"/>
      <c r="T444" s="87"/>
    </row>
    <row r="445" spans="1:20" ht="12.75">
      <c r="A445" s="957"/>
      <c r="B445" s="232">
        <v>4</v>
      </c>
      <c r="C445" s="799" t="s">
        <v>474</v>
      </c>
      <c r="D445" s="233">
        <v>45</v>
      </c>
      <c r="E445" s="233">
        <v>1982</v>
      </c>
      <c r="F445" s="476">
        <f t="shared" si="58"/>
        <v>51.75</v>
      </c>
      <c r="G445" s="476">
        <v>3.51</v>
      </c>
      <c r="H445" s="476">
        <v>1.1</v>
      </c>
      <c r="I445" s="476">
        <v>47.14</v>
      </c>
      <c r="J445" s="478">
        <v>1563.22</v>
      </c>
      <c r="K445" s="476">
        <v>47.14</v>
      </c>
      <c r="L445" s="478">
        <v>1563.22</v>
      </c>
      <c r="M445" s="387">
        <f t="shared" si="59"/>
        <v>0.030155704251480918</v>
      </c>
      <c r="N445" s="494">
        <v>315</v>
      </c>
      <c r="O445" s="373">
        <f t="shared" si="60"/>
        <v>9.49904683921649</v>
      </c>
      <c r="P445" s="373">
        <f t="shared" si="61"/>
        <v>1809.3422550888552</v>
      </c>
      <c r="Q445" s="497">
        <f t="shared" si="62"/>
        <v>569.9428103529893</v>
      </c>
      <c r="S445" s="87"/>
      <c r="T445" s="87"/>
    </row>
    <row r="446" spans="1:20" ht="12.75">
      <c r="A446" s="957"/>
      <c r="B446" s="232">
        <v>5</v>
      </c>
      <c r="C446" s="799" t="s">
        <v>633</v>
      </c>
      <c r="D446" s="233">
        <v>12</v>
      </c>
      <c r="E446" s="233">
        <v>1985</v>
      </c>
      <c r="F446" s="476">
        <f t="shared" si="58"/>
        <v>6.63</v>
      </c>
      <c r="G446" s="476">
        <v>0</v>
      </c>
      <c r="H446" s="476">
        <v>0</v>
      </c>
      <c r="I446" s="476">
        <v>6.63</v>
      </c>
      <c r="J446" s="478">
        <v>677.24</v>
      </c>
      <c r="K446" s="476">
        <v>6.63</v>
      </c>
      <c r="L446" s="478">
        <v>218.02</v>
      </c>
      <c r="M446" s="387">
        <f t="shared" si="59"/>
        <v>0.03041005412347491</v>
      </c>
      <c r="N446" s="494">
        <v>315</v>
      </c>
      <c r="O446" s="373">
        <f t="shared" si="60"/>
        <v>9.579167048894597</v>
      </c>
      <c r="P446" s="373">
        <f t="shared" si="61"/>
        <v>1824.6032474084946</v>
      </c>
      <c r="Q446" s="497">
        <f t="shared" si="62"/>
        <v>574.7500229336758</v>
      </c>
      <c r="S446" s="87"/>
      <c r="T446" s="87"/>
    </row>
    <row r="447" spans="1:20" ht="12.75">
      <c r="A447" s="957"/>
      <c r="B447" s="232">
        <v>6</v>
      </c>
      <c r="C447" s="799" t="s">
        <v>471</v>
      </c>
      <c r="D447" s="233">
        <v>32</v>
      </c>
      <c r="E447" s="233">
        <v>1965</v>
      </c>
      <c r="F447" s="476">
        <f t="shared" si="58"/>
        <v>43.76</v>
      </c>
      <c r="G447" s="476">
        <v>0</v>
      </c>
      <c r="H447" s="476">
        <v>0</v>
      </c>
      <c r="I447" s="476">
        <v>43.76</v>
      </c>
      <c r="J447" s="478">
        <v>1419.59</v>
      </c>
      <c r="K447" s="476">
        <v>43.76</v>
      </c>
      <c r="L447" s="478">
        <v>1419.59</v>
      </c>
      <c r="M447" s="387">
        <f t="shared" si="59"/>
        <v>0.030825801816017302</v>
      </c>
      <c r="N447" s="494">
        <v>315</v>
      </c>
      <c r="O447" s="373">
        <f t="shared" si="60"/>
        <v>9.710127572045451</v>
      </c>
      <c r="P447" s="373">
        <f t="shared" si="61"/>
        <v>1849.5481089610382</v>
      </c>
      <c r="Q447" s="497">
        <f t="shared" si="62"/>
        <v>582.6076543227271</v>
      </c>
      <c r="S447" s="87"/>
      <c r="T447" s="87"/>
    </row>
    <row r="448" spans="1:20" ht="12.75">
      <c r="A448" s="957"/>
      <c r="B448" s="232">
        <v>7</v>
      </c>
      <c r="C448" s="799" t="s">
        <v>473</v>
      </c>
      <c r="D448" s="233">
        <v>76</v>
      </c>
      <c r="E448" s="233">
        <v>1973</v>
      </c>
      <c r="F448" s="476">
        <f t="shared" si="58"/>
        <v>75.01</v>
      </c>
      <c r="G448" s="476">
        <v>0</v>
      </c>
      <c r="H448" s="476">
        <v>0</v>
      </c>
      <c r="I448" s="476">
        <v>75.01</v>
      </c>
      <c r="J448" s="478">
        <v>2526.69</v>
      </c>
      <c r="K448" s="476">
        <v>75.01</v>
      </c>
      <c r="L448" s="478">
        <v>2414.23</v>
      </c>
      <c r="M448" s="387">
        <f t="shared" si="59"/>
        <v>0.031069947768025418</v>
      </c>
      <c r="N448" s="494">
        <v>315</v>
      </c>
      <c r="O448" s="373">
        <f t="shared" si="60"/>
        <v>9.787033546928006</v>
      </c>
      <c r="P448" s="373">
        <f t="shared" si="61"/>
        <v>1864.196866081525</v>
      </c>
      <c r="Q448" s="497">
        <f t="shared" si="62"/>
        <v>587.2220128156804</v>
      </c>
      <c r="S448" s="87"/>
      <c r="T448" s="87"/>
    </row>
    <row r="449" spans="1:20" ht="12.75">
      <c r="A449" s="957"/>
      <c r="B449" s="232">
        <v>8</v>
      </c>
      <c r="C449" s="799" t="s">
        <v>634</v>
      </c>
      <c r="D449" s="233">
        <v>29</v>
      </c>
      <c r="E449" s="233">
        <v>1960</v>
      </c>
      <c r="F449" s="476">
        <f t="shared" si="58"/>
        <v>36.97</v>
      </c>
      <c r="G449" s="476">
        <v>0</v>
      </c>
      <c r="H449" s="476">
        <v>0</v>
      </c>
      <c r="I449" s="476">
        <v>36.97</v>
      </c>
      <c r="J449" s="478">
        <v>1187.67</v>
      </c>
      <c r="K449" s="476">
        <v>36.97</v>
      </c>
      <c r="L449" s="478">
        <v>1187.67</v>
      </c>
      <c r="M449" s="387">
        <f t="shared" si="59"/>
        <v>0.03112817533489942</v>
      </c>
      <c r="N449" s="494">
        <v>315</v>
      </c>
      <c r="O449" s="373">
        <f t="shared" si="60"/>
        <v>9.805375230493318</v>
      </c>
      <c r="P449" s="373">
        <f t="shared" si="61"/>
        <v>1867.6905200939652</v>
      </c>
      <c r="Q449" s="497">
        <f t="shared" si="62"/>
        <v>588.3225138295991</v>
      </c>
      <c r="S449" s="87"/>
      <c r="T449" s="87"/>
    </row>
    <row r="450" spans="1:20" ht="12.75">
      <c r="A450" s="957"/>
      <c r="B450" s="232">
        <v>9</v>
      </c>
      <c r="C450" s="799" t="s">
        <v>635</v>
      </c>
      <c r="D450" s="233">
        <v>5</v>
      </c>
      <c r="E450" s="233">
        <v>1957</v>
      </c>
      <c r="F450" s="476">
        <f t="shared" si="58"/>
        <v>7.95</v>
      </c>
      <c r="G450" s="476">
        <v>0.63</v>
      </c>
      <c r="H450" s="476">
        <v>0.12</v>
      </c>
      <c r="I450" s="476">
        <v>7.2</v>
      </c>
      <c r="J450" s="478">
        <v>351.84</v>
      </c>
      <c r="K450" s="476">
        <v>7.2</v>
      </c>
      <c r="L450" s="478">
        <v>227.58</v>
      </c>
      <c r="M450" s="387">
        <f t="shared" si="59"/>
        <v>0.03163722646981281</v>
      </c>
      <c r="N450" s="494">
        <v>315</v>
      </c>
      <c r="O450" s="373">
        <f t="shared" si="60"/>
        <v>9.965726337991036</v>
      </c>
      <c r="P450" s="373">
        <f t="shared" si="61"/>
        <v>1898.2335881887686</v>
      </c>
      <c r="Q450" s="497">
        <f t="shared" si="62"/>
        <v>597.9435802794621</v>
      </c>
      <c r="S450" s="87"/>
      <c r="T450" s="87"/>
    </row>
    <row r="451" spans="1:20" ht="13.5" thickBot="1">
      <c r="A451" s="958"/>
      <c r="B451" s="246">
        <v>10</v>
      </c>
      <c r="C451" s="800" t="s">
        <v>636</v>
      </c>
      <c r="D451" s="405">
        <v>67</v>
      </c>
      <c r="E451" s="405">
        <v>1970</v>
      </c>
      <c r="F451" s="512">
        <f t="shared" si="58"/>
        <v>96.3</v>
      </c>
      <c r="G451" s="512">
        <v>0</v>
      </c>
      <c r="H451" s="512">
        <v>0</v>
      </c>
      <c r="I451" s="512">
        <v>96.3</v>
      </c>
      <c r="J451" s="519">
        <v>3022.05</v>
      </c>
      <c r="K451" s="512">
        <v>96.3</v>
      </c>
      <c r="L451" s="519">
        <v>3022.05</v>
      </c>
      <c r="M451" s="498">
        <f t="shared" si="59"/>
        <v>0.03186578646944954</v>
      </c>
      <c r="N451" s="601">
        <v>315</v>
      </c>
      <c r="O451" s="499">
        <f t="shared" si="60"/>
        <v>10.037722737876607</v>
      </c>
      <c r="P451" s="499">
        <f t="shared" si="61"/>
        <v>1911.9471881669724</v>
      </c>
      <c r="Q451" s="500">
        <f t="shared" si="62"/>
        <v>602.2633642725963</v>
      </c>
      <c r="S451" s="87"/>
      <c r="T451" s="87"/>
    </row>
    <row r="452" spans="1:20" ht="12.75">
      <c r="A452" s="908" t="s">
        <v>12</v>
      </c>
      <c r="B452" s="80">
        <v>1</v>
      </c>
      <c r="C452" s="801" t="s">
        <v>336</v>
      </c>
      <c r="D452" s="240">
        <v>10</v>
      </c>
      <c r="E452" s="240">
        <v>1925</v>
      </c>
      <c r="F452" s="513">
        <f t="shared" si="58"/>
        <v>17.080000000000002</v>
      </c>
      <c r="G452" s="513">
        <v>0.68</v>
      </c>
      <c r="H452" s="513">
        <v>1.52</v>
      </c>
      <c r="I452" s="513">
        <v>14.88</v>
      </c>
      <c r="J452" s="520">
        <v>547.67</v>
      </c>
      <c r="K452" s="513">
        <v>14.88</v>
      </c>
      <c r="L452" s="520">
        <v>458.42</v>
      </c>
      <c r="M452" s="501">
        <f t="shared" si="59"/>
        <v>0.03245931678373544</v>
      </c>
      <c r="N452" s="502">
        <v>315</v>
      </c>
      <c r="O452" s="503">
        <f t="shared" si="60"/>
        <v>10.224684786876663</v>
      </c>
      <c r="P452" s="503">
        <f t="shared" si="61"/>
        <v>1947.5590070241265</v>
      </c>
      <c r="Q452" s="504">
        <f t="shared" si="62"/>
        <v>613.4810872125998</v>
      </c>
      <c r="S452" s="87"/>
      <c r="T452" s="87"/>
    </row>
    <row r="453" spans="1:20" ht="12.75">
      <c r="A453" s="933"/>
      <c r="B453" s="41">
        <v>2</v>
      </c>
      <c r="C453" s="802" t="s">
        <v>637</v>
      </c>
      <c r="D453" s="189">
        <v>6</v>
      </c>
      <c r="E453" s="189">
        <v>1956</v>
      </c>
      <c r="F453" s="312">
        <f t="shared" si="58"/>
        <v>12.5</v>
      </c>
      <c r="G453" s="312">
        <v>0.78</v>
      </c>
      <c r="H453" s="312">
        <v>0.96</v>
      </c>
      <c r="I453" s="312">
        <v>10.76</v>
      </c>
      <c r="J453" s="479">
        <v>327.26</v>
      </c>
      <c r="K453" s="312">
        <v>10.76</v>
      </c>
      <c r="L453" s="479">
        <v>327.26</v>
      </c>
      <c r="M453" s="200">
        <f t="shared" si="59"/>
        <v>0.03287905640774919</v>
      </c>
      <c r="N453" s="201">
        <v>315</v>
      </c>
      <c r="O453" s="208">
        <f t="shared" si="60"/>
        <v>10.356902768440996</v>
      </c>
      <c r="P453" s="208">
        <f t="shared" si="61"/>
        <v>1972.7433844649515</v>
      </c>
      <c r="Q453" s="207">
        <f t="shared" si="62"/>
        <v>621.4141661064597</v>
      </c>
      <c r="S453" s="87"/>
      <c r="T453" s="87"/>
    </row>
    <row r="454" spans="1:20" ht="12.75">
      <c r="A454" s="933"/>
      <c r="B454" s="41">
        <v>3</v>
      </c>
      <c r="C454" s="802" t="s">
        <v>472</v>
      </c>
      <c r="D454" s="189">
        <v>11</v>
      </c>
      <c r="E454" s="189">
        <v>1974</v>
      </c>
      <c r="F454" s="312">
        <f t="shared" si="58"/>
        <v>15.29</v>
      </c>
      <c r="G454" s="312">
        <v>0</v>
      </c>
      <c r="H454" s="312">
        <v>0</v>
      </c>
      <c r="I454" s="312">
        <v>15.29</v>
      </c>
      <c r="J454" s="479">
        <v>1073.96</v>
      </c>
      <c r="K454" s="312">
        <v>15.29</v>
      </c>
      <c r="L454" s="479">
        <v>458.56</v>
      </c>
      <c r="M454" s="200">
        <f t="shared" si="59"/>
        <v>0.033343510118632236</v>
      </c>
      <c r="N454" s="201">
        <v>315</v>
      </c>
      <c r="O454" s="208">
        <f t="shared" si="60"/>
        <v>10.503205687369155</v>
      </c>
      <c r="P454" s="208">
        <f t="shared" si="61"/>
        <v>2000.6106071179343</v>
      </c>
      <c r="Q454" s="207">
        <f t="shared" si="62"/>
        <v>630.1923412421493</v>
      </c>
      <c r="S454" s="87"/>
      <c r="T454" s="87"/>
    </row>
    <row r="455" spans="1:20" ht="12.75">
      <c r="A455" s="933"/>
      <c r="B455" s="41">
        <v>4</v>
      </c>
      <c r="C455" s="802" t="s">
        <v>337</v>
      </c>
      <c r="D455" s="189">
        <v>5</v>
      </c>
      <c r="E455" s="189">
        <v>1923</v>
      </c>
      <c r="F455" s="312">
        <f t="shared" si="58"/>
        <v>6.99</v>
      </c>
      <c r="G455" s="312">
        <v>0</v>
      </c>
      <c r="H455" s="312">
        <v>0</v>
      </c>
      <c r="I455" s="312">
        <v>6.99</v>
      </c>
      <c r="J455" s="479">
        <v>208.38</v>
      </c>
      <c r="K455" s="312">
        <v>6.99</v>
      </c>
      <c r="L455" s="479">
        <v>208.38</v>
      </c>
      <c r="M455" s="200">
        <f t="shared" si="59"/>
        <v>0.033544486035128135</v>
      </c>
      <c r="N455" s="201">
        <v>315</v>
      </c>
      <c r="O455" s="208">
        <f t="shared" si="60"/>
        <v>10.566513101065363</v>
      </c>
      <c r="P455" s="208">
        <f t="shared" si="61"/>
        <v>2012.669162107688</v>
      </c>
      <c r="Q455" s="207">
        <f t="shared" si="62"/>
        <v>633.9907860639217</v>
      </c>
      <c r="S455" s="87"/>
      <c r="T455" s="87"/>
    </row>
    <row r="456" spans="1:20" ht="12.75">
      <c r="A456" s="933"/>
      <c r="B456" s="41">
        <v>5</v>
      </c>
      <c r="C456" s="802" t="s">
        <v>335</v>
      </c>
      <c r="D456" s="189">
        <v>7</v>
      </c>
      <c r="E456" s="189">
        <v>1942</v>
      </c>
      <c r="F456" s="312">
        <f t="shared" si="58"/>
        <v>9.44</v>
      </c>
      <c r="G456" s="312">
        <v>0</v>
      </c>
      <c r="H456" s="312">
        <v>0</v>
      </c>
      <c r="I456" s="312">
        <v>9.44</v>
      </c>
      <c r="J456" s="479">
        <v>280.84</v>
      </c>
      <c r="K456" s="312">
        <v>9.44</v>
      </c>
      <c r="L456" s="479">
        <v>280.84</v>
      </c>
      <c r="M456" s="200">
        <f t="shared" si="59"/>
        <v>0.03361344537815126</v>
      </c>
      <c r="N456" s="201">
        <v>315</v>
      </c>
      <c r="O456" s="208">
        <f t="shared" si="60"/>
        <v>10.588235294117647</v>
      </c>
      <c r="P456" s="208">
        <f t="shared" si="61"/>
        <v>2016.8067226890755</v>
      </c>
      <c r="Q456" s="207">
        <f t="shared" si="62"/>
        <v>635.2941176470588</v>
      </c>
      <c r="S456" s="87"/>
      <c r="T456" s="87"/>
    </row>
    <row r="457" spans="1:20" ht="12.75">
      <c r="A457" s="933"/>
      <c r="B457" s="41">
        <v>6</v>
      </c>
      <c r="C457" s="802" t="s">
        <v>333</v>
      </c>
      <c r="D457" s="189">
        <v>4</v>
      </c>
      <c r="E457" s="189">
        <v>1929</v>
      </c>
      <c r="F457" s="312">
        <f t="shared" si="58"/>
        <v>4.99</v>
      </c>
      <c r="G457" s="312">
        <v>0</v>
      </c>
      <c r="H457" s="312">
        <v>0</v>
      </c>
      <c r="I457" s="312">
        <v>4.99</v>
      </c>
      <c r="J457" s="479">
        <v>147.21</v>
      </c>
      <c r="K457" s="312">
        <v>4.99</v>
      </c>
      <c r="L457" s="479">
        <v>147.21</v>
      </c>
      <c r="M457" s="200">
        <f t="shared" si="59"/>
        <v>0.0338971537259697</v>
      </c>
      <c r="N457" s="201">
        <v>315</v>
      </c>
      <c r="O457" s="208">
        <f t="shared" si="60"/>
        <v>10.677603423680456</v>
      </c>
      <c r="P457" s="208">
        <f t="shared" si="61"/>
        <v>2033.829223558182</v>
      </c>
      <c r="Q457" s="207">
        <f t="shared" si="62"/>
        <v>640.6562054208274</v>
      </c>
      <c r="S457" s="87"/>
      <c r="T457" s="87"/>
    </row>
    <row r="458" spans="1:20" ht="12.75">
      <c r="A458" s="933"/>
      <c r="B458" s="41">
        <v>7</v>
      </c>
      <c r="C458" s="802" t="s">
        <v>340</v>
      </c>
      <c r="D458" s="189">
        <v>14</v>
      </c>
      <c r="E458" s="189">
        <v>1969</v>
      </c>
      <c r="F458" s="312">
        <f t="shared" si="58"/>
        <v>18.84</v>
      </c>
      <c r="G458" s="312">
        <v>0.78</v>
      </c>
      <c r="H458" s="312">
        <v>0.32</v>
      </c>
      <c r="I458" s="312">
        <v>17.74</v>
      </c>
      <c r="J458" s="479">
        <v>500.78</v>
      </c>
      <c r="K458" s="312">
        <v>17.74</v>
      </c>
      <c r="L458" s="479">
        <v>500.78</v>
      </c>
      <c r="M458" s="200">
        <f t="shared" si="59"/>
        <v>0.03542473740964096</v>
      </c>
      <c r="N458" s="201">
        <v>315</v>
      </c>
      <c r="O458" s="208">
        <f t="shared" si="60"/>
        <v>11.158792284036902</v>
      </c>
      <c r="P458" s="208">
        <f t="shared" si="61"/>
        <v>2125.4842445784575</v>
      </c>
      <c r="Q458" s="207">
        <f t="shared" si="62"/>
        <v>669.527537042214</v>
      </c>
      <c r="S458" s="87"/>
      <c r="T458" s="87"/>
    </row>
    <row r="459" spans="1:20" ht="12.75">
      <c r="A459" s="933"/>
      <c r="B459" s="41">
        <v>8</v>
      </c>
      <c r="C459" s="802" t="s">
        <v>338</v>
      </c>
      <c r="D459" s="189">
        <v>8</v>
      </c>
      <c r="E459" s="189">
        <v>1959</v>
      </c>
      <c r="F459" s="312">
        <f t="shared" si="58"/>
        <v>14.24</v>
      </c>
      <c r="G459" s="312">
        <v>0</v>
      </c>
      <c r="H459" s="312">
        <v>0</v>
      </c>
      <c r="I459" s="312">
        <v>14.24</v>
      </c>
      <c r="J459" s="479">
        <v>441.56</v>
      </c>
      <c r="K459" s="312">
        <v>14.24</v>
      </c>
      <c r="L459" s="479">
        <v>400.91</v>
      </c>
      <c r="M459" s="200">
        <f t="shared" si="59"/>
        <v>0.03551919383402759</v>
      </c>
      <c r="N459" s="201">
        <v>315</v>
      </c>
      <c r="O459" s="208">
        <f t="shared" si="60"/>
        <v>11.18854605771869</v>
      </c>
      <c r="P459" s="208">
        <f t="shared" si="61"/>
        <v>2131.151630041655</v>
      </c>
      <c r="Q459" s="207">
        <f t="shared" si="62"/>
        <v>671.3127634631214</v>
      </c>
      <c r="S459" s="87"/>
      <c r="T459" s="87"/>
    </row>
    <row r="460" spans="1:20" ht="12.75">
      <c r="A460" s="933"/>
      <c r="B460" s="41">
        <v>9</v>
      </c>
      <c r="C460" s="803" t="s">
        <v>339</v>
      </c>
      <c r="D460" s="189">
        <v>7</v>
      </c>
      <c r="E460" s="189">
        <v>1964</v>
      </c>
      <c r="F460" s="312">
        <f t="shared" si="58"/>
        <v>11.14</v>
      </c>
      <c r="G460" s="312">
        <v>0</v>
      </c>
      <c r="H460" s="312">
        <v>0</v>
      </c>
      <c r="I460" s="312">
        <v>11.14</v>
      </c>
      <c r="J460" s="479">
        <v>1329.57</v>
      </c>
      <c r="K460" s="312">
        <v>11.14</v>
      </c>
      <c r="L460" s="479">
        <v>296.86</v>
      </c>
      <c r="M460" s="200">
        <f t="shared" si="59"/>
        <v>0.03752610658222731</v>
      </c>
      <c r="N460" s="201">
        <v>315</v>
      </c>
      <c r="O460" s="208">
        <f t="shared" si="60"/>
        <v>11.820723573401603</v>
      </c>
      <c r="P460" s="208">
        <f t="shared" si="61"/>
        <v>2251.5663949336385</v>
      </c>
      <c r="Q460" s="207">
        <f t="shared" si="62"/>
        <v>709.2434144040961</v>
      </c>
      <c r="S460" s="87"/>
      <c r="T460" s="87"/>
    </row>
    <row r="461" spans="1:20" ht="13.5" thickBot="1">
      <c r="A461" s="934"/>
      <c r="B461" s="46">
        <v>10</v>
      </c>
      <c r="C461" s="804" t="s">
        <v>341</v>
      </c>
      <c r="D461" s="242">
        <v>7</v>
      </c>
      <c r="E461" s="242">
        <v>1973</v>
      </c>
      <c r="F461" s="514">
        <f t="shared" si="58"/>
        <v>11.1</v>
      </c>
      <c r="G461" s="514">
        <v>0</v>
      </c>
      <c r="H461" s="514">
        <v>0</v>
      </c>
      <c r="I461" s="514">
        <v>11.1</v>
      </c>
      <c r="J461" s="521">
        <v>246.04</v>
      </c>
      <c r="K461" s="514">
        <v>11.1</v>
      </c>
      <c r="L461" s="521">
        <v>246.04</v>
      </c>
      <c r="M461" s="505">
        <f t="shared" si="59"/>
        <v>0.045114615509673224</v>
      </c>
      <c r="N461" s="791">
        <v>315</v>
      </c>
      <c r="O461" s="507">
        <f t="shared" si="60"/>
        <v>14.211103885547066</v>
      </c>
      <c r="P461" s="507">
        <f t="shared" si="61"/>
        <v>2706.8769305803935</v>
      </c>
      <c r="Q461" s="508">
        <f t="shared" si="62"/>
        <v>852.666233132824</v>
      </c>
      <c r="R461" s="215"/>
      <c r="S461" s="87"/>
      <c r="T461" s="87"/>
    </row>
    <row r="462" spans="3:20" ht="12.75">
      <c r="C462" s="347"/>
      <c r="N462" s="603"/>
      <c r="S462" s="87"/>
      <c r="T462" s="87"/>
    </row>
    <row r="463" spans="1:20" ht="13.5" customHeight="1">
      <c r="A463" s="906" t="s">
        <v>65</v>
      </c>
      <c r="B463" s="906"/>
      <c r="C463" s="906"/>
      <c r="D463" s="906"/>
      <c r="E463" s="906"/>
      <c r="F463" s="906"/>
      <c r="G463" s="906"/>
      <c r="H463" s="906"/>
      <c r="I463" s="906"/>
      <c r="J463" s="906"/>
      <c r="K463" s="906"/>
      <c r="L463" s="906"/>
      <c r="M463" s="906"/>
      <c r="N463" s="906"/>
      <c r="O463" s="906"/>
      <c r="P463" s="906"/>
      <c r="Q463" s="906"/>
      <c r="S463" s="87"/>
      <c r="T463" s="87"/>
    </row>
    <row r="464" spans="1:20" ht="12" customHeight="1" thickBot="1">
      <c r="A464" s="935" t="s">
        <v>639</v>
      </c>
      <c r="B464" s="935"/>
      <c r="C464" s="935"/>
      <c r="D464" s="935"/>
      <c r="E464" s="935"/>
      <c r="F464" s="935"/>
      <c r="G464" s="935"/>
      <c r="H464" s="935"/>
      <c r="I464" s="935"/>
      <c r="J464" s="935"/>
      <c r="K464" s="935"/>
      <c r="L464" s="935"/>
      <c r="M464" s="935"/>
      <c r="N464" s="935"/>
      <c r="O464" s="935"/>
      <c r="P464" s="935"/>
      <c r="Q464" s="935"/>
      <c r="S464" s="87"/>
      <c r="T464" s="87"/>
    </row>
    <row r="465" spans="1:20" ht="12.75" customHeight="1">
      <c r="A465" s="890" t="s">
        <v>1</v>
      </c>
      <c r="B465" s="892" t="s">
        <v>0</v>
      </c>
      <c r="C465" s="888" t="s">
        <v>2</v>
      </c>
      <c r="D465" s="888" t="s">
        <v>3</v>
      </c>
      <c r="E465" s="888" t="s">
        <v>13</v>
      </c>
      <c r="F465" s="896" t="s">
        <v>14</v>
      </c>
      <c r="G465" s="897"/>
      <c r="H465" s="897"/>
      <c r="I465" s="898"/>
      <c r="J465" s="888" t="s">
        <v>4</v>
      </c>
      <c r="K465" s="888" t="s">
        <v>15</v>
      </c>
      <c r="L465" s="888" t="s">
        <v>5</v>
      </c>
      <c r="M465" s="888" t="s">
        <v>6</v>
      </c>
      <c r="N465" s="888" t="s">
        <v>16</v>
      </c>
      <c r="O465" s="949" t="s">
        <v>17</v>
      </c>
      <c r="P465" s="888" t="s">
        <v>25</v>
      </c>
      <c r="Q465" s="878" t="s">
        <v>26</v>
      </c>
      <c r="S465" s="87"/>
      <c r="T465" s="87"/>
    </row>
    <row r="466" spans="1:20" s="2" customFormat="1" ht="33.75">
      <c r="A466" s="891"/>
      <c r="B466" s="893"/>
      <c r="C466" s="894"/>
      <c r="D466" s="889"/>
      <c r="E466" s="889"/>
      <c r="F466" s="36" t="s">
        <v>18</v>
      </c>
      <c r="G466" s="36" t="s">
        <v>19</v>
      </c>
      <c r="H466" s="36" t="s">
        <v>20</v>
      </c>
      <c r="I466" s="36" t="s">
        <v>21</v>
      </c>
      <c r="J466" s="889"/>
      <c r="K466" s="889"/>
      <c r="L466" s="889"/>
      <c r="M466" s="889"/>
      <c r="N466" s="889"/>
      <c r="O466" s="950"/>
      <c r="P466" s="889"/>
      <c r="Q466" s="879"/>
      <c r="S466" s="87"/>
      <c r="T466" s="87"/>
    </row>
    <row r="467" spans="1:20" s="3" customFormat="1" ht="10.5" customHeight="1" thickBot="1">
      <c r="A467" s="945"/>
      <c r="B467" s="946"/>
      <c r="C467" s="895"/>
      <c r="D467" s="59" t="s">
        <v>7</v>
      </c>
      <c r="E467" s="59" t="s">
        <v>8</v>
      </c>
      <c r="F467" s="59" t="s">
        <v>9</v>
      </c>
      <c r="G467" s="59" t="s">
        <v>9</v>
      </c>
      <c r="H467" s="59" t="s">
        <v>9</v>
      </c>
      <c r="I467" s="59" t="s">
        <v>9</v>
      </c>
      <c r="J467" s="59" t="s">
        <v>22</v>
      </c>
      <c r="K467" s="59" t="s">
        <v>9</v>
      </c>
      <c r="L467" s="59" t="s">
        <v>22</v>
      </c>
      <c r="M467" s="59" t="s">
        <v>23</v>
      </c>
      <c r="N467" s="59" t="s">
        <v>10</v>
      </c>
      <c r="O467" s="59" t="s">
        <v>24</v>
      </c>
      <c r="P467" s="60" t="s">
        <v>27</v>
      </c>
      <c r="Q467" s="61" t="s">
        <v>28</v>
      </c>
      <c r="S467" s="87"/>
      <c r="T467" s="87"/>
    </row>
    <row r="468" spans="1:20" s="96" customFormat="1" ht="12.75">
      <c r="A468" s="937" t="s">
        <v>11</v>
      </c>
      <c r="B468" s="325">
        <v>1</v>
      </c>
      <c r="C468" s="410" t="s">
        <v>475</v>
      </c>
      <c r="D468" s="682">
        <v>58</v>
      </c>
      <c r="E468" s="31">
        <v>1975</v>
      </c>
      <c r="F468" s="254">
        <f aca="true" t="shared" si="63" ref="F468:F507">G468+H468+I468</f>
        <v>54.693</v>
      </c>
      <c r="G468" s="523">
        <v>5.4117120000000005</v>
      </c>
      <c r="H468" s="523">
        <v>9.52</v>
      </c>
      <c r="I468" s="523">
        <v>39.761288</v>
      </c>
      <c r="J468" s="532">
        <v>2706.9700000000003</v>
      </c>
      <c r="K468" s="523">
        <v>39.761288</v>
      </c>
      <c r="L468" s="532">
        <v>2706.9700000000003</v>
      </c>
      <c r="M468" s="133">
        <f aca="true" t="shared" si="64" ref="M468:M507">K468/L468</f>
        <v>0.014688484911173746</v>
      </c>
      <c r="N468" s="132">
        <v>314.138</v>
      </c>
      <c r="O468" s="132">
        <f aca="true" t="shared" si="65" ref="O468:O507">M468*N468</f>
        <v>4.614211273026298</v>
      </c>
      <c r="P468" s="132">
        <f aca="true" t="shared" si="66" ref="P468:P507">M468*60*1000</f>
        <v>881.3090946704248</v>
      </c>
      <c r="Q468" s="253">
        <f aca="true" t="shared" si="67" ref="Q468:Q507">P468*N468/1000</f>
        <v>276.85267638157785</v>
      </c>
      <c r="R468" s="100"/>
      <c r="S468" s="87"/>
      <c r="T468" s="87"/>
    </row>
    <row r="469" spans="1:20" s="96" customFormat="1" ht="12.75">
      <c r="A469" s="912"/>
      <c r="B469" s="126">
        <v>2</v>
      </c>
      <c r="C469" s="410" t="s">
        <v>195</v>
      </c>
      <c r="D469" s="682">
        <v>49</v>
      </c>
      <c r="E469" s="31">
        <v>1969</v>
      </c>
      <c r="F469" s="254">
        <f t="shared" si="63"/>
        <v>54.164722</v>
      </c>
      <c r="G469" s="523">
        <v>5.429715</v>
      </c>
      <c r="H469" s="523">
        <v>7.84</v>
      </c>
      <c r="I469" s="523">
        <v>40.895007</v>
      </c>
      <c r="J469" s="532">
        <v>2600.39</v>
      </c>
      <c r="K469" s="523">
        <v>40.895007</v>
      </c>
      <c r="L469" s="532">
        <v>2528.6</v>
      </c>
      <c r="M469" s="133">
        <f t="shared" si="64"/>
        <v>0.0161729838645891</v>
      </c>
      <c r="N469" s="132">
        <v>314.138</v>
      </c>
      <c r="O469" s="132">
        <f t="shared" si="65"/>
        <v>5.08054880525429</v>
      </c>
      <c r="P469" s="132">
        <f t="shared" si="66"/>
        <v>970.3790318753461</v>
      </c>
      <c r="Q469" s="134">
        <f t="shared" si="67"/>
        <v>304.83292831525745</v>
      </c>
      <c r="S469" s="87"/>
      <c r="T469" s="87"/>
    </row>
    <row r="470" spans="1:20" s="96" customFormat="1" ht="12.75">
      <c r="A470" s="912"/>
      <c r="B470" s="126">
        <v>3</v>
      </c>
      <c r="C470" s="410" t="s">
        <v>204</v>
      </c>
      <c r="D470" s="682">
        <v>59</v>
      </c>
      <c r="E470" s="31">
        <v>1974</v>
      </c>
      <c r="F470" s="254">
        <f t="shared" si="63"/>
        <v>59.83899</v>
      </c>
      <c r="G470" s="523">
        <v>5.772945</v>
      </c>
      <c r="H470" s="523">
        <v>9.6</v>
      </c>
      <c r="I470" s="523">
        <v>44.466045</v>
      </c>
      <c r="J470" s="532">
        <v>2729.69</v>
      </c>
      <c r="K470" s="523">
        <v>44.466045</v>
      </c>
      <c r="L470" s="532">
        <v>2729.69</v>
      </c>
      <c r="M470" s="133">
        <f t="shared" si="64"/>
        <v>0.016289778326476632</v>
      </c>
      <c r="N470" s="132">
        <v>314.138</v>
      </c>
      <c r="O470" s="132">
        <f t="shared" si="65"/>
        <v>5.117238383922715</v>
      </c>
      <c r="P470" s="132">
        <f t="shared" si="66"/>
        <v>977.3866995885979</v>
      </c>
      <c r="Q470" s="134">
        <f t="shared" si="67"/>
        <v>307.034303035363</v>
      </c>
      <c r="S470" s="87"/>
      <c r="T470" s="87"/>
    </row>
    <row r="471" spans="1:20" s="96" customFormat="1" ht="12.75" customHeight="1">
      <c r="A471" s="912"/>
      <c r="B471" s="126">
        <v>4</v>
      </c>
      <c r="C471" s="410" t="s">
        <v>202</v>
      </c>
      <c r="D471" s="682">
        <v>39</v>
      </c>
      <c r="E471" s="31">
        <v>1990</v>
      </c>
      <c r="F471" s="254">
        <f t="shared" si="63"/>
        <v>48.754003999999995</v>
      </c>
      <c r="G471" s="523">
        <v>5.645904000000001</v>
      </c>
      <c r="H471" s="523">
        <v>6.24</v>
      </c>
      <c r="I471" s="523">
        <v>36.8681</v>
      </c>
      <c r="J471" s="532">
        <v>2285.64</v>
      </c>
      <c r="K471" s="523">
        <v>36.8681</v>
      </c>
      <c r="L471" s="532">
        <v>2218.03</v>
      </c>
      <c r="M471" s="133">
        <f t="shared" si="64"/>
        <v>0.016622002407541827</v>
      </c>
      <c r="N471" s="132">
        <v>314.138</v>
      </c>
      <c r="O471" s="132">
        <f t="shared" si="65"/>
        <v>5.221602592300374</v>
      </c>
      <c r="P471" s="132">
        <f t="shared" si="66"/>
        <v>997.3201444525096</v>
      </c>
      <c r="Q471" s="134">
        <f t="shared" si="67"/>
        <v>313.2961555380224</v>
      </c>
      <c r="S471" s="87"/>
      <c r="T471" s="87"/>
    </row>
    <row r="472" spans="1:20" s="96" customFormat="1" ht="12.75">
      <c r="A472" s="912"/>
      <c r="B472" s="126">
        <v>5</v>
      </c>
      <c r="C472" s="410" t="s">
        <v>206</v>
      </c>
      <c r="D472" s="682">
        <v>39</v>
      </c>
      <c r="E472" s="31">
        <v>1990</v>
      </c>
      <c r="F472" s="254">
        <f t="shared" si="63"/>
        <v>49.534003</v>
      </c>
      <c r="G472" s="523">
        <v>4.260744000000001</v>
      </c>
      <c r="H472" s="523">
        <v>6.4</v>
      </c>
      <c r="I472" s="523">
        <v>38.873259</v>
      </c>
      <c r="J472" s="532">
        <v>2294.05</v>
      </c>
      <c r="K472" s="523">
        <v>38.873259</v>
      </c>
      <c r="L472" s="532">
        <v>2294.05</v>
      </c>
      <c r="M472" s="133">
        <f t="shared" si="64"/>
        <v>0.016945253590811008</v>
      </c>
      <c r="N472" s="132">
        <v>314.138</v>
      </c>
      <c r="O472" s="132">
        <f t="shared" si="65"/>
        <v>5.323148072510188</v>
      </c>
      <c r="P472" s="132">
        <f t="shared" si="66"/>
        <v>1016.7152154486605</v>
      </c>
      <c r="Q472" s="134">
        <f t="shared" si="67"/>
        <v>319.3888843506113</v>
      </c>
      <c r="S472" s="87"/>
      <c r="T472" s="87"/>
    </row>
    <row r="473" spans="1:20" s="96" customFormat="1" ht="12.75">
      <c r="A473" s="912"/>
      <c r="B473" s="126">
        <v>6</v>
      </c>
      <c r="C473" s="410" t="s">
        <v>198</v>
      </c>
      <c r="D473" s="682">
        <v>30</v>
      </c>
      <c r="E473" s="31">
        <v>1990</v>
      </c>
      <c r="F473" s="254">
        <f t="shared" si="63"/>
        <v>37.008003</v>
      </c>
      <c r="G473" s="523">
        <v>4.6665</v>
      </c>
      <c r="H473" s="523">
        <v>4.8</v>
      </c>
      <c r="I473" s="523">
        <v>27.541503</v>
      </c>
      <c r="J473" s="532">
        <v>1613.04</v>
      </c>
      <c r="K473" s="523">
        <v>27.541503</v>
      </c>
      <c r="L473" s="532">
        <v>1613.04</v>
      </c>
      <c r="M473" s="133">
        <f t="shared" si="64"/>
        <v>0.01707428396072013</v>
      </c>
      <c r="N473" s="132">
        <v>314.138</v>
      </c>
      <c r="O473" s="132">
        <f t="shared" si="65"/>
        <v>5.3636814148527</v>
      </c>
      <c r="P473" s="132">
        <f t="shared" si="66"/>
        <v>1024.4570376432077</v>
      </c>
      <c r="Q473" s="134">
        <f t="shared" si="67"/>
        <v>321.820884891162</v>
      </c>
      <c r="S473" s="87"/>
      <c r="T473" s="87"/>
    </row>
    <row r="474" spans="1:20" s="96" customFormat="1" ht="12.75" customHeight="1">
      <c r="A474" s="912"/>
      <c r="B474" s="126">
        <v>7</v>
      </c>
      <c r="C474" s="410" t="s">
        <v>200</v>
      </c>
      <c r="D474" s="682">
        <v>58</v>
      </c>
      <c r="E474" s="31">
        <v>1991</v>
      </c>
      <c r="F474" s="254">
        <f t="shared" si="63"/>
        <v>55.848001</v>
      </c>
      <c r="G474" s="523">
        <v>3.577395</v>
      </c>
      <c r="H474" s="523">
        <v>9.44</v>
      </c>
      <c r="I474" s="523">
        <v>42.830605999999996</v>
      </c>
      <c r="J474" s="532">
        <v>2439.79</v>
      </c>
      <c r="K474" s="523">
        <v>42.830605999999996</v>
      </c>
      <c r="L474" s="532">
        <v>2439.79</v>
      </c>
      <c r="M474" s="133">
        <f t="shared" si="64"/>
        <v>0.017555037933592643</v>
      </c>
      <c r="N474" s="132">
        <v>314.138</v>
      </c>
      <c r="O474" s="132">
        <f t="shared" si="65"/>
        <v>5.514704506382925</v>
      </c>
      <c r="P474" s="132">
        <f t="shared" si="66"/>
        <v>1053.3022760155586</v>
      </c>
      <c r="Q474" s="134">
        <f t="shared" si="67"/>
        <v>330.8822703829755</v>
      </c>
      <c r="S474" s="87"/>
      <c r="T474" s="87"/>
    </row>
    <row r="475" spans="1:20" s="96" customFormat="1" ht="12.75" customHeight="1">
      <c r="A475" s="912"/>
      <c r="B475" s="126">
        <v>8</v>
      </c>
      <c r="C475" s="410" t="s">
        <v>203</v>
      </c>
      <c r="D475" s="682">
        <v>30</v>
      </c>
      <c r="E475" s="31">
        <v>1974</v>
      </c>
      <c r="F475" s="254">
        <f t="shared" si="63"/>
        <v>38.368003</v>
      </c>
      <c r="G475" s="523">
        <v>2.94117</v>
      </c>
      <c r="H475" s="523">
        <v>4.8</v>
      </c>
      <c r="I475" s="523">
        <v>30.626833</v>
      </c>
      <c r="J475" s="532">
        <v>1743.53</v>
      </c>
      <c r="K475" s="523">
        <v>30.626833</v>
      </c>
      <c r="L475" s="532">
        <v>1743.53</v>
      </c>
      <c r="M475" s="133">
        <f t="shared" si="64"/>
        <v>0.017565991408235018</v>
      </c>
      <c r="N475" s="132">
        <v>314.138</v>
      </c>
      <c r="O475" s="132">
        <f t="shared" si="65"/>
        <v>5.518145409000132</v>
      </c>
      <c r="P475" s="132">
        <f t="shared" si="66"/>
        <v>1053.9594844941012</v>
      </c>
      <c r="Q475" s="134">
        <f t="shared" si="67"/>
        <v>331.08872454000795</v>
      </c>
      <c r="S475" s="87"/>
      <c r="T475" s="87"/>
    </row>
    <row r="476" spans="1:20" s="96" customFormat="1" ht="12.75">
      <c r="A476" s="912"/>
      <c r="B476" s="126">
        <v>9</v>
      </c>
      <c r="C476" s="410" t="s">
        <v>478</v>
      </c>
      <c r="D476" s="682">
        <v>50</v>
      </c>
      <c r="E476" s="31">
        <v>1971</v>
      </c>
      <c r="F476" s="254">
        <f t="shared" si="63"/>
        <v>58.192999</v>
      </c>
      <c r="G476" s="523">
        <v>4.7175</v>
      </c>
      <c r="H476" s="523">
        <v>8</v>
      </c>
      <c r="I476" s="523">
        <v>45.475499</v>
      </c>
      <c r="J476" s="532">
        <v>2564.8</v>
      </c>
      <c r="K476" s="523">
        <v>45.475499</v>
      </c>
      <c r="L476" s="532">
        <v>2564.8</v>
      </c>
      <c r="M476" s="133">
        <f t="shared" si="64"/>
        <v>0.017730621880848407</v>
      </c>
      <c r="N476" s="132">
        <v>314.138</v>
      </c>
      <c r="O476" s="132">
        <f t="shared" si="65"/>
        <v>5.569862096405957</v>
      </c>
      <c r="P476" s="132">
        <f t="shared" si="66"/>
        <v>1063.8373128509045</v>
      </c>
      <c r="Q476" s="134">
        <f t="shared" si="67"/>
        <v>334.1917257843574</v>
      </c>
      <c r="S476" s="87"/>
      <c r="T476" s="87"/>
    </row>
    <row r="477" spans="1:20" s="96" customFormat="1" ht="13.5" thickBot="1">
      <c r="A477" s="913"/>
      <c r="B477" s="127">
        <v>10</v>
      </c>
      <c r="C477" s="411" t="s">
        <v>201</v>
      </c>
      <c r="D477" s="809">
        <v>48</v>
      </c>
      <c r="E477" s="64">
        <v>1970</v>
      </c>
      <c r="F477" s="216">
        <f t="shared" si="63"/>
        <v>57.13229</v>
      </c>
      <c r="G477" s="524">
        <v>4.225758</v>
      </c>
      <c r="H477" s="524">
        <v>7.68</v>
      </c>
      <c r="I477" s="524">
        <v>45.226532</v>
      </c>
      <c r="J477" s="533">
        <v>2597.12</v>
      </c>
      <c r="K477" s="524">
        <v>45.226532</v>
      </c>
      <c r="L477" s="533">
        <v>2461.48</v>
      </c>
      <c r="M477" s="136">
        <f t="shared" si="64"/>
        <v>0.018373715000731268</v>
      </c>
      <c r="N477" s="135">
        <v>314.138</v>
      </c>
      <c r="O477" s="135">
        <f t="shared" si="65"/>
        <v>5.771882082899719</v>
      </c>
      <c r="P477" s="135">
        <f t="shared" si="66"/>
        <v>1102.422900043876</v>
      </c>
      <c r="Q477" s="137">
        <f t="shared" si="67"/>
        <v>346.3129249739831</v>
      </c>
      <c r="S477" s="87"/>
      <c r="T477" s="87"/>
    </row>
    <row r="478" spans="1:20" s="96" customFormat="1" ht="11.25" customHeight="1">
      <c r="A478" s="951" t="s">
        <v>33</v>
      </c>
      <c r="B478" s="326">
        <v>1</v>
      </c>
      <c r="C478" s="805" t="s">
        <v>477</v>
      </c>
      <c r="D478" s="806">
        <v>40</v>
      </c>
      <c r="E478" s="67">
        <v>1986</v>
      </c>
      <c r="F478" s="267">
        <f t="shared" si="63"/>
        <v>53.26600500000001</v>
      </c>
      <c r="G478" s="807">
        <v>4.489479</v>
      </c>
      <c r="H478" s="807">
        <v>6.4</v>
      </c>
      <c r="I478" s="807">
        <v>42.376526000000005</v>
      </c>
      <c r="J478" s="808">
        <v>2285.9500000000003</v>
      </c>
      <c r="K478" s="807">
        <v>42.376526000000005</v>
      </c>
      <c r="L478" s="808">
        <v>2285.9500000000003</v>
      </c>
      <c r="M478" s="147">
        <f t="shared" si="64"/>
        <v>0.018537818412476214</v>
      </c>
      <c r="N478" s="148">
        <v>314.138</v>
      </c>
      <c r="O478" s="148">
        <f t="shared" si="65"/>
        <v>5.823433200458452</v>
      </c>
      <c r="P478" s="148">
        <f t="shared" si="66"/>
        <v>1112.2691047485728</v>
      </c>
      <c r="Q478" s="170">
        <f t="shared" si="67"/>
        <v>349.4059920275071</v>
      </c>
      <c r="S478" s="87"/>
      <c r="T478" s="87"/>
    </row>
    <row r="479" spans="1:20" s="96" customFormat="1" ht="12.75" customHeight="1">
      <c r="A479" s="931"/>
      <c r="B479" s="131">
        <v>2</v>
      </c>
      <c r="C479" s="406" t="s">
        <v>199</v>
      </c>
      <c r="D479" s="638">
        <v>82</v>
      </c>
      <c r="E479" s="35">
        <v>1995</v>
      </c>
      <c r="F479" s="263">
        <f t="shared" si="63"/>
        <v>116.261285</v>
      </c>
      <c r="G479" s="525">
        <v>7.446000000000001</v>
      </c>
      <c r="H479" s="525">
        <v>14.348387</v>
      </c>
      <c r="I479" s="525">
        <v>94.466898</v>
      </c>
      <c r="J479" s="534">
        <v>5060.26</v>
      </c>
      <c r="K479" s="525">
        <v>94.466898</v>
      </c>
      <c r="L479" s="534">
        <v>5009.12</v>
      </c>
      <c r="M479" s="139">
        <f t="shared" si="64"/>
        <v>0.01885898081898617</v>
      </c>
      <c r="N479" s="138">
        <v>314.138</v>
      </c>
      <c r="O479" s="138">
        <f t="shared" si="65"/>
        <v>5.924322516514677</v>
      </c>
      <c r="P479" s="138">
        <f t="shared" si="66"/>
        <v>1131.5388491391702</v>
      </c>
      <c r="Q479" s="168">
        <f t="shared" si="67"/>
        <v>355.45935099088064</v>
      </c>
      <c r="S479" s="87"/>
      <c r="T479" s="87"/>
    </row>
    <row r="480" spans="1:20" s="96" customFormat="1" ht="12.75" customHeight="1">
      <c r="A480" s="931"/>
      <c r="B480" s="131">
        <v>3</v>
      </c>
      <c r="C480" s="406" t="s">
        <v>476</v>
      </c>
      <c r="D480" s="638">
        <v>51</v>
      </c>
      <c r="E480" s="35">
        <v>1972</v>
      </c>
      <c r="F480" s="263">
        <f t="shared" si="63"/>
        <v>62.803996</v>
      </c>
      <c r="G480" s="525">
        <v>5.5845</v>
      </c>
      <c r="H480" s="525">
        <v>8</v>
      </c>
      <c r="I480" s="525">
        <v>49.219496</v>
      </c>
      <c r="J480" s="534">
        <v>2608.15</v>
      </c>
      <c r="K480" s="525">
        <v>49.219496</v>
      </c>
      <c r="L480" s="534">
        <v>2608.15</v>
      </c>
      <c r="M480" s="139">
        <f t="shared" si="64"/>
        <v>0.018871420738837873</v>
      </c>
      <c r="N480" s="138">
        <v>314.138</v>
      </c>
      <c r="O480" s="138">
        <f t="shared" si="65"/>
        <v>5.928230368057052</v>
      </c>
      <c r="P480" s="138">
        <f t="shared" si="66"/>
        <v>1132.2852443302725</v>
      </c>
      <c r="Q480" s="168">
        <f t="shared" si="67"/>
        <v>355.6938220834231</v>
      </c>
      <c r="S480" s="87"/>
      <c r="T480" s="87"/>
    </row>
    <row r="481" spans="1:20" s="96" customFormat="1" ht="12.75" customHeight="1">
      <c r="A481" s="931"/>
      <c r="B481" s="131">
        <v>4</v>
      </c>
      <c r="C481" s="406" t="s">
        <v>196</v>
      </c>
      <c r="D481" s="638">
        <v>50</v>
      </c>
      <c r="E481" s="35">
        <v>1971</v>
      </c>
      <c r="F481" s="263">
        <f t="shared" si="63"/>
        <v>62.749</v>
      </c>
      <c r="G481" s="525">
        <v>5.304</v>
      </c>
      <c r="H481" s="525">
        <v>8</v>
      </c>
      <c r="I481" s="525">
        <v>49.445</v>
      </c>
      <c r="J481" s="534">
        <v>2601.9</v>
      </c>
      <c r="K481" s="525">
        <v>49.445</v>
      </c>
      <c r="L481" s="534">
        <v>2601.9</v>
      </c>
      <c r="M481" s="139">
        <f t="shared" si="64"/>
        <v>0.019003420577270457</v>
      </c>
      <c r="N481" s="138">
        <v>314.138</v>
      </c>
      <c r="O481" s="138">
        <f t="shared" si="65"/>
        <v>5.969696533302587</v>
      </c>
      <c r="P481" s="138">
        <f t="shared" si="66"/>
        <v>1140.2052346362275</v>
      </c>
      <c r="Q481" s="168">
        <f t="shared" si="67"/>
        <v>358.1817919981552</v>
      </c>
      <c r="S481" s="87"/>
      <c r="T481" s="87"/>
    </row>
    <row r="482" spans="1:20" s="96" customFormat="1" ht="12.75" customHeight="1">
      <c r="A482" s="931"/>
      <c r="B482" s="131">
        <v>5</v>
      </c>
      <c r="C482" s="406" t="s">
        <v>197</v>
      </c>
      <c r="D482" s="638">
        <v>25</v>
      </c>
      <c r="E482" s="35">
        <v>1993</v>
      </c>
      <c r="F482" s="263">
        <f t="shared" si="63"/>
        <v>33.073002</v>
      </c>
      <c r="G482" s="525">
        <v>3.103656</v>
      </c>
      <c r="H482" s="525">
        <v>4</v>
      </c>
      <c r="I482" s="525">
        <v>25.969346</v>
      </c>
      <c r="J482" s="534">
        <v>1334.51</v>
      </c>
      <c r="K482" s="525">
        <v>25.969346</v>
      </c>
      <c r="L482" s="534">
        <v>1334.51</v>
      </c>
      <c r="M482" s="139">
        <f t="shared" si="64"/>
        <v>0.019459836194558305</v>
      </c>
      <c r="N482" s="138">
        <v>314.138</v>
      </c>
      <c r="O482" s="138">
        <f t="shared" si="65"/>
        <v>6.113074022486156</v>
      </c>
      <c r="P482" s="138">
        <f t="shared" si="66"/>
        <v>1167.5901716734982</v>
      </c>
      <c r="Q482" s="168">
        <f t="shared" si="67"/>
        <v>366.78444134916936</v>
      </c>
      <c r="S482" s="87"/>
      <c r="T482" s="87"/>
    </row>
    <row r="483" spans="1:20" s="96" customFormat="1" ht="12.75" customHeight="1">
      <c r="A483" s="931"/>
      <c r="B483" s="131">
        <v>6</v>
      </c>
      <c r="C483" s="406" t="s">
        <v>342</v>
      </c>
      <c r="D483" s="638">
        <v>59</v>
      </c>
      <c r="E483" s="35">
        <v>1991</v>
      </c>
      <c r="F483" s="263">
        <f t="shared" si="63"/>
        <v>61.376999999999995</v>
      </c>
      <c r="G483" s="525">
        <v>3.468408</v>
      </c>
      <c r="H483" s="525">
        <v>9.6</v>
      </c>
      <c r="I483" s="525">
        <v>48.308592</v>
      </c>
      <c r="J483" s="534">
        <v>2442.55</v>
      </c>
      <c r="K483" s="525">
        <v>48.308592</v>
      </c>
      <c r="L483" s="534">
        <v>2442.55</v>
      </c>
      <c r="M483" s="139">
        <f t="shared" si="64"/>
        <v>0.019777933716812347</v>
      </c>
      <c r="N483" s="138">
        <v>314.138</v>
      </c>
      <c r="O483" s="138">
        <f t="shared" si="65"/>
        <v>6.213000541931996</v>
      </c>
      <c r="P483" s="138">
        <f t="shared" si="66"/>
        <v>1186.6760230087407</v>
      </c>
      <c r="Q483" s="168">
        <f t="shared" si="67"/>
        <v>372.78003251591974</v>
      </c>
      <c r="S483" s="87"/>
      <c r="T483" s="87"/>
    </row>
    <row r="484" spans="1:20" s="96" customFormat="1" ht="12.75" customHeight="1">
      <c r="A484" s="931"/>
      <c r="B484" s="131">
        <v>7</v>
      </c>
      <c r="C484" s="406" t="s">
        <v>640</v>
      </c>
      <c r="D484" s="638">
        <v>50</v>
      </c>
      <c r="E484" s="35">
        <v>1970</v>
      </c>
      <c r="F484" s="263">
        <f t="shared" si="63"/>
        <v>65.49800200000001</v>
      </c>
      <c r="G484" s="525">
        <v>4.8705</v>
      </c>
      <c r="H484" s="525">
        <v>8</v>
      </c>
      <c r="I484" s="525">
        <v>52.62750200000001</v>
      </c>
      <c r="J484" s="534">
        <v>2636.4700000000003</v>
      </c>
      <c r="K484" s="525">
        <v>52.62750200000001</v>
      </c>
      <c r="L484" s="534">
        <v>2636.4700000000003</v>
      </c>
      <c r="M484" s="139">
        <f t="shared" si="64"/>
        <v>0.01996135059378639</v>
      </c>
      <c r="N484" s="138">
        <v>314.138</v>
      </c>
      <c r="O484" s="138">
        <f t="shared" si="65"/>
        <v>6.270618752830869</v>
      </c>
      <c r="P484" s="138">
        <f t="shared" si="66"/>
        <v>1197.6810356271835</v>
      </c>
      <c r="Q484" s="168">
        <f t="shared" si="67"/>
        <v>376.23712516985216</v>
      </c>
      <c r="S484" s="87"/>
      <c r="T484" s="87"/>
    </row>
    <row r="485" spans="1:20" s="96" customFormat="1" ht="12.75" customHeight="1">
      <c r="A485" s="931"/>
      <c r="B485" s="131">
        <v>8</v>
      </c>
      <c r="C485" s="406" t="s">
        <v>641</v>
      </c>
      <c r="D485" s="638">
        <v>98</v>
      </c>
      <c r="E485" s="35">
        <v>1974</v>
      </c>
      <c r="F485" s="263">
        <f t="shared" si="63"/>
        <v>96.881517</v>
      </c>
      <c r="G485" s="525">
        <v>6.242298</v>
      </c>
      <c r="H485" s="525">
        <v>16</v>
      </c>
      <c r="I485" s="525">
        <v>74.63921900000001</v>
      </c>
      <c r="J485" s="534">
        <v>3705.7000000000003</v>
      </c>
      <c r="K485" s="525">
        <v>74.63921900000001</v>
      </c>
      <c r="L485" s="534">
        <v>3705.7000000000003</v>
      </c>
      <c r="M485" s="139">
        <f t="shared" si="64"/>
        <v>0.020141732736055268</v>
      </c>
      <c r="N485" s="138">
        <v>314.138</v>
      </c>
      <c r="O485" s="138">
        <f t="shared" si="65"/>
        <v>6.32728363823893</v>
      </c>
      <c r="P485" s="138">
        <f t="shared" si="66"/>
        <v>1208.5039641633161</v>
      </c>
      <c r="Q485" s="168">
        <f t="shared" si="67"/>
        <v>379.63701829433575</v>
      </c>
      <c r="S485" s="87"/>
      <c r="T485" s="87"/>
    </row>
    <row r="486" spans="1:20" s="96" customFormat="1" ht="13.5" customHeight="1">
      <c r="A486" s="931"/>
      <c r="B486" s="131">
        <v>9</v>
      </c>
      <c r="C486" s="406" t="s">
        <v>205</v>
      </c>
      <c r="D486" s="638">
        <v>24</v>
      </c>
      <c r="E486" s="35">
        <v>1963</v>
      </c>
      <c r="F486" s="263">
        <f t="shared" si="63"/>
        <v>27.059115000000002</v>
      </c>
      <c r="G486" s="525">
        <v>1.98951</v>
      </c>
      <c r="H486" s="525">
        <v>3.6</v>
      </c>
      <c r="I486" s="525">
        <v>21.469605</v>
      </c>
      <c r="J486" s="534">
        <v>1110.41</v>
      </c>
      <c r="K486" s="525">
        <v>21.469605</v>
      </c>
      <c r="L486" s="534">
        <v>1062.19</v>
      </c>
      <c r="M486" s="139">
        <f t="shared" si="64"/>
        <v>0.02021258437755957</v>
      </c>
      <c r="N486" s="138">
        <v>314.138</v>
      </c>
      <c r="O486" s="138">
        <f t="shared" si="65"/>
        <v>6.349540831197808</v>
      </c>
      <c r="P486" s="138">
        <f t="shared" si="66"/>
        <v>1212.7550626535742</v>
      </c>
      <c r="Q486" s="168">
        <f t="shared" si="67"/>
        <v>380.9724498718685</v>
      </c>
      <c r="S486" s="87"/>
      <c r="T486" s="87"/>
    </row>
    <row r="487" spans="1:20" s="96" customFormat="1" ht="12.75" customHeight="1" thickBot="1">
      <c r="A487" s="952"/>
      <c r="B487" s="327">
        <v>10</v>
      </c>
      <c r="C487" s="407" t="s">
        <v>642</v>
      </c>
      <c r="D487" s="814">
        <v>49</v>
      </c>
      <c r="E487" s="38">
        <v>1984</v>
      </c>
      <c r="F487" s="265">
        <f t="shared" si="63"/>
        <v>62.479474</v>
      </c>
      <c r="G487" s="526">
        <v>3.535422</v>
      </c>
      <c r="H487" s="526">
        <v>7.84</v>
      </c>
      <c r="I487" s="526">
        <v>51.104052</v>
      </c>
      <c r="J487" s="535">
        <v>2586</v>
      </c>
      <c r="K487" s="526">
        <v>51.104052</v>
      </c>
      <c r="L487" s="535">
        <v>2521.39</v>
      </c>
      <c r="M487" s="218">
        <f t="shared" si="64"/>
        <v>0.020268206029214048</v>
      </c>
      <c r="N487" s="171">
        <v>314.138</v>
      </c>
      <c r="O487" s="171">
        <f t="shared" si="65"/>
        <v>6.367013705605242</v>
      </c>
      <c r="P487" s="171">
        <f t="shared" si="66"/>
        <v>1216.0923617528429</v>
      </c>
      <c r="Q487" s="172">
        <f t="shared" si="67"/>
        <v>382.02082233631455</v>
      </c>
      <c r="S487" s="87"/>
      <c r="T487" s="87"/>
    </row>
    <row r="488" spans="1:20" s="96" customFormat="1" ht="12.75">
      <c r="A488" s="921" t="s">
        <v>30</v>
      </c>
      <c r="B488" s="328">
        <v>1</v>
      </c>
      <c r="C488" s="810" t="s">
        <v>207</v>
      </c>
      <c r="D488" s="811">
        <v>23</v>
      </c>
      <c r="E488" s="280">
        <v>1988</v>
      </c>
      <c r="F488" s="348">
        <f t="shared" si="63"/>
        <v>38.509462</v>
      </c>
      <c r="G488" s="812">
        <v>2.7030000000000003</v>
      </c>
      <c r="H488" s="812">
        <v>3.6</v>
      </c>
      <c r="I488" s="812">
        <v>32.206462</v>
      </c>
      <c r="J488" s="813">
        <v>1213.65</v>
      </c>
      <c r="K488" s="812">
        <v>32.206462</v>
      </c>
      <c r="L488" s="813">
        <v>1176.02</v>
      </c>
      <c r="M488" s="286">
        <f t="shared" si="64"/>
        <v>0.027385981530926348</v>
      </c>
      <c r="N488" s="285">
        <v>314.138</v>
      </c>
      <c r="O488" s="285">
        <f t="shared" si="65"/>
        <v>8.602977466162141</v>
      </c>
      <c r="P488" s="285">
        <f t="shared" si="66"/>
        <v>1643.1588918555808</v>
      </c>
      <c r="Q488" s="287">
        <f t="shared" si="67"/>
        <v>516.1786479697284</v>
      </c>
      <c r="S488" s="87"/>
      <c r="T488" s="87"/>
    </row>
    <row r="489" spans="1:20" s="96" customFormat="1" ht="12.75">
      <c r="A489" s="922"/>
      <c r="B489" s="318">
        <v>2</v>
      </c>
      <c r="C489" s="420" t="s">
        <v>343</v>
      </c>
      <c r="D489" s="739">
        <v>16</v>
      </c>
      <c r="E489" s="232">
        <v>1989</v>
      </c>
      <c r="F489" s="288">
        <f t="shared" si="63"/>
        <v>30.356478000000003</v>
      </c>
      <c r="G489" s="527">
        <v>0</v>
      </c>
      <c r="H489" s="527">
        <v>0</v>
      </c>
      <c r="I489" s="527">
        <v>30.356478000000003</v>
      </c>
      <c r="J489" s="536">
        <v>1146.81</v>
      </c>
      <c r="K489" s="527">
        <v>30.356478000000003</v>
      </c>
      <c r="L489" s="536">
        <v>1079.49</v>
      </c>
      <c r="M489" s="290">
        <f t="shared" si="64"/>
        <v>0.028121129422227165</v>
      </c>
      <c r="N489" s="289">
        <v>314.138</v>
      </c>
      <c r="O489" s="289">
        <f t="shared" si="65"/>
        <v>8.833915354439597</v>
      </c>
      <c r="P489" s="289">
        <f t="shared" si="66"/>
        <v>1687.2677653336298</v>
      </c>
      <c r="Q489" s="291">
        <f t="shared" si="67"/>
        <v>530.0349212663757</v>
      </c>
      <c r="S489" s="87"/>
      <c r="T489" s="87"/>
    </row>
    <row r="490" spans="1:20" s="96" customFormat="1" ht="12.75" customHeight="1">
      <c r="A490" s="922"/>
      <c r="B490" s="318">
        <v>3</v>
      </c>
      <c r="C490" s="420" t="s">
        <v>479</v>
      </c>
      <c r="D490" s="739">
        <v>52</v>
      </c>
      <c r="E490" s="232">
        <v>1978</v>
      </c>
      <c r="F490" s="288">
        <f t="shared" si="63"/>
        <v>56.110368</v>
      </c>
      <c r="G490" s="527">
        <v>3.897675</v>
      </c>
      <c r="H490" s="527">
        <v>0</v>
      </c>
      <c r="I490" s="527">
        <v>52.212693</v>
      </c>
      <c r="J490" s="536">
        <v>1875.49</v>
      </c>
      <c r="K490" s="527">
        <v>52.212693</v>
      </c>
      <c r="L490" s="536">
        <v>1789.42</v>
      </c>
      <c r="M490" s="290">
        <f t="shared" si="64"/>
        <v>0.029178556739055114</v>
      </c>
      <c r="N490" s="289">
        <v>314.138</v>
      </c>
      <c r="O490" s="289">
        <f t="shared" si="65"/>
        <v>9.166093456893295</v>
      </c>
      <c r="P490" s="289">
        <f t="shared" si="66"/>
        <v>1750.7134043433068</v>
      </c>
      <c r="Q490" s="291">
        <f t="shared" si="67"/>
        <v>549.9656074135976</v>
      </c>
      <c r="S490" s="87"/>
      <c r="T490" s="87"/>
    </row>
    <row r="491" spans="1:20" s="96" customFormat="1" ht="12.75">
      <c r="A491" s="922"/>
      <c r="B491" s="318">
        <v>4</v>
      </c>
      <c r="C491" s="420" t="s">
        <v>643</v>
      </c>
      <c r="D491" s="739">
        <v>14</v>
      </c>
      <c r="E491" s="232">
        <v>1960</v>
      </c>
      <c r="F491" s="288">
        <f t="shared" si="63"/>
        <v>18.191442</v>
      </c>
      <c r="G491" s="527">
        <v>0.757452</v>
      </c>
      <c r="H491" s="527">
        <v>2.24</v>
      </c>
      <c r="I491" s="527">
        <v>15.19399</v>
      </c>
      <c r="J491" s="536">
        <v>908.95</v>
      </c>
      <c r="K491" s="527">
        <v>15.19399</v>
      </c>
      <c r="L491" s="536">
        <v>518.33</v>
      </c>
      <c r="M491" s="290">
        <f t="shared" si="64"/>
        <v>0.02931335249744371</v>
      </c>
      <c r="N491" s="289">
        <v>314.138</v>
      </c>
      <c r="O491" s="289">
        <f t="shared" si="65"/>
        <v>9.20843792684197</v>
      </c>
      <c r="P491" s="289">
        <f t="shared" si="66"/>
        <v>1758.8011498466226</v>
      </c>
      <c r="Q491" s="291">
        <f t="shared" si="67"/>
        <v>552.5062756105183</v>
      </c>
      <c r="S491" s="87"/>
      <c r="T491" s="87"/>
    </row>
    <row r="492" spans="1:20" s="96" customFormat="1" ht="12.75">
      <c r="A492" s="922"/>
      <c r="B492" s="318">
        <v>5</v>
      </c>
      <c r="C492" s="420" t="s">
        <v>644</v>
      </c>
      <c r="D492" s="739">
        <v>20</v>
      </c>
      <c r="E492" s="232">
        <v>1978</v>
      </c>
      <c r="F492" s="288">
        <f t="shared" si="63"/>
        <v>36.100002</v>
      </c>
      <c r="G492" s="527">
        <v>1.836</v>
      </c>
      <c r="H492" s="527">
        <v>3.2</v>
      </c>
      <c r="I492" s="527">
        <v>31.064002000000002</v>
      </c>
      <c r="J492" s="536">
        <v>1051.1</v>
      </c>
      <c r="K492" s="527">
        <v>31.064002000000002</v>
      </c>
      <c r="L492" s="536">
        <v>1051.1</v>
      </c>
      <c r="M492" s="290">
        <f t="shared" si="64"/>
        <v>0.02955380268290363</v>
      </c>
      <c r="N492" s="289">
        <v>314.138</v>
      </c>
      <c r="O492" s="289">
        <f t="shared" si="65"/>
        <v>9.28397246720198</v>
      </c>
      <c r="P492" s="289">
        <f t="shared" si="66"/>
        <v>1773.2281609742179</v>
      </c>
      <c r="Q492" s="291">
        <f t="shared" si="67"/>
        <v>557.0383480321188</v>
      </c>
      <c r="S492" s="87"/>
      <c r="T492" s="87"/>
    </row>
    <row r="493" spans="1:20" s="96" customFormat="1" ht="12.75">
      <c r="A493" s="922"/>
      <c r="B493" s="318">
        <v>6</v>
      </c>
      <c r="C493" s="420" t="s">
        <v>208</v>
      </c>
      <c r="D493" s="739">
        <v>19</v>
      </c>
      <c r="E493" s="232">
        <v>1980</v>
      </c>
      <c r="F493" s="288">
        <f t="shared" si="63"/>
        <v>32.856569</v>
      </c>
      <c r="G493" s="527">
        <v>1.071</v>
      </c>
      <c r="H493" s="527">
        <v>3.04</v>
      </c>
      <c r="I493" s="527">
        <v>28.745569</v>
      </c>
      <c r="J493" s="536">
        <v>1049.46</v>
      </c>
      <c r="K493" s="527">
        <v>28.745569</v>
      </c>
      <c r="L493" s="536">
        <v>972.23</v>
      </c>
      <c r="M493" s="290">
        <f t="shared" si="64"/>
        <v>0.029566634438353064</v>
      </c>
      <c r="N493" s="289">
        <v>314.138</v>
      </c>
      <c r="O493" s="289">
        <f t="shared" si="65"/>
        <v>9.288003409195355</v>
      </c>
      <c r="P493" s="289">
        <f t="shared" si="66"/>
        <v>1773.9980663011838</v>
      </c>
      <c r="Q493" s="291">
        <f t="shared" si="67"/>
        <v>557.2802045517212</v>
      </c>
      <c r="S493" s="87"/>
      <c r="T493" s="87"/>
    </row>
    <row r="494" spans="1:20" s="96" customFormat="1" ht="12.75">
      <c r="A494" s="922"/>
      <c r="B494" s="318">
        <v>7</v>
      </c>
      <c r="C494" s="420" t="s">
        <v>211</v>
      </c>
      <c r="D494" s="739">
        <v>12</v>
      </c>
      <c r="E494" s="232">
        <v>1976</v>
      </c>
      <c r="F494" s="288">
        <f t="shared" si="63"/>
        <v>16.5</v>
      </c>
      <c r="G494" s="527">
        <v>0.459</v>
      </c>
      <c r="H494" s="527">
        <v>0.11</v>
      </c>
      <c r="I494" s="527">
        <v>15.931</v>
      </c>
      <c r="J494" s="536">
        <v>536.97</v>
      </c>
      <c r="K494" s="527">
        <v>15.931</v>
      </c>
      <c r="L494" s="536">
        <v>536.97</v>
      </c>
      <c r="M494" s="290">
        <f t="shared" si="64"/>
        <v>0.02966832411494124</v>
      </c>
      <c r="N494" s="289">
        <v>314.138</v>
      </c>
      <c r="O494" s="289">
        <f t="shared" si="65"/>
        <v>9.31994800081941</v>
      </c>
      <c r="P494" s="289">
        <f t="shared" si="66"/>
        <v>1780.0994468964743</v>
      </c>
      <c r="Q494" s="291">
        <f t="shared" si="67"/>
        <v>559.1968800491646</v>
      </c>
      <c r="S494" s="87"/>
      <c r="T494" s="87"/>
    </row>
    <row r="495" spans="1:20" s="96" customFormat="1" ht="12.75">
      <c r="A495" s="922"/>
      <c r="B495" s="318">
        <v>8</v>
      </c>
      <c r="C495" s="420" t="s">
        <v>209</v>
      </c>
      <c r="D495" s="739">
        <v>47</v>
      </c>
      <c r="E495" s="232">
        <v>1964</v>
      </c>
      <c r="F495" s="288">
        <f t="shared" si="63"/>
        <v>29.445876000000005</v>
      </c>
      <c r="G495" s="527">
        <v>3.2104500000000002</v>
      </c>
      <c r="H495" s="527">
        <v>0</v>
      </c>
      <c r="I495" s="527">
        <v>26.235426000000004</v>
      </c>
      <c r="J495" s="536">
        <v>1215.63</v>
      </c>
      <c r="K495" s="527">
        <v>26.235426000000004</v>
      </c>
      <c r="L495" s="536">
        <v>863.98</v>
      </c>
      <c r="M495" s="290">
        <f t="shared" si="64"/>
        <v>0.030365779300446774</v>
      </c>
      <c r="N495" s="289">
        <v>314.138</v>
      </c>
      <c r="O495" s="289">
        <f t="shared" si="65"/>
        <v>9.539045177883748</v>
      </c>
      <c r="P495" s="289">
        <f t="shared" si="66"/>
        <v>1821.9467580268065</v>
      </c>
      <c r="Q495" s="291">
        <f t="shared" si="67"/>
        <v>572.3427106730248</v>
      </c>
      <c r="S495" s="87"/>
      <c r="T495" s="87"/>
    </row>
    <row r="496" spans="1:20" s="96" customFormat="1" ht="12.75">
      <c r="A496" s="922"/>
      <c r="B496" s="318">
        <v>9</v>
      </c>
      <c r="C496" s="420" t="s">
        <v>645</v>
      </c>
      <c r="D496" s="739">
        <v>17</v>
      </c>
      <c r="E496" s="232">
        <v>1973</v>
      </c>
      <c r="F496" s="288">
        <f t="shared" si="63"/>
        <v>25.149358</v>
      </c>
      <c r="G496" s="527">
        <v>0.867</v>
      </c>
      <c r="H496" s="527">
        <v>0</v>
      </c>
      <c r="I496" s="527">
        <v>24.282358</v>
      </c>
      <c r="J496" s="536">
        <v>865.9</v>
      </c>
      <c r="K496" s="527">
        <v>24.282358</v>
      </c>
      <c r="L496" s="536">
        <v>798.53</v>
      </c>
      <c r="M496" s="290">
        <f t="shared" si="64"/>
        <v>0.03040882371357369</v>
      </c>
      <c r="N496" s="289">
        <v>314.138</v>
      </c>
      <c r="O496" s="289">
        <f t="shared" si="65"/>
        <v>9.552567063734612</v>
      </c>
      <c r="P496" s="289">
        <f t="shared" si="66"/>
        <v>1824.5294228144217</v>
      </c>
      <c r="Q496" s="291">
        <f t="shared" si="67"/>
        <v>573.1540238240767</v>
      </c>
      <c r="S496" s="87"/>
      <c r="T496" s="87"/>
    </row>
    <row r="497" spans="1:20" s="96" customFormat="1" ht="13.5" thickBot="1">
      <c r="A497" s="924"/>
      <c r="B497" s="329">
        <v>10</v>
      </c>
      <c r="C497" s="421" t="s">
        <v>344</v>
      </c>
      <c r="D497" s="819">
        <v>13</v>
      </c>
      <c r="E497" s="246">
        <v>1968</v>
      </c>
      <c r="F497" s="292">
        <f t="shared" si="63"/>
        <v>15.950159000000001</v>
      </c>
      <c r="G497" s="528">
        <v>0</v>
      </c>
      <c r="H497" s="528">
        <v>0</v>
      </c>
      <c r="I497" s="528">
        <v>15.950159000000001</v>
      </c>
      <c r="J497" s="537">
        <v>1020.08</v>
      </c>
      <c r="K497" s="528">
        <v>15.950159000000001</v>
      </c>
      <c r="L497" s="537">
        <v>514.91</v>
      </c>
      <c r="M497" s="294">
        <f t="shared" si="64"/>
        <v>0.030976595909964853</v>
      </c>
      <c r="N497" s="293">
        <v>314.138</v>
      </c>
      <c r="O497" s="293">
        <f t="shared" si="65"/>
        <v>9.730925885964538</v>
      </c>
      <c r="P497" s="293">
        <f t="shared" si="66"/>
        <v>1858.595754597891</v>
      </c>
      <c r="Q497" s="295">
        <f t="shared" si="67"/>
        <v>583.8555531578722</v>
      </c>
      <c r="S497" s="87"/>
      <c r="T497" s="87"/>
    </row>
    <row r="498" spans="1:20" s="96" customFormat="1" ht="12.75">
      <c r="A498" s="953" t="s">
        <v>12</v>
      </c>
      <c r="B498" s="330">
        <v>1</v>
      </c>
      <c r="C498" s="815" t="s">
        <v>210</v>
      </c>
      <c r="D498" s="816">
        <v>18</v>
      </c>
      <c r="E498" s="80">
        <v>1987</v>
      </c>
      <c r="F498" s="314">
        <f t="shared" si="63"/>
        <v>40.291925000000006</v>
      </c>
      <c r="G498" s="817">
        <v>1.836</v>
      </c>
      <c r="H498" s="817">
        <v>2.8000000000000003</v>
      </c>
      <c r="I498" s="817">
        <v>35.655925</v>
      </c>
      <c r="J498" s="818">
        <v>1157.8700000000001</v>
      </c>
      <c r="K498" s="817">
        <v>35.655925</v>
      </c>
      <c r="L498" s="818">
        <v>1134.7</v>
      </c>
      <c r="M498" s="303">
        <f t="shared" si="64"/>
        <v>0.03142321759055257</v>
      </c>
      <c r="N498" s="304">
        <v>314.138</v>
      </c>
      <c r="O498" s="304">
        <f t="shared" si="65"/>
        <v>9.871226727461002</v>
      </c>
      <c r="P498" s="304">
        <f t="shared" si="66"/>
        <v>1885.3930554331541</v>
      </c>
      <c r="Q498" s="305">
        <f t="shared" si="67"/>
        <v>592.2736036476601</v>
      </c>
      <c r="S498" s="87"/>
      <c r="T498" s="87"/>
    </row>
    <row r="499" spans="1:20" s="96" customFormat="1" ht="12.75">
      <c r="A499" s="954"/>
      <c r="B499" s="331">
        <v>2</v>
      </c>
      <c r="C499" s="422" t="s">
        <v>212</v>
      </c>
      <c r="D499" s="771">
        <v>8</v>
      </c>
      <c r="E499" s="41">
        <v>1972</v>
      </c>
      <c r="F499" s="315">
        <f t="shared" si="63"/>
        <v>14.999999</v>
      </c>
      <c r="G499" s="529">
        <v>0.408</v>
      </c>
      <c r="H499" s="529">
        <v>0.67</v>
      </c>
      <c r="I499" s="529">
        <v>13.921999000000001</v>
      </c>
      <c r="J499" s="538">
        <v>440.39</v>
      </c>
      <c r="K499" s="529">
        <v>13.921999000000001</v>
      </c>
      <c r="L499" s="538">
        <v>440.39</v>
      </c>
      <c r="M499" s="309">
        <f t="shared" si="64"/>
        <v>0.03161288630532029</v>
      </c>
      <c r="N499" s="310">
        <v>314.138</v>
      </c>
      <c r="O499" s="310">
        <f t="shared" si="65"/>
        <v>9.930808878180704</v>
      </c>
      <c r="P499" s="310">
        <f t="shared" si="66"/>
        <v>1896.7731783192173</v>
      </c>
      <c r="Q499" s="311">
        <f t="shared" si="67"/>
        <v>595.8485326908423</v>
      </c>
      <c r="S499" s="87"/>
      <c r="T499" s="87"/>
    </row>
    <row r="500" spans="1:20" s="96" customFormat="1" ht="12.75">
      <c r="A500" s="954"/>
      <c r="B500" s="331">
        <v>3</v>
      </c>
      <c r="C500" s="422" t="s">
        <v>214</v>
      </c>
      <c r="D500" s="771">
        <v>17</v>
      </c>
      <c r="E500" s="41">
        <v>1983</v>
      </c>
      <c r="F500" s="315">
        <f t="shared" si="63"/>
        <v>41.000002</v>
      </c>
      <c r="G500" s="529">
        <v>1.4280000000000002</v>
      </c>
      <c r="H500" s="529">
        <v>2.88</v>
      </c>
      <c r="I500" s="529">
        <v>36.692002</v>
      </c>
      <c r="J500" s="538">
        <v>1153.81</v>
      </c>
      <c r="K500" s="529">
        <v>36.692002</v>
      </c>
      <c r="L500" s="538">
        <v>1153.81</v>
      </c>
      <c r="M500" s="309">
        <f t="shared" si="64"/>
        <v>0.031800731489586676</v>
      </c>
      <c r="N500" s="310">
        <v>314.138</v>
      </c>
      <c r="O500" s="310">
        <f t="shared" si="65"/>
        <v>9.989818188675779</v>
      </c>
      <c r="P500" s="310">
        <f t="shared" si="66"/>
        <v>1908.0438893752005</v>
      </c>
      <c r="Q500" s="311">
        <f t="shared" si="67"/>
        <v>599.3890913205466</v>
      </c>
      <c r="S500" s="87"/>
      <c r="T500" s="87"/>
    </row>
    <row r="501" spans="1:20" s="96" customFormat="1" ht="12.75">
      <c r="A501" s="954"/>
      <c r="B501" s="331">
        <v>4</v>
      </c>
      <c r="C501" s="422" t="s">
        <v>480</v>
      </c>
      <c r="D501" s="771">
        <v>18</v>
      </c>
      <c r="E501" s="41">
        <v>1989</v>
      </c>
      <c r="F501" s="315">
        <f t="shared" si="63"/>
        <v>31.599998000000003</v>
      </c>
      <c r="G501" s="529">
        <v>1.071</v>
      </c>
      <c r="H501" s="529">
        <v>0</v>
      </c>
      <c r="I501" s="529">
        <v>30.528998</v>
      </c>
      <c r="J501" s="538">
        <v>937.87</v>
      </c>
      <c r="K501" s="529">
        <v>30.528998</v>
      </c>
      <c r="L501" s="538">
        <v>937.87</v>
      </c>
      <c r="M501" s="309">
        <f t="shared" si="64"/>
        <v>0.032551417573864184</v>
      </c>
      <c r="N501" s="310">
        <v>314.138</v>
      </c>
      <c r="O501" s="310">
        <f t="shared" si="65"/>
        <v>10.225637213818546</v>
      </c>
      <c r="P501" s="310">
        <f t="shared" si="66"/>
        <v>1953.085054431851</v>
      </c>
      <c r="Q501" s="311">
        <f t="shared" si="67"/>
        <v>613.5382328291128</v>
      </c>
      <c r="S501" s="87"/>
      <c r="T501" s="87"/>
    </row>
    <row r="502" spans="1:20" s="96" customFormat="1" ht="12.75" customHeight="1">
      <c r="A502" s="954"/>
      <c r="B502" s="331">
        <v>5</v>
      </c>
      <c r="C502" s="422" t="s">
        <v>345</v>
      </c>
      <c r="D502" s="771">
        <v>24</v>
      </c>
      <c r="E502" s="41">
        <v>1962</v>
      </c>
      <c r="F502" s="315">
        <f t="shared" si="63"/>
        <v>38.8</v>
      </c>
      <c r="G502" s="529">
        <v>1.479</v>
      </c>
      <c r="H502" s="529">
        <v>0</v>
      </c>
      <c r="I502" s="529">
        <v>37.321</v>
      </c>
      <c r="J502" s="538">
        <v>1108.08</v>
      </c>
      <c r="K502" s="529">
        <v>37.321</v>
      </c>
      <c r="L502" s="538">
        <v>1108.08</v>
      </c>
      <c r="M502" s="309">
        <f t="shared" si="64"/>
        <v>0.03368078117103458</v>
      </c>
      <c r="N502" s="310">
        <v>314.138</v>
      </c>
      <c r="O502" s="310">
        <f t="shared" si="65"/>
        <v>10.58041323550646</v>
      </c>
      <c r="P502" s="310">
        <f t="shared" si="66"/>
        <v>2020.846870262075</v>
      </c>
      <c r="Q502" s="311">
        <f t="shared" si="67"/>
        <v>634.8247941303878</v>
      </c>
      <c r="S502" s="87"/>
      <c r="T502" s="87"/>
    </row>
    <row r="503" spans="1:20" s="96" customFormat="1" ht="12.75">
      <c r="A503" s="954"/>
      <c r="B503" s="331">
        <v>6</v>
      </c>
      <c r="C503" s="422" t="s">
        <v>346</v>
      </c>
      <c r="D503" s="771">
        <v>11</v>
      </c>
      <c r="E503" s="41">
        <v>1976</v>
      </c>
      <c r="F503" s="315">
        <f t="shared" si="63"/>
        <v>17.157023</v>
      </c>
      <c r="G503" s="529">
        <v>0</v>
      </c>
      <c r="H503" s="529">
        <v>0</v>
      </c>
      <c r="I503" s="529">
        <v>17.157023</v>
      </c>
      <c r="J503" s="538">
        <v>543.66</v>
      </c>
      <c r="K503" s="529">
        <v>17.157023</v>
      </c>
      <c r="L503" s="538">
        <v>496.05</v>
      </c>
      <c r="M503" s="309">
        <f t="shared" si="64"/>
        <v>0.034587285555891537</v>
      </c>
      <c r="N503" s="310">
        <v>314.138</v>
      </c>
      <c r="O503" s="310">
        <f t="shared" si="65"/>
        <v>10.865180709956654</v>
      </c>
      <c r="P503" s="310">
        <f t="shared" si="66"/>
        <v>2075.237133353492</v>
      </c>
      <c r="Q503" s="311">
        <f t="shared" si="67"/>
        <v>651.9108425973992</v>
      </c>
      <c r="S503" s="87"/>
      <c r="T503" s="87"/>
    </row>
    <row r="504" spans="1:20" s="96" customFormat="1" ht="12.75" customHeight="1">
      <c r="A504" s="954"/>
      <c r="B504" s="331">
        <v>7</v>
      </c>
      <c r="C504" s="422" t="s">
        <v>213</v>
      </c>
      <c r="D504" s="771">
        <v>12</v>
      </c>
      <c r="E504" s="41">
        <v>1968</v>
      </c>
      <c r="F504" s="315">
        <f t="shared" si="63"/>
        <v>20.000001</v>
      </c>
      <c r="G504" s="529">
        <v>0.561</v>
      </c>
      <c r="H504" s="529">
        <v>0.12</v>
      </c>
      <c r="I504" s="529">
        <v>19.319001</v>
      </c>
      <c r="J504" s="538">
        <v>536.53</v>
      </c>
      <c r="K504" s="529">
        <v>19.319001</v>
      </c>
      <c r="L504" s="538">
        <v>536.53</v>
      </c>
      <c r="M504" s="309">
        <f t="shared" si="64"/>
        <v>0.036007308072242</v>
      </c>
      <c r="N504" s="310">
        <v>314.138</v>
      </c>
      <c r="O504" s="310">
        <f t="shared" si="65"/>
        <v>11.311263743197957</v>
      </c>
      <c r="P504" s="310">
        <f t="shared" si="66"/>
        <v>2160.43848433452</v>
      </c>
      <c r="Q504" s="311">
        <f t="shared" si="67"/>
        <v>678.6758245918774</v>
      </c>
      <c r="S504" s="87"/>
      <c r="T504" s="87"/>
    </row>
    <row r="505" spans="1:20" s="96" customFormat="1" ht="12.75" customHeight="1">
      <c r="A505" s="954"/>
      <c r="B505" s="331">
        <v>8</v>
      </c>
      <c r="C505" s="422" t="s">
        <v>347</v>
      </c>
      <c r="D505" s="771">
        <v>6</v>
      </c>
      <c r="E505" s="41">
        <v>1968</v>
      </c>
      <c r="F505" s="315">
        <f t="shared" si="63"/>
        <v>9.665001</v>
      </c>
      <c r="G505" s="529">
        <v>0</v>
      </c>
      <c r="H505" s="529">
        <v>0</v>
      </c>
      <c r="I505" s="529">
        <v>9.665001</v>
      </c>
      <c r="J505" s="538">
        <v>252.14000000000001</v>
      </c>
      <c r="K505" s="529">
        <v>9.665001</v>
      </c>
      <c r="L505" s="538">
        <v>252.14000000000001</v>
      </c>
      <c r="M505" s="309">
        <f t="shared" si="64"/>
        <v>0.03833188308082811</v>
      </c>
      <c r="N505" s="310">
        <v>314.138</v>
      </c>
      <c r="O505" s="310">
        <f t="shared" si="65"/>
        <v>12.04150108724518</v>
      </c>
      <c r="P505" s="310">
        <f t="shared" si="66"/>
        <v>2299.912984849687</v>
      </c>
      <c r="Q505" s="311">
        <f t="shared" si="67"/>
        <v>722.490065234711</v>
      </c>
      <c r="S505" s="87"/>
      <c r="T505" s="87"/>
    </row>
    <row r="506" spans="1:20" s="96" customFormat="1" ht="12.75" customHeight="1">
      <c r="A506" s="954"/>
      <c r="B506" s="105">
        <v>9</v>
      </c>
      <c r="C506" s="422" t="s">
        <v>481</v>
      </c>
      <c r="D506" s="771">
        <v>6</v>
      </c>
      <c r="E506" s="41">
        <v>1961</v>
      </c>
      <c r="F506" s="315">
        <f t="shared" si="63"/>
        <v>14.988</v>
      </c>
      <c r="G506" s="529">
        <v>0</v>
      </c>
      <c r="H506" s="529">
        <v>0</v>
      </c>
      <c r="I506" s="529">
        <v>14.988</v>
      </c>
      <c r="J506" s="538">
        <v>362.24</v>
      </c>
      <c r="K506" s="529">
        <v>14.988</v>
      </c>
      <c r="L506" s="538">
        <v>362.24</v>
      </c>
      <c r="M506" s="309">
        <f t="shared" si="64"/>
        <v>0.04137588339222615</v>
      </c>
      <c r="N506" s="310">
        <v>314.138</v>
      </c>
      <c r="O506" s="310">
        <f t="shared" si="65"/>
        <v>12.997737257067136</v>
      </c>
      <c r="P506" s="310">
        <f t="shared" si="66"/>
        <v>2482.5530035335687</v>
      </c>
      <c r="Q506" s="311">
        <f t="shared" si="67"/>
        <v>779.8642354240282</v>
      </c>
      <c r="S506" s="87"/>
      <c r="T506" s="87"/>
    </row>
    <row r="507" spans="1:20" s="96" customFormat="1" ht="12.75" customHeight="1" thickBot="1">
      <c r="A507" s="955"/>
      <c r="B507" s="106">
        <v>10</v>
      </c>
      <c r="C507" s="335" t="s">
        <v>348</v>
      </c>
      <c r="D507" s="820">
        <v>5</v>
      </c>
      <c r="E507" s="46">
        <v>1961</v>
      </c>
      <c r="F507" s="316">
        <f t="shared" si="63"/>
        <v>9.913920000000001</v>
      </c>
      <c r="G507" s="531">
        <v>0</v>
      </c>
      <c r="H507" s="531">
        <v>0</v>
      </c>
      <c r="I507" s="531">
        <v>9.913920000000001</v>
      </c>
      <c r="J507" s="539">
        <v>362.23</v>
      </c>
      <c r="K507" s="531">
        <v>9.913920000000001</v>
      </c>
      <c r="L507" s="539">
        <v>223.64000000000001</v>
      </c>
      <c r="M507" s="306">
        <f t="shared" si="64"/>
        <v>0.04432981577535325</v>
      </c>
      <c r="N507" s="307">
        <v>314.138</v>
      </c>
      <c r="O507" s="307">
        <f t="shared" si="65"/>
        <v>13.925679668037917</v>
      </c>
      <c r="P507" s="307">
        <f t="shared" si="66"/>
        <v>2659.788946521195</v>
      </c>
      <c r="Q507" s="308">
        <f t="shared" si="67"/>
        <v>835.5407800822752</v>
      </c>
      <c r="S507" s="87"/>
      <c r="T507" s="87"/>
    </row>
    <row r="508" spans="19:20" ht="12.75">
      <c r="S508" s="87"/>
      <c r="T508" s="87"/>
    </row>
    <row r="509" spans="19:20" ht="12.75">
      <c r="S509" s="87"/>
      <c r="T509" s="87"/>
    </row>
    <row r="510" spans="1:20" ht="15">
      <c r="A510" s="906" t="s">
        <v>66</v>
      </c>
      <c r="B510" s="906"/>
      <c r="C510" s="906"/>
      <c r="D510" s="906"/>
      <c r="E510" s="906"/>
      <c r="F510" s="906"/>
      <c r="G510" s="906"/>
      <c r="H510" s="906"/>
      <c r="I510" s="906"/>
      <c r="J510" s="906"/>
      <c r="K510" s="906"/>
      <c r="L510" s="906"/>
      <c r="M510" s="906"/>
      <c r="N510" s="906"/>
      <c r="O510" s="906"/>
      <c r="P510" s="906"/>
      <c r="Q510" s="906"/>
      <c r="S510" s="87"/>
      <c r="T510" s="87"/>
    </row>
    <row r="511" spans="1:20" ht="13.5" thickBot="1">
      <c r="A511" s="935" t="s">
        <v>646</v>
      </c>
      <c r="B511" s="935"/>
      <c r="C511" s="935"/>
      <c r="D511" s="935"/>
      <c r="E511" s="935"/>
      <c r="F511" s="935"/>
      <c r="G511" s="935"/>
      <c r="H511" s="935"/>
      <c r="I511" s="935"/>
      <c r="J511" s="935"/>
      <c r="K511" s="935"/>
      <c r="L511" s="935"/>
      <c r="M511" s="935"/>
      <c r="N511" s="935"/>
      <c r="O511" s="935"/>
      <c r="P511" s="935"/>
      <c r="Q511" s="935"/>
      <c r="S511" s="87"/>
      <c r="T511" s="87"/>
    </row>
    <row r="512" spans="1:20" ht="12.75" customHeight="1">
      <c r="A512" s="890" t="s">
        <v>1</v>
      </c>
      <c r="B512" s="892" t="s">
        <v>0</v>
      </c>
      <c r="C512" s="888" t="s">
        <v>2</v>
      </c>
      <c r="D512" s="888" t="s">
        <v>3</v>
      </c>
      <c r="E512" s="888" t="s">
        <v>13</v>
      </c>
      <c r="F512" s="896" t="s">
        <v>14</v>
      </c>
      <c r="G512" s="897"/>
      <c r="H512" s="897"/>
      <c r="I512" s="898"/>
      <c r="J512" s="888" t="s">
        <v>4</v>
      </c>
      <c r="K512" s="888" t="s">
        <v>15</v>
      </c>
      <c r="L512" s="888" t="s">
        <v>5</v>
      </c>
      <c r="M512" s="888" t="s">
        <v>6</v>
      </c>
      <c r="N512" s="888" t="s">
        <v>16</v>
      </c>
      <c r="O512" s="949" t="s">
        <v>17</v>
      </c>
      <c r="P512" s="888" t="s">
        <v>25</v>
      </c>
      <c r="Q512" s="878" t="s">
        <v>26</v>
      </c>
      <c r="S512" s="87"/>
      <c r="T512" s="87"/>
    </row>
    <row r="513" spans="1:20" s="2" customFormat="1" ht="33.75">
      <c r="A513" s="891"/>
      <c r="B513" s="893"/>
      <c r="C513" s="894"/>
      <c r="D513" s="889"/>
      <c r="E513" s="889"/>
      <c r="F513" s="36" t="s">
        <v>18</v>
      </c>
      <c r="G513" s="36" t="s">
        <v>19</v>
      </c>
      <c r="H513" s="36" t="s">
        <v>20</v>
      </c>
      <c r="I513" s="36" t="s">
        <v>21</v>
      </c>
      <c r="J513" s="889"/>
      <c r="K513" s="889"/>
      <c r="L513" s="889"/>
      <c r="M513" s="889"/>
      <c r="N513" s="889"/>
      <c r="O513" s="950"/>
      <c r="P513" s="889"/>
      <c r="Q513" s="879"/>
      <c r="S513" s="87"/>
      <c r="T513" s="87"/>
    </row>
    <row r="514" spans="1:20" s="3" customFormat="1" ht="13.5" customHeight="1" thickBot="1">
      <c r="A514" s="891"/>
      <c r="B514" s="893"/>
      <c r="C514" s="895"/>
      <c r="D514" s="59" t="s">
        <v>7</v>
      </c>
      <c r="E514" s="59" t="s">
        <v>8</v>
      </c>
      <c r="F514" s="59" t="s">
        <v>9</v>
      </c>
      <c r="G514" s="59" t="s">
        <v>9</v>
      </c>
      <c r="H514" s="59" t="s">
        <v>9</v>
      </c>
      <c r="I514" s="59" t="s">
        <v>9</v>
      </c>
      <c r="J514" s="59" t="s">
        <v>22</v>
      </c>
      <c r="K514" s="59" t="s">
        <v>9</v>
      </c>
      <c r="L514" s="59" t="s">
        <v>22</v>
      </c>
      <c r="M514" s="59" t="s">
        <v>128</v>
      </c>
      <c r="N514" s="59" t="s">
        <v>10</v>
      </c>
      <c r="O514" s="59" t="s">
        <v>129</v>
      </c>
      <c r="P514" s="60" t="s">
        <v>27</v>
      </c>
      <c r="Q514" s="61" t="s">
        <v>28</v>
      </c>
      <c r="S514" s="87"/>
      <c r="T514" s="87"/>
    </row>
    <row r="515" spans="1:20" ht="12.75">
      <c r="A515" s="947" t="s">
        <v>11</v>
      </c>
      <c r="B515" s="30">
        <v>1</v>
      </c>
      <c r="C515" s="16" t="s">
        <v>215</v>
      </c>
      <c r="D515" s="31">
        <v>50</v>
      </c>
      <c r="E515" s="31">
        <v>1992</v>
      </c>
      <c r="F515" s="249">
        <f>SUM(G515:I515)</f>
        <v>45.903999</v>
      </c>
      <c r="G515" s="146">
        <v>1.896161</v>
      </c>
      <c r="H515" s="146">
        <v>7.84</v>
      </c>
      <c r="I515" s="146">
        <v>36.167838</v>
      </c>
      <c r="J515" s="176">
        <v>2469.68</v>
      </c>
      <c r="K515" s="146">
        <v>36.167838</v>
      </c>
      <c r="L515" s="176">
        <v>2469.68</v>
      </c>
      <c r="M515" s="251">
        <f>K515/L515</f>
        <v>0.014644746687830005</v>
      </c>
      <c r="N515" s="250">
        <v>310.65</v>
      </c>
      <c r="O515" s="252">
        <f>M515*N515</f>
        <v>4.549390558574391</v>
      </c>
      <c r="P515" s="252">
        <f>M515*60*1000</f>
        <v>878.6848012698003</v>
      </c>
      <c r="Q515" s="253">
        <f>P515*N515/1000</f>
        <v>272.9634335144635</v>
      </c>
      <c r="R515" s="6"/>
      <c r="S515" s="87"/>
      <c r="T515" s="87"/>
    </row>
    <row r="516" spans="1:20" ht="12.75">
      <c r="A516" s="928"/>
      <c r="B516" s="31">
        <v>2</v>
      </c>
      <c r="C516" s="16"/>
      <c r="D516" s="176"/>
      <c r="E516" s="176"/>
      <c r="F516" s="254"/>
      <c r="G516" s="254"/>
      <c r="H516" s="254"/>
      <c r="I516" s="254"/>
      <c r="J516" s="176"/>
      <c r="K516" s="254"/>
      <c r="L516" s="176"/>
      <c r="M516" s="133"/>
      <c r="N516" s="132"/>
      <c r="O516" s="132"/>
      <c r="P516" s="132"/>
      <c r="Q516" s="134"/>
      <c r="S516" s="87"/>
      <c r="T516" s="87"/>
    </row>
    <row r="517" spans="1:20" ht="12.75">
      <c r="A517" s="928"/>
      <c r="B517" s="31">
        <v>3</v>
      </c>
      <c r="C517" s="16"/>
      <c r="D517" s="176"/>
      <c r="E517" s="176"/>
      <c r="F517" s="254"/>
      <c r="G517" s="254"/>
      <c r="H517" s="254"/>
      <c r="I517" s="254"/>
      <c r="J517" s="176"/>
      <c r="K517" s="254"/>
      <c r="L517" s="176"/>
      <c r="M517" s="133"/>
      <c r="N517" s="132"/>
      <c r="O517" s="132"/>
      <c r="P517" s="132"/>
      <c r="Q517" s="134"/>
      <c r="S517" s="87"/>
      <c r="T517" s="87"/>
    </row>
    <row r="518" spans="1:20" ht="12.75">
      <c r="A518" s="928"/>
      <c r="B518" s="31">
        <v>4</v>
      </c>
      <c r="C518" s="16"/>
      <c r="D518" s="176"/>
      <c r="E518" s="176"/>
      <c r="F518" s="254"/>
      <c r="G518" s="254"/>
      <c r="H518" s="254"/>
      <c r="I518" s="254"/>
      <c r="J518" s="176"/>
      <c r="K518" s="254"/>
      <c r="L518" s="176"/>
      <c r="M518" s="133"/>
      <c r="N518" s="132"/>
      <c r="O518" s="132"/>
      <c r="P518" s="132"/>
      <c r="Q518" s="134"/>
      <c r="S518" s="87"/>
      <c r="T518" s="87"/>
    </row>
    <row r="519" spans="1:20" ht="12.75">
      <c r="A519" s="928"/>
      <c r="B519" s="31">
        <v>5</v>
      </c>
      <c r="C519" s="16"/>
      <c r="D519" s="176"/>
      <c r="E519" s="176"/>
      <c r="F519" s="254"/>
      <c r="G519" s="254"/>
      <c r="H519" s="254"/>
      <c r="I519" s="254"/>
      <c r="J519" s="176"/>
      <c r="K519" s="254"/>
      <c r="L519" s="176"/>
      <c r="M519" s="133"/>
      <c r="N519" s="132"/>
      <c r="O519" s="132"/>
      <c r="P519" s="132"/>
      <c r="Q519" s="134"/>
      <c r="S519" s="87"/>
      <c r="T519" s="87"/>
    </row>
    <row r="520" spans="1:20" ht="12.75">
      <c r="A520" s="928"/>
      <c r="B520" s="31">
        <v>6</v>
      </c>
      <c r="C520" s="16"/>
      <c r="D520" s="174"/>
      <c r="E520" s="176"/>
      <c r="F520" s="254"/>
      <c r="G520" s="254"/>
      <c r="H520" s="254"/>
      <c r="I520" s="254"/>
      <c r="J520" s="176"/>
      <c r="K520" s="254"/>
      <c r="L520" s="176"/>
      <c r="M520" s="133"/>
      <c r="N520" s="132"/>
      <c r="O520" s="132"/>
      <c r="P520" s="132"/>
      <c r="Q520" s="134"/>
      <c r="S520" s="87"/>
      <c r="T520" s="87"/>
    </row>
    <row r="521" spans="1:20" ht="12.75">
      <c r="A521" s="928"/>
      <c r="B521" s="31">
        <v>7</v>
      </c>
      <c r="C521" s="16"/>
      <c r="D521" s="174"/>
      <c r="E521" s="176"/>
      <c r="F521" s="254"/>
      <c r="G521" s="254"/>
      <c r="H521" s="254"/>
      <c r="I521" s="254"/>
      <c r="J521" s="176"/>
      <c r="K521" s="254"/>
      <c r="L521" s="176"/>
      <c r="M521" s="133"/>
      <c r="N521" s="132"/>
      <c r="O521" s="132"/>
      <c r="P521" s="132"/>
      <c r="Q521" s="134"/>
      <c r="S521" s="87"/>
      <c r="T521" s="87"/>
    </row>
    <row r="522" spans="1:20" ht="12.75">
      <c r="A522" s="928"/>
      <c r="B522" s="31">
        <v>8</v>
      </c>
      <c r="C522" s="16"/>
      <c r="D522" s="174"/>
      <c r="E522" s="176"/>
      <c r="F522" s="254"/>
      <c r="G522" s="254"/>
      <c r="H522" s="254"/>
      <c r="I522" s="254"/>
      <c r="J522" s="176"/>
      <c r="K522" s="254"/>
      <c r="L522" s="176"/>
      <c r="M522" s="133"/>
      <c r="N522" s="132"/>
      <c r="O522" s="132"/>
      <c r="P522" s="132"/>
      <c r="Q522" s="134"/>
      <c r="S522" s="87"/>
      <c r="T522" s="87"/>
    </row>
    <row r="523" spans="1:20" ht="12.75">
      <c r="A523" s="928"/>
      <c r="B523" s="31">
        <v>9</v>
      </c>
      <c r="C523" s="16"/>
      <c r="D523" s="174"/>
      <c r="E523" s="176"/>
      <c r="F523" s="254"/>
      <c r="G523" s="254"/>
      <c r="H523" s="254"/>
      <c r="I523" s="254"/>
      <c r="J523" s="176"/>
      <c r="K523" s="254"/>
      <c r="L523" s="176"/>
      <c r="M523" s="133"/>
      <c r="N523" s="132"/>
      <c r="O523" s="132"/>
      <c r="P523" s="132"/>
      <c r="Q523" s="134"/>
      <c r="S523" s="87"/>
      <c r="T523" s="87"/>
    </row>
    <row r="524" spans="1:20" ht="13.5" thickBot="1">
      <c r="A524" s="929"/>
      <c r="B524" s="64" t="s">
        <v>44</v>
      </c>
      <c r="C524" s="16"/>
      <c r="D524" s="174"/>
      <c r="E524" s="174"/>
      <c r="F524" s="254"/>
      <c r="G524" s="254"/>
      <c r="H524" s="254"/>
      <c r="I524" s="254"/>
      <c r="J524" s="176"/>
      <c r="K524" s="254"/>
      <c r="L524" s="176"/>
      <c r="M524" s="136"/>
      <c r="N524" s="135"/>
      <c r="O524" s="135"/>
      <c r="P524" s="135"/>
      <c r="Q524" s="137"/>
      <c r="S524" s="87"/>
      <c r="T524" s="87"/>
    </row>
    <row r="525" spans="1:20" ht="11.25" customHeight="1">
      <c r="A525" s="942" t="s">
        <v>29</v>
      </c>
      <c r="B525" s="33">
        <v>1</v>
      </c>
      <c r="C525" s="32" t="s">
        <v>484</v>
      </c>
      <c r="D525" s="33">
        <v>20</v>
      </c>
      <c r="E525" s="33">
        <v>1987</v>
      </c>
      <c r="F525" s="262">
        <f aca="true" t="shared" si="68" ref="F525:F552">SUM(G525:I525)</f>
        <v>29.200000000000003</v>
      </c>
      <c r="G525" s="262">
        <v>3.367202</v>
      </c>
      <c r="H525" s="262">
        <v>3.2</v>
      </c>
      <c r="I525" s="262">
        <v>22.632798</v>
      </c>
      <c r="J525" s="432">
        <v>1076.16</v>
      </c>
      <c r="K525" s="262">
        <v>22.632798</v>
      </c>
      <c r="L525" s="432">
        <v>1076.16</v>
      </c>
      <c r="M525" s="147">
        <f aca="true" t="shared" si="69" ref="M525:M552">K525/L525</f>
        <v>0.021031071587867975</v>
      </c>
      <c r="N525" s="148">
        <v>310.65</v>
      </c>
      <c r="O525" s="148">
        <f aca="true" t="shared" si="70" ref="O525:O552">M525*N525</f>
        <v>6.533302388771186</v>
      </c>
      <c r="P525" s="148">
        <f aca="true" t="shared" si="71" ref="P525:P552">M525*60*1000</f>
        <v>1261.8642952720784</v>
      </c>
      <c r="Q525" s="170">
        <f aca="true" t="shared" si="72" ref="Q525:Q552">P525*N525/1000</f>
        <v>391.9981433262711</v>
      </c>
      <c r="S525" s="87"/>
      <c r="T525" s="87"/>
    </row>
    <row r="526" spans="1:20" ht="12.75" customHeight="1">
      <c r="A526" s="943"/>
      <c r="B526" s="35">
        <v>2</v>
      </c>
      <c r="C526" s="34" t="s">
        <v>218</v>
      </c>
      <c r="D526" s="35">
        <v>13</v>
      </c>
      <c r="E526" s="35">
        <v>1981</v>
      </c>
      <c r="F526" s="263">
        <f t="shared" si="68"/>
        <v>19.689999999999998</v>
      </c>
      <c r="G526" s="263">
        <v>2.09313</v>
      </c>
      <c r="H526" s="263">
        <v>1.92</v>
      </c>
      <c r="I526" s="263">
        <v>15.67687</v>
      </c>
      <c r="J526" s="118">
        <v>729.29</v>
      </c>
      <c r="K526" s="263">
        <v>15.67687</v>
      </c>
      <c r="L526" s="118">
        <v>729.29</v>
      </c>
      <c r="M526" s="147">
        <f t="shared" si="69"/>
        <v>0.021496071521616915</v>
      </c>
      <c r="N526" s="148">
        <v>310.65</v>
      </c>
      <c r="O526" s="148">
        <f t="shared" si="70"/>
        <v>6.677754618190294</v>
      </c>
      <c r="P526" s="148">
        <f t="shared" si="71"/>
        <v>1289.7642912970148</v>
      </c>
      <c r="Q526" s="170">
        <f t="shared" si="72"/>
        <v>400.66527709141764</v>
      </c>
      <c r="S526" s="87"/>
      <c r="T526" s="87"/>
    </row>
    <row r="527" spans="1:20" ht="12.75" customHeight="1">
      <c r="A527" s="943"/>
      <c r="B527" s="35">
        <v>3</v>
      </c>
      <c r="C527" s="34" t="s">
        <v>483</v>
      </c>
      <c r="D527" s="35">
        <v>32</v>
      </c>
      <c r="E527" s="35">
        <v>1987</v>
      </c>
      <c r="F527" s="263">
        <f t="shared" si="68"/>
        <v>47.535</v>
      </c>
      <c r="G527" s="263">
        <v>3.05919</v>
      </c>
      <c r="H527" s="263">
        <v>5.12</v>
      </c>
      <c r="I527" s="263">
        <v>39.35581</v>
      </c>
      <c r="J527" s="118">
        <v>1817.72</v>
      </c>
      <c r="K527" s="263">
        <v>39.35581</v>
      </c>
      <c r="L527" s="118">
        <v>1817.72</v>
      </c>
      <c r="M527" s="139">
        <f t="shared" si="69"/>
        <v>0.021651194903505488</v>
      </c>
      <c r="N527" s="148">
        <v>310.65</v>
      </c>
      <c r="O527" s="148">
        <f t="shared" si="70"/>
        <v>6.725943696773979</v>
      </c>
      <c r="P527" s="148">
        <f t="shared" si="71"/>
        <v>1299.0716942103293</v>
      </c>
      <c r="Q527" s="168">
        <f t="shared" si="72"/>
        <v>403.5566218064388</v>
      </c>
      <c r="S527" s="87"/>
      <c r="T527" s="87"/>
    </row>
    <row r="528" spans="1:20" ht="12.75" customHeight="1">
      <c r="A528" s="943"/>
      <c r="B528" s="35">
        <v>4</v>
      </c>
      <c r="C528" s="34" t="s">
        <v>216</v>
      </c>
      <c r="D528" s="35">
        <v>12</v>
      </c>
      <c r="E528" s="35">
        <v>1979</v>
      </c>
      <c r="F528" s="263">
        <f t="shared" si="68"/>
        <v>18.4467</v>
      </c>
      <c r="G528" s="263">
        <v>0.939225</v>
      </c>
      <c r="H528" s="263">
        <v>1.84</v>
      </c>
      <c r="I528" s="263">
        <v>15.667475</v>
      </c>
      <c r="J528" s="118">
        <v>715.63</v>
      </c>
      <c r="K528" s="263">
        <v>15.667475</v>
      </c>
      <c r="L528" s="118">
        <v>715.63</v>
      </c>
      <c r="M528" s="139">
        <f t="shared" si="69"/>
        <v>0.021893261881139693</v>
      </c>
      <c r="N528" s="148">
        <v>310.65</v>
      </c>
      <c r="O528" s="138">
        <f t="shared" si="70"/>
        <v>6.801141803376045</v>
      </c>
      <c r="P528" s="148">
        <f t="shared" si="71"/>
        <v>1313.5957128683815</v>
      </c>
      <c r="Q528" s="168">
        <f t="shared" si="72"/>
        <v>408.06850820256267</v>
      </c>
      <c r="S528" s="87"/>
      <c r="T528" s="87"/>
    </row>
    <row r="529" spans="1:20" ht="12.75" customHeight="1">
      <c r="A529" s="943"/>
      <c r="B529" s="35">
        <v>5</v>
      </c>
      <c r="C529" s="34" t="s">
        <v>352</v>
      </c>
      <c r="D529" s="35">
        <v>17</v>
      </c>
      <c r="E529" s="35">
        <v>1962</v>
      </c>
      <c r="F529" s="263">
        <f t="shared" si="68"/>
        <v>17.98</v>
      </c>
      <c r="G529" s="263"/>
      <c r="H529" s="263"/>
      <c r="I529" s="263">
        <v>17.98</v>
      </c>
      <c r="J529" s="118">
        <v>821.23</v>
      </c>
      <c r="K529" s="263">
        <v>17.98</v>
      </c>
      <c r="L529" s="118">
        <v>821.23</v>
      </c>
      <c r="M529" s="139">
        <f t="shared" si="69"/>
        <v>0.021893988285863888</v>
      </c>
      <c r="N529" s="148">
        <v>310.65</v>
      </c>
      <c r="O529" s="138">
        <f t="shared" si="70"/>
        <v>6.8013674610036166</v>
      </c>
      <c r="P529" s="148">
        <f t="shared" si="71"/>
        <v>1313.6392971518333</v>
      </c>
      <c r="Q529" s="168">
        <f t="shared" si="72"/>
        <v>408.082047660217</v>
      </c>
      <c r="S529" s="87"/>
      <c r="T529" s="87"/>
    </row>
    <row r="530" spans="1:20" ht="12.75" customHeight="1">
      <c r="A530" s="943"/>
      <c r="B530" s="35">
        <v>6</v>
      </c>
      <c r="C530" s="34" t="s">
        <v>349</v>
      </c>
      <c r="D530" s="35">
        <v>46</v>
      </c>
      <c r="E530" s="35">
        <v>1990</v>
      </c>
      <c r="F530" s="263">
        <f t="shared" si="68"/>
        <v>68.312</v>
      </c>
      <c r="G530" s="263">
        <v>4.18626</v>
      </c>
      <c r="H530" s="263">
        <v>7.36</v>
      </c>
      <c r="I530" s="263">
        <v>56.76574</v>
      </c>
      <c r="J530" s="118">
        <v>2558.37</v>
      </c>
      <c r="K530" s="263">
        <v>56.76574</v>
      </c>
      <c r="L530" s="118">
        <v>2558.37</v>
      </c>
      <c r="M530" s="139">
        <f t="shared" si="69"/>
        <v>0.02218824485903134</v>
      </c>
      <c r="N530" s="148">
        <v>310.65</v>
      </c>
      <c r="O530" s="138">
        <f t="shared" si="70"/>
        <v>6.892778265458085</v>
      </c>
      <c r="P530" s="148">
        <f t="shared" si="71"/>
        <v>1331.2946915418804</v>
      </c>
      <c r="Q530" s="168">
        <f t="shared" si="72"/>
        <v>413.5666959274851</v>
      </c>
      <c r="S530" s="87"/>
      <c r="T530" s="87"/>
    </row>
    <row r="531" spans="1:20" ht="12.75" customHeight="1">
      <c r="A531" s="943"/>
      <c r="B531" s="35">
        <v>7</v>
      </c>
      <c r="C531" s="34" t="s">
        <v>219</v>
      </c>
      <c r="D531" s="35">
        <v>32</v>
      </c>
      <c r="E531" s="35">
        <v>1974</v>
      </c>
      <c r="F531" s="263">
        <f t="shared" si="68"/>
        <v>49.919999999999995</v>
      </c>
      <c r="G531" s="263">
        <v>3.247035</v>
      </c>
      <c r="H531" s="263">
        <v>4.96</v>
      </c>
      <c r="I531" s="263">
        <v>41.712965</v>
      </c>
      <c r="J531" s="118">
        <v>1820.68</v>
      </c>
      <c r="K531" s="263">
        <v>41.712965</v>
      </c>
      <c r="L531" s="118">
        <v>1820.68</v>
      </c>
      <c r="M531" s="139">
        <f t="shared" si="69"/>
        <v>0.022910651514818636</v>
      </c>
      <c r="N531" s="148">
        <v>310.65</v>
      </c>
      <c r="O531" s="138">
        <f t="shared" si="70"/>
        <v>7.117193893078409</v>
      </c>
      <c r="P531" s="148">
        <f t="shared" si="71"/>
        <v>1374.6390908891183</v>
      </c>
      <c r="Q531" s="168">
        <f t="shared" si="72"/>
        <v>427.03163358470454</v>
      </c>
      <c r="S531" s="87"/>
      <c r="T531" s="87"/>
    </row>
    <row r="532" spans="1:20" ht="12.75" customHeight="1">
      <c r="A532" s="943"/>
      <c r="B532" s="35">
        <v>8</v>
      </c>
      <c r="C532" s="34" t="s">
        <v>482</v>
      </c>
      <c r="D532" s="35">
        <v>12</v>
      </c>
      <c r="E532" s="35">
        <v>1979</v>
      </c>
      <c r="F532" s="263">
        <f t="shared" si="68"/>
        <v>19.846366000000003</v>
      </c>
      <c r="G532" s="263">
        <v>1.18074</v>
      </c>
      <c r="H532" s="263">
        <v>1.92</v>
      </c>
      <c r="I532" s="263">
        <v>16.745626</v>
      </c>
      <c r="J532" s="118">
        <v>708.3</v>
      </c>
      <c r="K532" s="263">
        <v>16.745626</v>
      </c>
      <c r="L532" s="118">
        <v>708.3</v>
      </c>
      <c r="M532" s="139">
        <f t="shared" si="69"/>
        <v>0.023641996329239027</v>
      </c>
      <c r="N532" s="148">
        <v>310.65</v>
      </c>
      <c r="O532" s="138">
        <f t="shared" si="70"/>
        <v>7.344386159678103</v>
      </c>
      <c r="P532" s="148">
        <f t="shared" si="71"/>
        <v>1418.5197797543417</v>
      </c>
      <c r="Q532" s="168">
        <f t="shared" si="72"/>
        <v>440.6631695806862</v>
      </c>
      <c r="S532" s="87"/>
      <c r="T532" s="87"/>
    </row>
    <row r="533" spans="1:20" ht="13.5" customHeight="1">
      <c r="A533" s="943"/>
      <c r="B533" s="35">
        <v>9</v>
      </c>
      <c r="C533" s="34" t="s">
        <v>354</v>
      </c>
      <c r="D533" s="35">
        <v>22</v>
      </c>
      <c r="E533" s="35">
        <v>1974</v>
      </c>
      <c r="F533" s="263">
        <f t="shared" si="68"/>
        <v>25.191</v>
      </c>
      <c r="G533" s="263"/>
      <c r="H533" s="263"/>
      <c r="I533" s="263">
        <v>25.191</v>
      </c>
      <c r="J533" s="118">
        <v>1064.69</v>
      </c>
      <c r="K533" s="263">
        <v>25.191</v>
      </c>
      <c r="L533" s="118">
        <v>1064.69</v>
      </c>
      <c r="M533" s="139">
        <f t="shared" si="69"/>
        <v>0.023660408193934383</v>
      </c>
      <c r="N533" s="148">
        <v>310.65</v>
      </c>
      <c r="O533" s="138">
        <f t="shared" si="70"/>
        <v>7.350105805445716</v>
      </c>
      <c r="P533" s="148">
        <f t="shared" si="71"/>
        <v>1419.6244916360629</v>
      </c>
      <c r="Q533" s="168">
        <f t="shared" si="72"/>
        <v>441.0063483267429</v>
      </c>
      <c r="S533" s="87"/>
      <c r="T533" s="87"/>
    </row>
    <row r="534" spans="1:20" ht="13.5" customHeight="1" thickBot="1">
      <c r="A534" s="944"/>
      <c r="B534" s="90"/>
      <c r="C534" s="83" t="s">
        <v>227</v>
      </c>
      <c r="D534" s="38">
        <v>13</v>
      </c>
      <c r="E534" s="38">
        <v>1959</v>
      </c>
      <c r="F534" s="265">
        <f t="shared" si="68"/>
        <v>13.5189</v>
      </c>
      <c r="G534" s="265"/>
      <c r="H534" s="265"/>
      <c r="I534" s="265">
        <v>13.5189</v>
      </c>
      <c r="J534" s="184">
        <v>562.28</v>
      </c>
      <c r="K534" s="265">
        <v>13.5189</v>
      </c>
      <c r="L534" s="184">
        <v>562.28</v>
      </c>
      <c r="M534" s="218">
        <f t="shared" si="69"/>
        <v>0.024043003485807783</v>
      </c>
      <c r="N534" s="171">
        <v>310.65</v>
      </c>
      <c r="O534" s="171">
        <f t="shared" si="70"/>
        <v>7.468959032866187</v>
      </c>
      <c r="P534" s="171">
        <f t="shared" si="71"/>
        <v>1442.580209148467</v>
      </c>
      <c r="Q534" s="172">
        <f t="shared" si="72"/>
        <v>448.13754197197125</v>
      </c>
      <c r="S534" s="87"/>
      <c r="T534" s="87"/>
    </row>
    <row r="535" spans="1:20" ht="12.75">
      <c r="A535" s="921" t="s">
        <v>30</v>
      </c>
      <c r="B535" s="231">
        <v>1</v>
      </c>
      <c r="C535" s="300" t="s">
        <v>485</v>
      </c>
      <c r="D535" s="280">
        <v>24</v>
      </c>
      <c r="E535" s="280">
        <v>1983</v>
      </c>
      <c r="F535" s="348">
        <f t="shared" si="68"/>
        <v>38.969</v>
      </c>
      <c r="G535" s="348">
        <v>2.09313</v>
      </c>
      <c r="H535" s="348">
        <v>3.84</v>
      </c>
      <c r="I535" s="348">
        <v>33.03587</v>
      </c>
      <c r="J535" s="356">
        <v>1351.94</v>
      </c>
      <c r="K535" s="348">
        <v>33.03587</v>
      </c>
      <c r="L535" s="356">
        <v>1351.94</v>
      </c>
      <c r="M535" s="286">
        <f t="shared" si="69"/>
        <v>0.024435899522168146</v>
      </c>
      <c r="N535" s="285">
        <v>310.65</v>
      </c>
      <c r="O535" s="285">
        <f t="shared" si="70"/>
        <v>7.591012186561534</v>
      </c>
      <c r="P535" s="285">
        <f t="shared" si="71"/>
        <v>1466.1539713300888</v>
      </c>
      <c r="Q535" s="287">
        <f t="shared" si="72"/>
        <v>455.4607311936921</v>
      </c>
      <c r="S535" s="87"/>
      <c r="T535" s="87"/>
    </row>
    <row r="536" spans="1:20" ht="12.75">
      <c r="A536" s="922"/>
      <c r="B536" s="232">
        <v>2</v>
      </c>
      <c r="C536" s="272" t="s">
        <v>217</v>
      </c>
      <c r="D536" s="232">
        <v>36</v>
      </c>
      <c r="E536" s="232">
        <v>1984</v>
      </c>
      <c r="F536" s="288">
        <f t="shared" si="68"/>
        <v>60.739999999999995</v>
      </c>
      <c r="G536" s="288">
        <v>3.418994</v>
      </c>
      <c r="H536" s="288">
        <v>5.76</v>
      </c>
      <c r="I536" s="288">
        <v>51.561006</v>
      </c>
      <c r="J536" s="279">
        <v>2108.99</v>
      </c>
      <c r="K536" s="288">
        <v>51.561006</v>
      </c>
      <c r="L536" s="279">
        <v>2108.99</v>
      </c>
      <c r="M536" s="290">
        <f t="shared" si="69"/>
        <v>0.024448198426735075</v>
      </c>
      <c r="N536" s="285">
        <v>310.65</v>
      </c>
      <c r="O536" s="289">
        <f t="shared" si="70"/>
        <v>7.594832841265251</v>
      </c>
      <c r="P536" s="285">
        <f t="shared" si="71"/>
        <v>1466.8919056041045</v>
      </c>
      <c r="Q536" s="291">
        <f t="shared" si="72"/>
        <v>455.68997047591506</v>
      </c>
      <c r="S536" s="87"/>
      <c r="T536" s="87"/>
    </row>
    <row r="537" spans="1:20" ht="12.75">
      <c r="A537" s="922"/>
      <c r="B537" s="232">
        <v>3</v>
      </c>
      <c r="C537" s="272" t="s">
        <v>223</v>
      </c>
      <c r="D537" s="232">
        <v>24</v>
      </c>
      <c r="E537" s="232">
        <v>1964</v>
      </c>
      <c r="F537" s="288">
        <f t="shared" si="68"/>
        <v>27.635</v>
      </c>
      <c r="G537" s="288"/>
      <c r="H537" s="288"/>
      <c r="I537" s="288">
        <v>27.635</v>
      </c>
      <c r="J537" s="279">
        <v>1103</v>
      </c>
      <c r="K537" s="288">
        <v>27.635</v>
      </c>
      <c r="L537" s="279">
        <v>1103</v>
      </c>
      <c r="M537" s="290">
        <f t="shared" si="69"/>
        <v>0.025054397098821398</v>
      </c>
      <c r="N537" s="285">
        <v>310.65</v>
      </c>
      <c r="O537" s="289">
        <f t="shared" si="70"/>
        <v>7.783148458748867</v>
      </c>
      <c r="P537" s="285">
        <f t="shared" si="71"/>
        <v>1503.263825929284</v>
      </c>
      <c r="Q537" s="291">
        <f t="shared" si="72"/>
        <v>466.988907524932</v>
      </c>
      <c r="S537" s="87"/>
      <c r="T537" s="87"/>
    </row>
    <row r="538" spans="1:20" ht="12.75">
      <c r="A538" s="922"/>
      <c r="B538" s="232">
        <v>4</v>
      </c>
      <c r="C538" s="272" t="s">
        <v>351</v>
      </c>
      <c r="D538" s="232">
        <v>54</v>
      </c>
      <c r="E538" s="232">
        <v>1992</v>
      </c>
      <c r="F538" s="288">
        <f t="shared" si="68"/>
        <v>97.73700000000001</v>
      </c>
      <c r="G538" s="288">
        <v>5.656818</v>
      </c>
      <c r="H538" s="288">
        <v>8.45</v>
      </c>
      <c r="I538" s="288">
        <v>83.630182</v>
      </c>
      <c r="J538" s="279">
        <v>3243.5</v>
      </c>
      <c r="K538" s="288">
        <v>83.630182</v>
      </c>
      <c r="L538" s="279">
        <v>3243.5</v>
      </c>
      <c r="M538" s="290">
        <f t="shared" si="69"/>
        <v>0.02578393155541853</v>
      </c>
      <c r="N538" s="285">
        <v>310.65</v>
      </c>
      <c r="O538" s="289">
        <f t="shared" si="70"/>
        <v>8.009778337690765</v>
      </c>
      <c r="P538" s="285">
        <f t="shared" si="71"/>
        <v>1547.0358933251118</v>
      </c>
      <c r="Q538" s="291">
        <f t="shared" si="72"/>
        <v>480.58670026144597</v>
      </c>
      <c r="S538" s="87"/>
      <c r="T538" s="87"/>
    </row>
    <row r="539" spans="1:20" ht="12.75">
      <c r="A539" s="922"/>
      <c r="B539" s="232">
        <v>5</v>
      </c>
      <c r="C539" s="272" t="s">
        <v>350</v>
      </c>
      <c r="D539" s="232">
        <v>40</v>
      </c>
      <c r="E539" s="232">
        <v>1969</v>
      </c>
      <c r="F539" s="288">
        <f t="shared" si="68"/>
        <v>49.094</v>
      </c>
      <c r="G539" s="288"/>
      <c r="H539" s="288"/>
      <c r="I539" s="288">
        <v>49.094</v>
      </c>
      <c r="J539" s="279">
        <v>1881.33</v>
      </c>
      <c r="K539" s="288">
        <v>49.094</v>
      </c>
      <c r="L539" s="279">
        <v>1881.33</v>
      </c>
      <c r="M539" s="290">
        <f t="shared" si="69"/>
        <v>0.026095368701928957</v>
      </c>
      <c r="N539" s="285">
        <v>310.65</v>
      </c>
      <c r="O539" s="289">
        <f t="shared" si="70"/>
        <v>8.10652628725423</v>
      </c>
      <c r="P539" s="285">
        <f t="shared" si="71"/>
        <v>1565.7221221157374</v>
      </c>
      <c r="Q539" s="291">
        <f t="shared" si="72"/>
        <v>486.3915772352538</v>
      </c>
      <c r="S539" s="87"/>
      <c r="T539" s="87"/>
    </row>
    <row r="540" spans="1:20" ht="12.75">
      <c r="A540" s="922"/>
      <c r="B540" s="232">
        <v>6</v>
      </c>
      <c r="C540" s="272" t="s">
        <v>225</v>
      </c>
      <c r="D540" s="232">
        <v>5</v>
      </c>
      <c r="E540" s="232">
        <v>1825</v>
      </c>
      <c r="F540" s="288">
        <f t="shared" si="68"/>
        <v>6.027</v>
      </c>
      <c r="G540" s="288"/>
      <c r="H540" s="288"/>
      <c r="I540" s="288">
        <v>6.027</v>
      </c>
      <c r="J540" s="279">
        <v>230.53</v>
      </c>
      <c r="K540" s="288">
        <v>6.027</v>
      </c>
      <c r="L540" s="279">
        <v>230.53</v>
      </c>
      <c r="M540" s="290">
        <f t="shared" si="69"/>
        <v>0.026144102719819547</v>
      </c>
      <c r="N540" s="285">
        <v>310.65</v>
      </c>
      <c r="O540" s="289">
        <f t="shared" si="70"/>
        <v>8.121665509911942</v>
      </c>
      <c r="P540" s="285">
        <f t="shared" si="71"/>
        <v>1568.6461631891727</v>
      </c>
      <c r="Q540" s="291">
        <f t="shared" si="72"/>
        <v>487.29993059471644</v>
      </c>
      <c r="S540" s="87"/>
      <c r="T540" s="87"/>
    </row>
    <row r="541" spans="1:20" ht="12.75">
      <c r="A541" s="922"/>
      <c r="B541" s="232">
        <v>7</v>
      </c>
      <c r="C541" s="272" t="s">
        <v>353</v>
      </c>
      <c r="D541" s="232">
        <v>24</v>
      </c>
      <c r="E541" s="232">
        <v>1968</v>
      </c>
      <c r="F541" s="288">
        <f t="shared" si="68"/>
        <v>27.194</v>
      </c>
      <c r="G541" s="288"/>
      <c r="H541" s="288"/>
      <c r="I541" s="288">
        <v>27.194</v>
      </c>
      <c r="J541" s="279">
        <v>1023.47</v>
      </c>
      <c r="K541" s="288">
        <v>27.194</v>
      </c>
      <c r="L541" s="279">
        <v>1023.47</v>
      </c>
      <c r="M541" s="290">
        <f t="shared" si="69"/>
        <v>0.02657039287912689</v>
      </c>
      <c r="N541" s="285">
        <v>310.65</v>
      </c>
      <c r="O541" s="289">
        <f t="shared" si="70"/>
        <v>8.254092547900768</v>
      </c>
      <c r="P541" s="285">
        <f t="shared" si="71"/>
        <v>1594.2235727476136</v>
      </c>
      <c r="Q541" s="291">
        <f t="shared" si="72"/>
        <v>495.24555287404615</v>
      </c>
      <c r="S541" s="87"/>
      <c r="T541" s="87"/>
    </row>
    <row r="542" spans="1:20" ht="12.75">
      <c r="A542" s="922"/>
      <c r="B542" s="232">
        <v>8</v>
      </c>
      <c r="C542" s="272" t="s">
        <v>221</v>
      </c>
      <c r="D542" s="232">
        <v>24</v>
      </c>
      <c r="E542" s="232">
        <v>1966</v>
      </c>
      <c r="F542" s="288">
        <f t="shared" si="68"/>
        <v>29.277</v>
      </c>
      <c r="G542" s="288"/>
      <c r="H542" s="288"/>
      <c r="I542" s="288">
        <v>29.277</v>
      </c>
      <c r="J542" s="279">
        <v>1087.21</v>
      </c>
      <c r="K542" s="288">
        <v>29.277</v>
      </c>
      <c r="L542" s="279">
        <v>1087.21</v>
      </c>
      <c r="M542" s="290">
        <f t="shared" si="69"/>
        <v>0.026928560259747426</v>
      </c>
      <c r="N542" s="285">
        <v>310.65</v>
      </c>
      <c r="O542" s="289">
        <f t="shared" si="70"/>
        <v>8.365357244690538</v>
      </c>
      <c r="P542" s="285">
        <f t="shared" si="71"/>
        <v>1615.7136155848455</v>
      </c>
      <c r="Q542" s="291">
        <f t="shared" si="72"/>
        <v>501.92143468143223</v>
      </c>
      <c r="S542" s="87"/>
      <c r="T542" s="87"/>
    </row>
    <row r="543" spans="1:20" ht="12.75">
      <c r="A543" s="923"/>
      <c r="B543" s="245">
        <v>9</v>
      </c>
      <c r="C543" s="272" t="s">
        <v>228</v>
      </c>
      <c r="D543" s="232">
        <v>12</v>
      </c>
      <c r="E543" s="232">
        <v>1962</v>
      </c>
      <c r="F543" s="288">
        <f t="shared" si="68"/>
        <v>13.91</v>
      </c>
      <c r="G543" s="288"/>
      <c r="H543" s="288"/>
      <c r="I543" s="288">
        <v>13.91</v>
      </c>
      <c r="J543" s="279">
        <v>529.97</v>
      </c>
      <c r="K543" s="288">
        <v>13.681731</v>
      </c>
      <c r="L543" s="279">
        <v>486.49</v>
      </c>
      <c r="M543" s="290">
        <f t="shared" si="69"/>
        <v>0.028123355053546833</v>
      </c>
      <c r="N543" s="285">
        <v>310.65</v>
      </c>
      <c r="O543" s="289">
        <f t="shared" si="70"/>
        <v>8.736520247384323</v>
      </c>
      <c r="P543" s="285">
        <f t="shared" si="71"/>
        <v>1687.4013032128098</v>
      </c>
      <c r="Q543" s="291">
        <f t="shared" si="72"/>
        <v>524.1912148430594</v>
      </c>
      <c r="S543" s="87"/>
      <c r="T543" s="87"/>
    </row>
    <row r="544" spans="1:20" ht="13.5" thickBot="1">
      <c r="A544" s="924"/>
      <c r="B544" s="246">
        <v>10</v>
      </c>
      <c r="C544" s="301" t="s">
        <v>220</v>
      </c>
      <c r="D544" s="245">
        <v>24</v>
      </c>
      <c r="E544" s="245">
        <v>1968</v>
      </c>
      <c r="F544" s="428">
        <f t="shared" si="68"/>
        <v>28.659</v>
      </c>
      <c r="G544" s="428"/>
      <c r="H544" s="428"/>
      <c r="I544" s="428">
        <v>28.659</v>
      </c>
      <c r="J544" s="435">
        <v>1012.02</v>
      </c>
      <c r="K544" s="428">
        <v>28.659</v>
      </c>
      <c r="L544" s="435">
        <v>1012.02</v>
      </c>
      <c r="M544" s="294">
        <f t="shared" si="69"/>
        <v>0.028318610304144187</v>
      </c>
      <c r="N544" s="293">
        <v>310.65</v>
      </c>
      <c r="O544" s="293">
        <f t="shared" si="70"/>
        <v>8.79717629098239</v>
      </c>
      <c r="P544" s="293">
        <f t="shared" si="71"/>
        <v>1699.1166182486513</v>
      </c>
      <c r="Q544" s="295">
        <f t="shared" si="72"/>
        <v>527.8305774589435</v>
      </c>
      <c r="S544" s="87"/>
      <c r="T544" s="87"/>
    </row>
    <row r="545" spans="1:20" ht="12.75">
      <c r="A545" s="948" t="s">
        <v>12</v>
      </c>
      <c r="B545" s="39">
        <v>1</v>
      </c>
      <c r="C545" s="277" t="s">
        <v>150</v>
      </c>
      <c r="D545" s="39">
        <v>43</v>
      </c>
      <c r="E545" s="39">
        <v>1986</v>
      </c>
      <c r="F545" s="429">
        <f t="shared" si="68"/>
        <v>50.09</v>
      </c>
      <c r="G545" s="429">
        <v>2.836567</v>
      </c>
      <c r="H545" s="429">
        <v>4.67</v>
      </c>
      <c r="I545" s="429">
        <v>42.583433</v>
      </c>
      <c r="J545" s="360">
        <v>1472.24</v>
      </c>
      <c r="K545" s="429">
        <v>42.583433</v>
      </c>
      <c r="L545" s="360">
        <v>1472.24</v>
      </c>
      <c r="M545" s="303">
        <f t="shared" si="69"/>
        <v>0.02892424672607727</v>
      </c>
      <c r="N545" s="304">
        <v>310.65</v>
      </c>
      <c r="O545" s="304">
        <f t="shared" si="70"/>
        <v>8.985317245455903</v>
      </c>
      <c r="P545" s="304">
        <f t="shared" si="71"/>
        <v>1735.454803564636</v>
      </c>
      <c r="Q545" s="305">
        <f t="shared" si="72"/>
        <v>539.1190347273542</v>
      </c>
      <c r="S545" s="87"/>
      <c r="T545" s="87"/>
    </row>
    <row r="546" spans="1:20" ht="12.75">
      <c r="A546" s="919"/>
      <c r="B546" s="41">
        <v>2</v>
      </c>
      <c r="C546" s="49" t="s">
        <v>232</v>
      </c>
      <c r="D546" s="41">
        <v>12</v>
      </c>
      <c r="E546" s="41">
        <v>1925</v>
      </c>
      <c r="F546" s="315">
        <f t="shared" si="68"/>
        <v>15.42</v>
      </c>
      <c r="G546" s="315"/>
      <c r="H546" s="315"/>
      <c r="I546" s="315">
        <v>15.42</v>
      </c>
      <c r="J546" s="317">
        <v>512.15</v>
      </c>
      <c r="K546" s="315">
        <v>15.42</v>
      </c>
      <c r="L546" s="317">
        <v>512.15</v>
      </c>
      <c r="M546" s="309">
        <f t="shared" si="69"/>
        <v>0.030108366689446452</v>
      </c>
      <c r="N546" s="304">
        <v>310.65</v>
      </c>
      <c r="O546" s="310">
        <f t="shared" si="70"/>
        <v>9.35316411207654</v>
      </c>
      <c r="P546" s="304">
        <f t="shared" si="71"/>
        <v>1806.5020013667872</v>
      </c>
      <c r="Q546" s="311">
        <f t="shared" si="72"/>
        <v>561.1898467245924</v>
      </c>
      <c r="S546" s="87"/>
      <c r="T546" s="87"/>
    </row>
    <row r="547" spans="1:20" ht="12.75">
      <c r="A547" s="919"/>
      <c r="B547" s="41">
        <v>3</v>
      </c>
      <c r="C547" s="49" t="s">
        <v>224</v>
      </c>
      <c r="D547" s="41">
        <v>47</v>
      </c>
      <c r="E547" s="41">
        <v>1969</v>
      </c>
      <c r="F547" s="315">
        <f t="shared" si="68"/>
        <v>67.623</v>
      </c>
      <c r="G547" s="315">
        <v>2.62983</v>
      </c>
      <c r="H547" s="315">
        <v>7.44</v>
      </c>
      <c r="I547" s="315">
        <v>57.55317</v>
      </c>
      <c r="J547" s="317">
        <v>1893.25</v>
      </c>
      <c r="K547" s="315">
        <v>57.55317</v>
      </c>
      <c r="L547" s="317">
        <v>1893.25</v>
      </c>
      <c r="M547" s="309">
        <f t="shared" si="69"/>
        <v>0.03039913904661297</v>
      </c>
      <c r="N547" s="304">
        <v>310.65</v>
      </c>
      <c r="O547" s="310">
        <f t="shared" si="70"/>
        <v>9.443492544830319</v>
      </c>
      <c r="P547" s="304">
        <f t="shared" si="71"/>
        <v>1823.9483427967782</v>
      </c>
      <c r="Q547" s="311">
        <f t="shared" si="72"/>
        <v>566.6095526898191</v>
      </c>
      <c r="S547" s="87"/>
      <c r="T547" s="87"/>
    </row>
    <row r="548" spans="1:20" ht="12.75">
      <c r="A548" s="919"/>
      <c r="B548" s="41">
        <v>4</v>
      </c>
      <c r="C548" s="49" t="s">
        <v>226</v>
      </c>
      <c r="D548" s="41">
        <v>5</v>
      </c>
      <c r="E548" s="41">
        <v>1961</v>
      </c>
      <c r="F548" s="315">
        <f t="shared" si="68"/>
        <v>6.3169</v>
      </c>
      <c r="G548" s="315"/>
      <c r="H548" s="315"/>
      <c r="I548" s="315">
        <v>6.3169</v>
      </c>
      <c r="J548" s="317">
        <v>186.3</v>
      </c>
      <c r="K548" s="315">
        <v>6.3169</v>
      </c>
      <c r="L548" s="317">
        <v>186.3</v>
      </c>
      <c r="M548" s="309">
        <f t="shared" si="69"/>
        <v>0.033907139023081054</v>
      </c>
      <c r="N548" s="304">
        <v>310.65</v>
      </c>
      <c r="O548" s="310">
        <f t="shared" si="70"/>
        <v>10.533252737520128</v>
      </c>
      <c r="P548" s="304">
        <f t="shared" si="71"/>
        <v>2034.4283413848632</v>
      </c>
      <c r="Q548" s="311">
        <f t="shared" si="72"/>
        <v>631.9951642512077</v>
      </c>
      <c r="S548" s="87"/>
      <c r="T548" s="87"/>
    </row>
    <row r="549" spans="1:20" ht="12.75">
      <c r="A549" s="919"/>
      <c r="B549" s="41">
        <v>5</v>
      </c>
      <c r="C549" s="49" t="s">
        <v>222</v>
      </c>
      <c r="D549" s="41">
        <v>12</v>
      </c>
      <c r="E549" s="41">
        <v>1963</v>
      </c>
      <c r="F549" s="315">
        <f t="shared" si="68"/>
        <v>20.177999999999997</v>
      </c>
      <c r="G549" s="315">
        <v>0.5367</v>
      </c>
      <c r="H549" s="315">
        <v>0.705</v>
      </c>
      <c r="I549" s="315">
        <v>18.9363</v>
      </c>
      <c r="J549" s="317">
        <v>534.54</v>
      </c>
      <c r="K549" s="315">
        <v>18.9363</v>
      </c>
      <c r="L549" s="317">
        <v>534.54</v>
      </c>
      <c r="M549" s="309">
        <f t="shared" si="69"/>
        <v>0.035425412504209226</v>
      </c>
      <c r="N549" s="304">
        <v>310.65</v>
      </c>
      <c r="O549" s="310">
        <f t="shared" si="70"/>
        <v>11.004904394432595</v>
      </c>
      <c r="P549" s="304">
        <f t="shared" si="71"/>
        <v>2125.5247502525535</v>
      </c>
      <c r="Q549" s="311">
        <f t="shared" si="72"/>
        <v>660.2942636659558</v>
      </c>
      <c r="S549" s="87"/>
      <c r="T549" s="87"/>
    </row>
    <row r="550" spans="1:20" ht="12.75">
      <c r="A550" s="919"/>
      <c r="B550" s="41">
        <v>6</v>
      </c>
      <c r="C550" s="49" t="s">
        <v>229</v>
      </c>
      <c r="D550" s="41">
        <v>12</v>
      </c>
      <c r="E550" s="41">
        <v>1968</v>
      </c>
      <c r="F550" s="315">
        <f t="shared" si="68"/>
        <v>27.652</v>
      </c>
      <c r="G550" s="315">
        <v>0.75138</v>
      </c>
      <c r="H550" s="315">
        <v>0.25</v>
      </c>
      <c r="I550" s="315">
        <v>26.65062</v>
      </c>
      <c r="J550" s="317">
        <v>725.5</v>
      </c>
      <c r="K550" s="315">
        <v>26.65062</v>
      </c>
      <c r="L550" s="317">
        <v>725.5</v>
      </c>
      <c r="M550" s="309">
        <f t="shared" si="69"/>
        <v>0.03673414197105444</v>
      </c>
      <c r="N550" s="304">
        <v>310.65</v>
      </c>
      <c r="O550" s="310">
        <f t="shared" si="70"/>
        <v>11.411461203308061</v>
      </c>
      <c r="P550" s="304">
        <f t="shared" si="71"/>
        <v>2204.048518263267</v>
      </c>
      <c r="Q550" s="311">
        <f t="shared" si="72"/>
        <v>684.6876721984838</v>
      </c>
      <c r="S550" s="87"/>
      <c r="T550" s="87"/>
    </row>
    <row r="551" spans="1:20" ht="12.75">
      <c r="A551" s="919"/>
      <c r="B551" s="41">
        <v>7</v>
      </c>
      <c r="C551" s="49" t="s">
        <v>230</v>
      </c>
      <c r="D551" s="41">
        <v>4</v>
      </c>
      <c r="E551" s="41">
        <v>1961</v>
      </c>
      <c r="F551" s="315">
        <f t="shared" si="68"/>
        <v>5.59</v>
      </c>
      <c r="G551" s="315"/>
      <c r="H551" s="315"/>
      <c r="I551" s="315">
        <v>5.59</v>
      </c>
      <c r="J551" s="317">
        <v>193.05</v>
      </c>
      <c r="K551" s="315">
        <v>5.1685076</v>
      </c>
      <c r="L551" s="317">
        <v>120.27</v>
      </c>
      <c r="M551" s="309">
        <f t="shared" si="69"/>
        <v>0.04297420470607799</v>
      </c>
      <c r="N551" s="304">
        <v>310.65</v>
      </c>
      <c r="O551" s="310">
        <f t="shared" si="70"/>
        <v>13.349936691943126</v>
      </c>
      <c r="P551" s="304">
        <f t="shared" si="71"/>
        <v>2578.4522823646794</v>
      </c>
      <c r="Q551" s="311">
        <f t="shared" si="72"/>
        <v>800.9962015165877</v>
      </c>
      <c r="S551" s="87"/>
      <c r="T551" s="87"/>
    </row>
    <row r="552" spans="1:20" ht="12.75">
      <c r="A552" s="919"/>
      <c r="B552" s="41">
        <v>8</v>
      </c>
      <c r="C552" s="49" t="s">
        <v>231</v>
      </c>
      <c r="D552" s="41">
        <v>13</v>
      </c>
      <c r="E552" s="41">
        <v>1958</v>
      </c>
      <c r="F552" s="315">
        <f t="shared" si="68"/>
        <v>22.76</v>
      </c>
      <c r="G552" s="315"/>
      <c r="H552" s="315"/>
      <c r="I552" s="315">
        <v>22.76</v>
      </c>
      <c r="J552" s="317">
        <v>653.78</v>
      </c>
      <c r="K552" s="315">
        <v>21.447379</v>
      </c>
      <c r="L552" s="317">
        <v>444.31</v>
      </c>
      <c r="M552" s="309">
        <f t="shared" si="69"/>
        <v>0.04827120478944881</v>
      </c>
      <c r="N552" s="304">
        <v>310.65</v>
      </c>
      <c r="O552" s="310">
        <f t="shared" si="70"/>
        <v>14.995449767842272</v>
      </c>
      <c r="P552" s="304">
        <f t="shared" si="71"/>
        <v>2896.2722873669286</v>
      </c>
      <c r="Q552" s="311">
        <f t="shared" si="72"/>
        <v>899.7269860705363</v>
      </c>
      <c r="S552" s="87"/>
      <c r="T552" s="87"/>
    </row>
    <row r="553" spans="1:20" ht="12.75">
      <c r="A553" s="919"/>
      <c r="B553" s="41">
        <v>9</v>
      </c>
      <c r="C553" s="49"/>
      <c r="D553" s="41"/>
      <c r="E553" s="41"/>
      <c r="F553" s="169"/>
      <c r="G553" s="144"/>
      <c r="H553" s="144"/>
      <c r="I553" s="144"/>
      <c r="J553" s="355"/>
      <c r="K553" s="144"/>
      <c r="L553" s="355"/>
      <c r="M553" s="175"/>
      <c r="N553" s="144"/>
      <c r="O553" s="144"/>
      <c r="P553" s="149"/>
      <c r="Q553" s="145"/>
      <c r="S553" s="87"/>
      <c r="T553" s="87"/>
    </row>
    <row r="554" spans="1:20" ht="13.5" thickBot="1">
      <c r="A554" s="920"/>
      <c r="B554" s="46">
        <v>10</v>
      </c>
      <c r="C554" s="51"/>
      <c r="D554" s="46"/>
      <c r="E554" s="46"/>
      <c r="F554" s="57"/>
      <c r="G554" s="57"/>
      <c r="H554" s="57"/>
      <c r="I554" s="57"/>
      <c r="J554" s="58"/>
      <c r="K554" s="52"/>
      <c r="L554" s="58"/>
      <c r="M554" s="81"/>
      <c r="N554" s="57"/>
      <c r="O554" s="92"/>
      <c r="P554" s="57"/>
      <c r="Q554" s="48"/>
      <c r="S554" s="87"/>
      <c r="T554" s="87"/>
    </row>
    <row r="555" spans="19:20" ht="12.75">
      <c r="S555" s="87"/>
      <c r="T555" s="87"/>
    </row>
    <row r="556" spans="19:20" ht="12.75">
      <c r="S556" s="87"/>
      <c r="T556" s="87"/>
    </row>
    <row r="557" spans="19:20" ht="12.75">
      <c r="S557" s="87"/>
      <c r="T557" s="87"/>
    </row>
    <row r="558" spans="1:20" ht="15">
      <c r="A558" s="906" t="s">
        <v>67</v>
      </c>
      <c r="B558" s="906"/>
      <c r="C558" s="906"/>
      <c r="D558" s="906"/>
      <c r="E558" s="906"/>
      <c r="F558" s="906"/>
      <c r="G558" s="906"/>
      <c r="H558" s="906"/>
      <c r="I558" s="906"/>
      <c r="J558" s="906"/>
      <c r="K558" s="906"/>
      <c r="L558" s="906"/>
      <c r="M558" s="906"/>
      <c r="N558" s="906"/>
      <c r="O558" s="906"/>
      <c r="P558" s="906"/>
      <c r="Q558" s="906"/>
      <c r="S558" s="87"/>
      <c r="T558" s="87"/>
    </row>
    <row r="559" spans="1:20" ht="13.5" thickBot="1">
      <c r="A559" s="935" t="s">
        <v>579</v>
      </c>
      <c r="B559" s="935"/>
      <c r="C559" s="935"/>
      <c r="D559" s="935"/>
      <c r="E559" s="935"/>
      <c r="F559" s="935"/>
      <c r="G559" s="935"/>
      <c r="H559" s="935"/>
      <c r="I559" s="935"/>
      <c r="J559" s="935"/>
      <c r="K559" s="935"/>
      <c r="L559" s="935"/>
      <c r="M559" s="935"/>
      <c r="N559" s="935"/>
      <c r="O559" s="935"/>
      <c r="P559" s="935"/>
      <c r="Q559" s="935"/>
      <c r="S559" s="87"/>
      <c r="T559" s="87"/>
    </row>
    <row r="560" spans="1:20" ht="12.75" customHeight="1">
      <c r="A560" s="890" t="s">
        <v>1</v>
      </c>
      <c r="B560" s="892" t="s">
        <v>0</v>
      </c>
      <c r="C560" s="888" t="s">
        <v>2</v>
      </c>
      <c r="D560" s="888" t="s">
        <v>3</v>
      </c>
      <c r="E560" s="888" t="s">
        <v>13</v>
      </c>
      <c r="F560" s="896" t="s">
        <v>14</v>
      </c>
      <c r="G560" s="897"/>
      <c r="H560" s="897"/>
      <c r="I560" s="898"/>
      <c r="J560" s="888" t="s">
        <v>4</v>
      </c>
      <c r="K560" s="888" t="s">
        <v>15</v>
      </c>
      <c r="L560" s="888" t="s">
        <v>5</v>
      </c>
      <c r="M560" s="888" t="s">
        <v>6</v>
      </c>
      <c r="N560" s="888" t="s">
        <v>16</v>
      </c>
      <c r="O560" s="949" t="s">
        <v>17</v>
      </c>
      <c r="P560" s="888" t="s">
        <v>25</v>
      </c>
      <c r="Q560" s="878" t="s">
        <v>26</v>
      </c>
      <c r="S560" s="87"/>
      <c r="T560" s="87"/>
    </row>
    <row r="561" spans="1:20" s="2" customFormat="1" ht="33.75">
      <c r="A561" s="891"/>
      <c r="B561" s="893"/>
      <c r="C561" s="894"/>
      <c r="D561" s="889"/>
      <c r="E561" s="889"/>
      <c r="F561" s="36" t="s">
        <v>18</v>
      </c>
      <c r="G561" s="36" t="s">
        <v>19</v>
      </c>
      <c r="H561" s="36" t="s">
        <v>20</v>
      </c>
      <c r="I561" s="36" t="s">
        <v>21</v>
      </c>
      <c r="J561" s="889"/>
      <c r="K561" s="889"/>
      <c r="L561" s="889"/>
      <c r="M561" s="889"/>
      <c r="N561" s="889"/>
      <c r="O561" s="950"/>
      <c r="P561" s="889"/>
      <c r="Q561" s="879"/>
      <c r="S561" s="87"/>
      <c r="T561" s="87"/>
    </row>
    <row r="562" spans="1:20" s="3" customFormat="1" ht="13.5" customHeight="1" thickBot="1">
      <c r="A562" s="945"/>
      <c r="B562" s="946"/>
      <c r="C562" s="895"/>
      <c r="D562" s="59" t="s">
        <v>7</v>
      </c>
      <c r="E562" s="59" t="s">
        <v>8</v>
      </c>
      <c r="F562" s="59" t="s">
        <v>9</v>
      </c>
      <c r="G562" s="59" t="s">
        <v>9</v>
      </c>
      <c r="H562" s="59" t="s">
        <v>9</v>
      </c>
      <c r="I562" s="59" t="s">
        <v>9</v>
      </c>
      <c r="J562" s="59" t="s">
        <v>22</v>
      </c>
      <c r="K562" s="59" t="s">
        <v>9</v>
      </c>
      <c r="L562" s="59" t="s">
        <v>22</v>
      </c>
      <c r="M562" s="59" t="s">
        <v>128</v>
      </c>
      <c r="N562" s="59" t="s">
        <v>10</v>
      </c>
      <c r="O562" s="59" t="s">
        <v>129</v>
      </c>
      <c r="P562" s="60" t="s">
        <v>27</v>
      </c>
      <c r="Q562" s="61" t="s">
        <v>28</v>
      </c>
      <c r="S562" s="87"/>
      <c r="T562" s="87"/>
    </row>
    <row r="563" spans="1:20" ht="12.75">
      <c r="A563" s="937" t="s">
        <v>11</v>
      </c>
      <c r="B563" s="62">
        <v>1</v>
      </c>
      <c r="C563" s="255" t="s">
        <v>647</v>
      </c>
      <c r="D563" s="204">
        <v>51</v>
      </c>
      <c r="E563" s="204">
        <v>2007</v>
      </c>
      <c r="F563" s="374">
        <v>42.4901</v>
      </c>
      <c r="G563" s="374">
        <v>3.349046</v>
      </c>
      <c r="H563" s="374">
        <v>5.28</v>
      </c>
      <c r="I563" s="374">
        <v>33.861057</v>
      </c>
      <c r="J563" s="376">
        <v>3983.31</v>
      </c>
      <c r="K563" s="374">
        <v>27.68</v>
      </c>
      <c r="L563" s="376">
        <v>3043.8</v>
      </c>
      <c r="M563" s="639">
        <f aca="true" t="shared" si="73" ref="M563:M602">K563/L563</f>
        <v>0.009093895788159537</v>
      </c>
      <c r="N563" s="203">
        <v>331.36</v>
      </c>
      <c r="O563" s="186">
        <f aca="true" t="shared" si="74" ref="O563:O602">M563*N563</f>
        <v>3.0133533083645445</v>
      </c>
      <c r="P563" s="186">
        <f aca="true" t="shared" si="75" ref="P563:P602">M563*60*1000</f>
        <v>545.6337472895723</v>
      </c>
      <c r="Q563" s="488">
        <f aca="true" t="shared" si="76" ref="Q563:Q602">P563*N563/1000</f>
        <v>180.80119850187268</v>
      </c>
      <c r="R563" s="6"/>
      <c r="S563" s="87"/>
      <c r="T563" s="87"/>
    </row>
    <row r="564" spans="1:20" ht="12.75">
      <c r="A564" s="912"/>
      <c r="B564" s="31">
        <v>2</v>
      </c>
      <c r="C564" s="255" t="s">
        <v>358</v>
      </c>
      <c r="D564" s="204">
        <v>57</v>
      </c>
      <c r="E564" s="204">
        <v>2007</v>
      </c>
      <c r="F564" s="374">
        <v>39.2348</v>
      </c>
      <c r="G564" s="374">
        <v>3.397467</v>
      </c>
      <c r="H564" s="374">
        <v>5.28</v>
      </c>
      <c r="I564" s="374">
        <v>30.55733</v>
      </c>
      <c r="J564" s="376">
        <v>3992.9</v>
      </c>
      <c r="K564" s="374">
        <v>24.45</v>
      </c>
      <c r="L564" s="376">
        <v>2623.01</v>
      </c>
      <c r="M564" s="156">
        <f t="shared" si="73"/>
        <v>0.00932135218699128</v>
      </c>
      <c r="N564" s="203">
        <v>331.36</v>
      </c>
      <c r="O564" s="474">
        <f t="shared" si="74"/>
        <v>3.0887232606814305</v>
      </c>
      <c r="P564" s="186">
        <f t="shared" si="75"/>
        <v>559.2811312194767</v>
      </c>
      <c r="Q564" s="158">
        <f t="shared" si="76"/>
        <v>185.32339564088582</v>
      </c>
      <c r="S564" s="87"/>
      <c r="T564" s="87"/>
    </row>
    <row r="565" spans="1:20" ht="12.75">
      <c r="A565" s="912"/>
      <c r="B565" s="31">
        <v>3</v>
      </c>
      <c r="C565" s="255" t="s">
        <v>355</v>
      </c>
      <c r="D565" s="204">
        <v>31</v>
      </c>
      <c r="E565" s="204">
        <v>2007</v>
      </c>
      <c r="F565" s="374">
        <v>31.583</v>
      </c>
      <c r="G565" s="374">
        <v>1.30152</v>
      </c>
      <c r="H565" s="374">
        <v>3.6</v>
      </c>
      <c r="I565" s="374">
        <v>26.68148</v>
      </c>
      <c r="J565" s="376">
        <v>2889.73</v>
      </c>
      <c r="K565" s="374">
        <v>24.83</v>
      </c>
      <c r="L565" s="376">
        <v>2478.67</v>
      </c>
      <c r="M565" s="156">
        <f t="shared" si="73"/>
        <v>0.010017469045899615</v>
      </c>
      <c r="N565" s="203">
        <v>326.89</v>
      </c>
      <c r="O565" s="474">
        <f t="shared" si="74"/>
        <v>3.274610456414125</v>
      </c>
      <c r="P565" s="186">
        <f t="shared" si="75"/>
        <v>601.0481427539769</v>
      </c>
      <c r="Q565" s="158">
        <f t="shared" si="76"/>
        <v>196.4766273848475</v>
      </c>
      <c r="S565" s="87"/>
      <c r="T565" s="87"/>
    </row>
    <row r="566" spans="1:20" ht="12.75">
      <c r="A566" s="912"/>
      <c r="B566" s="31">
        <v>4</v>
      </c>
      <c r="C566" s="255" t="s">
        <v>359</v>
      </c>
      <c r="D566" s="204">
        <v>23</v>
      </c>
      <c r="E566" s="204">
        <v>2010</v>
      </c>
      <c r="F566" s="374">
        <v>16.9856</v>
      </c>
      <c r="G566" s="374">
        <v>3.723</v>
      </c>
      <c r="H566" s="374">
        <v>1.92</v>
      </c>
      <c r="I566" s="374">
        <v>11.3426</v>
      </c>
      <c r="J566" s="376">
        <v>1015.21</v>
      </c>
      <c r="K566" s="374">
        <v>11.34</v>
      </c>
      <c r="L566" s="376">
        <v>1015.21</v>
      </c>
      <c r="M566" s="156">
        <f t="shared" si="73"/>
        <v>0.011170102737364683</v>
      </c>
      <c r="N566" s="203">
        <v>326.89</v>
      </c>
      <c r="O566" s="474">
        <f t="shared" si="74"/>
        <v>3.651394883817141</v>
      </c>
      <c r="P566" s="186">
        <f t="shared" si="75"/>
        <v>670.206164241881</v>
      </c>
      <c r="Q566" s="158">
        <f t="shared" si="76"/>
        <v>219.08369302902844</v>
      </c>
      <c r="S566" s="87"/>
      <c r="T566" s="87"/>
    </row>
    <row r="567" spans="1:20" ht="12.75">
      <c r="A567" s="912"/>
      <c r="B567" s="31">
        <v>5</v>
      </c>
      <c r="C567" s="255" t="s">
        <v>357</v>
      </c>
      <c r="D567" s="204">
        <v>20</v>
      </c>
      <c r="E567" s="204">
        <v>1975</v>
      </c>
      <c r="F567" s="374">
        <v>18.724</v>
      </c>
      <c r="G567" s="374">
        <v>1.887</v>
      </c>
      <c r="H567" s="374">
        <v>3.2</v>
      </c>
      <c r="I567" s="374">
        <v>13.637</v>
      </c>
      <c r="J567" s="376">
        <v>1147.92</v>
      </c>
      <c r="K567" s="374">
        <v>13.64</v>
      </c>
      <c r="L567" s="376">
        <v>1147.92</v>
      </c>
      <c r="M567" s="156">
        <f t="shared" si="73"/>
        <v>0.01188236114014914</v>
      </c>
      <c r="N567" s="203">
        <v>326.89</v>
      </c>
      <c r="O567" s="474">
        <f t="shared" si="74"/>
        <v>3.8842250331033523</v>
      </c>
      <c r="P567" s="186">
        <f t="shared" si="75"/>
        <v>712.9416684089483</v>
      </c>
      <c r="Q567" s="158">
        <f t="shared" si="76"/>
        <v>233.0535019862011</v>
      </c>
      <c r="S567" s="87"/>
      <c r="T567" s="87"/>
    </row>
    <row r="568" spans="1:20" ht="12.75">
      <c r="A568" s="912"/>
      <c r="B568" s="31">
        <v>6</v>
      </c>
      <c r="C568" s="255" t="s">
        <v>356</v>
      </c>
      <c r="D568" s="204">
        <v>29</v>
      </c>
      <c r="E568" s="204">
        <v>2007</v>
      </c>
      <c r="F568" s="374">
        <v>38.541</v>
      </c>
      <c r="G568" s="374">
        <v>3.236409</v>
      </c>
      <c r="H568" s="374">
        <v>4</v>
      </c>
      <c r="I568" s="374">
        <v>31.304</v>
      </c>
      <c r="J568" s="376">
        <v>6456.92</v>
      </c>
      <c r="K568" s="374">
        <v>30.73</v>
      </c>
      <c r="L568" s="376">
        <v>2582.2</v>
      </c>
      <c r="M568" s="156">
        <f t="shared" si="73"/>
        <v>0.011900704825342731</v>
      </c>
      <c r="N568" s="203">
        <v>331.36</v>
      </c>
      <c r="O568" s="474">
        <f t="shared" si="74"/>
        <v>3.9434175509255676</v>
      </c>
      <c r="P568" s="186">
        <f t="shared" si="75"/>
        <v>714.0422895205639</v>
      </c>
      <c r="Q568" s="158">
        <f t="shared" si="76"/>
        <v>236.60505305553409</v>
      </c>
      <c r="S568" s="87"/>
      <c r="T568" s="87"/>
    </row>
    <row r="569" spans="1:20" ht="12.75">
      <c r="A569" s="912"/>
      <c r="B569" s="31">
        <v>7</v>
      </c>
      <c r="C569" s="255" t="s">
        <v>233</v>
      </c>
      <c r="D569" s="204">
        <v>16</v>
      </c>
      <c r="E569" s="204">
        <v>2009</v>
      </c>
      <c r="F569" s="374">
        <v>43.822</v>
      </c>
      <c r="G569" s="374">
        <v>2.091</v>
      </c>
      <c r="H569" s="374" t="s">
        <v>234</v>
      </c>
      <c r="I569" s="374">
        <v>41.731</v>
      </c>
      <c r="J569" s="376">
        <v>3628.96</v>
      </c>
      <c r="K569" s="374">
        <v>21.23</v>
      </c>
      <c r="L569" s="376">
        <v>1735.86</v>
      </c>
      <c r="M569" s="156">
        <f t="shared" si="73"/>
        <v>0.012230248983212932</v>
      </c>
      <c r="N569" s="203">
        <v>331.36</v>
      </c>
      <c r="O569" s="474">
        <f t="shared" si="74"/>
        <v>4.052615303077437</v>
      </c>
      <c r="P569" s="186">
        <f t="shared" si="75"/>
        <v>733.814938992776</v>
      </c>
      <c r="Q569" s="158">
        <f t="shared" si="76"/>
        <v>243.15691818464626</v>
      </c>
      <c r="S569" s="87"/>
      <c r="T569" s="87"/>
    </row>
    <row r="570" spans="1:20" ht="12.75">
      <c r="A570" s="912"/>
      <c r="B570" s="31">
        <v>8</v>
      </c>
      <c r="C570" s="255" t="s">
        <v>362</v>
      </c>
      <c r="D570" s="204">
        <v>44</v>
      </c>
      <c r="E570" s="204">
        <v>2008</v>
      </c>
      <c r="F570" s="374">
        <v>55.825</v>
      </c>
      <c r="G570" s="374">
        <v>3.06</v>
      </c>
      <c r="H570" s="374">
        <v>4.56</v>
      </c>
      <c r="I570" s="374">
        <v>48.205</v>
      </c>
      <c r="J570" s="376">
        <v>3663.85</v>
      </c>
      <c r="K570" s="374">
        <v>39.87</v>
      </c>
      <c r="L570" s="376">
        <v>3020.52</v>
      </c>
      <c r="M570" s="156">
        <f t="shared" si="73"/>
        <v>0.013199713956537283</v>
      </c>
      <c r="N570" s="203">
        <v>331.36</v>
      </c>
      <c r="O570" s="474">
        <f t="shared" si="74"/>
        <v>4.373857216638195</v>
      </c>
      <c r="P570" s="186">
        <f t="shared" si="75"/>
        <v>791.982837392237</v>
      </c>
      <c r="Q570" s="158">
        <f t="shared" si="76"/>
        <v>262.43143299829165</v>
      </c>
      <c r="S570" s="87"/>
      <c r="T570" s="87"/>
    </row>
    <row r="571" spans="1:20" ht="12.75">
      <c r="A571" s="912"/>
      <c r="B571" s="31">
        <v>9</v>
      </c>
      <c r="C571" s="255" t="s">
        <v>235</v>
      </c>
      <c r="D571" s="204">
        <v>38</v>
      </c>
      <c r="E571" s="204">
        <v>2007</v>
      </c>
      <c r="F571" s="374">
        <v>69.592</v>
      </c>
      <c r="G571" s="374">
        <v>3.519</v>
      </c>
      <c r="H571" s="374">
        <v>4.48</v>
      </c>
      <c r="I571" s="374">
        <v>61.593</v>
      </c>
      <c r="J571" s="376">
        <v>4060.06</v>
      </c>
      <c r="K571" s="374">
        <v>36.48</v>
      </c>
      <c r="L571" s="376">
        <v>2722.37</v>
      </c>
      <c r="M571" s="156">
        <f t="shared" si="73"/>
        <v>0.013400088893133556</v>
      </c>
      <c r="N571" s="203">
        <v>331.36</v>
      </c>
      <c r="O571" s="474">
        <f t="shared" si="74"/>
        <v>4.440253455628735</v>
      </c>
      <c r="P571" s="186">
        <f t="shared" si="75"/>
        <v>804.0053335880134</v>
      </c>
      <c r="Q571" s="158">
        <f t="shared" si="76"/>
        <v>266.4152073377241</v>
      </c>
      <c r="S571" s="87"/>
      <c r="T571" s="87"/>
    </row>
    <row r="572" spans="1:20" ht="13.5" thickBot="1">
      <c r="A572" s="913"/>
      <c r="B572" s="64">
        <v>10</v>
      </c>
      <c r="C572" s="621" t="s">
        <v>235</v>
      </c>
      <c r="D572" s="234">
        <v>82</v>
      </c>
      <c r="E572" s="234">
        <v>2007</v>
      </c>
      <c r="F572" s="375">
        <v>106.51</v>
      </c>
      <c r="G572" s="375">
        <v>4.896</v>
      </c>
      <c r="H572" s="375">
        <v>8.08</v>
      </c>
      <c r="I572" s="375">
        <v>93.534</v>
      </c>
      <c r="J572" s="516">
        <v>6753.16</v>
      </c>
      <c r="K572" s="375">
        <v>73.13</v>
      </c>
      <c r="L572" s="516">
        <v>5442.71</v>
      </c>
      <c r="M572" s="386">
        <f t="shared" si="73"/>
        <v>0.013436321244380097</v>
      </c>
      <c r="N572" s="369">
        <v>331.36</v>
      </c>
      <c r="O572" s="540">
        <f t="shared" si="74"/>
        <v>4.452259407537789</v>
      </c>
      <c r="P572" s="370">
        <f t="shared" si="75"/>
        <v>806.1792746628058</v>
      </c>
      <c r="Q572" s="371">
        <f t="shared" si="76"/>
        <v>267.1355644522674</v>
      </c>
      <c r="S572" s="87"/>
      <c r="T572" s="87"/>
    </row>
    <row r="573" spans="1:20" ht="11.25" customHeight="1">
      <c r="A573" s="938" t="s">
        <v>29</v>
      </c>
      <c r="B573" s="67">
        <v>1</v>
      </c>
      <c r="C573" s="187" t="s">
        <v>361</v>
      </c>
      <c r="D573" s="151">
        <v>20</v>
      </c>
      <c r="E573" s="151">
        <v>1975</v>
      </c>
      <c r="F573" s="510">
        <v>20.105</v>
      </c>
      <c r="G573" s="510">
        <v>1.7595</v>
      </c>
      <c r="H573" s="510">
        <v>3.2</v>
      </c>
      <c r="I573" s="196">
        <v>15.1455</v>
      </c>
      <c r="J573" s="517">
        <v>1127.03</v>
      </c>
      <c r="K573" s="510">
        <v>15.15</v>
      </c>
      <c r="L573" s="517">
        <v>1127.03</v>
      </c>
      <c r="M573" s="541">
        <f t="shared" si="73"/>
        <v>0.013442410583569205</v>
      </c>
      <c r="N573" s="542">
        <v>326.89</v>
      </c>
      <c r="O573" s="543">
        <f t="shared" si="74"/>
        <v>4.3941895956629375</v>
      </c>
      <c r="P573" s="543">
        <f t="shared" si="75"/>
        <v>806.5446350141523</v>
      </c>
      <c r="Q573" s="544">
        <f t="shared" si="76"/>
        <v>263.65137573977626</v>
      </c>
      <c r="S573" s="87"/>
      <c r="T573" s="87"/>
    </row>
    <row r="574" spans="1:20" ht="12.75" customHeight="1">
      <c r="A574" s="939"/>
      <c r="B574" s="35">
        <v>2</v>
      </c>
      <c r="C574" s="187" t="s">
        <v>367</v>
      </c>
      <c r="D574" s="151">
        <v>39</v>
      </c>
      <c r="E574" s="151">
        <v>2007</v>
      </c>
      <c r="F574" s="196">
        <v>39.487</v>
      </c>
      <c r="G574" s="196">
        <v>1.836</v>
      </c>
      <c r="H574" s="196" t="s">
        <v>234</v>
      </c>
      <c r="I574" s="196">
        <v>37.651</v>
      </c>
      <c r="J574" s="377">
        <v>2880.53</v>
      </c>
      <c r="K574" s="196">
        <v>34.91</v>
      </c>
      <c r="L574" s="377">
        <v>2457.47</v>
      </c>
      <c r="M574" s="541">
        <f t="shared" si="73"/>
        <v>0.014205666803663931</v>
      </c>
      <c r="N574" s="542">
        <v>326.89</v>
      </c>
      <c r="O574" s="543">
        <f t="shared" si="74"/>
        <v>4.643690421449702</v>
      </c>
      <c r="P574" s="543">
        <f t="shared" si="75"/>
        <v>852.3400082198359</v>
      </c>
      <c r="Q574" s="544">
        <f t="shared" si="76"/>
        <v>278.6214252869822</v>
      </c>
      <c r="S574" s="87"/>
      <c r="T574" s="87"/>
    </row>
    <row r="575" spans="1:20" ht="12.75" customHeight="1">
      <c r="A575" s="939"/>
      <c r="B575" s="35">
        <v>3</v>
      </c>
      <c r="C575" s="187" t="s">
        <v>360</v>
      </c>
      <c r="D575" s="151">
        <v>12</v>
      </c>
      <c r="E575" s="151">
        <v>2007</v>
      </c>
      <c r="F575" s="196">
        <v>12.611</v>
      </c>
      <c r="G575" s="196">
        <v>0.306</v>
      </c>
      <c r="H575" s="196" t="s">
        <v>234</v>
      </c>
      <c r="I575" s="196">
        <v>12.305</v>
      </c>
      <c r="J575" s="377">
        <v>1168.64</v>
      </c>
      <c r="K575" s="196">
        <v>11.91</v>
      </c>
      <c r="L575" s="377">
        <v>833</v>
      </c>
      <c r="M575" s="159">
        <f t="shared" si="73"/>
        <v>0.014297719087635054</v>
      </c>
      <c r="N575" s="542">
        <v>331.36</v>
      </c>
      <c r="O575" s="543">
        <f t="shared" si="74"/>
        <v>4.7376921968787515</v>
      </c>
      <c r="P575" s="543">
        <f t="shared" si="75"/>
        <v>857.8631452581033</v>
      </c>
      <c r="Q575" s="162">
        <f t="shared" si="76"/>
        <v>284.26153181272514</v>
      </c>
      <c r="S575" s="87"/>
      <c r="T575" s="87"/>
    </row>
    <row r="576" spans="1:20" ht="12.75" customHeight="1">
      <c r="A576" s="939"/>
      <c r="B576" s="35">
        <v>4</v>
      </c>
      <c r="C576" s="187" t="s">
        <v>363</v>
      </c>
      <c r="D576" s="151">
        <v>19</v>
      </c>
      <c r="E576" s="151">
        <v>1996</v>
      </c>
      <c r="F576" s="196">
        <v>26.543</v>
      </c>
      <c r="G576" s="196">
        <v>2.950452</v>
      </c>
      <c r="H576" s="196">
        <v>3.04</v>
      </c>
      <c r="I576" s="196">
        <v>20.55</v>
      </c>
      <c r="J576" s="377">
        <v>1389.83</v>
      </c>
      <c r="K576" s="196">
        <v>20.55</v>
      </c>
      <c r="L576" s="377">
        <v>1389.83</v>
      </c>
      <c r="M576" s="159">
        <f t="shared" si="73"/>
        <v>0.01478598101926135</v>
      </c>
      <c r="N576" s="542">
        <v>331.36</v>
      </c>
      <c r="O576" s="161">
        <f t="shared" si="74"/>
        <v>4.899482670542441</v>
      </c>
      <c r="P576" s="543">
        <f t="shared" si="75"/>
        <v>887.1588611556809</v>
      </c>
      <c r="Q576" s="162">
        <f t="shared" si="76"/>
        <v>293.96896023254646</v>
      </c>
      <c r="S576" s="87"/>
      <c r="T576" s="87"/>
    </row>
    <row r="577" spans="1:20" ht="12.75" customHeight="1">
      <c r="A577" s="939"/>
      <c r="B577" s="35">
        <v>5</v>
      </c>
      <c r="C577" s="187" t="s">
        <v>236</v>
      </c>
      <c r="D577" s="151">
        <v>50</v>
      </c>
      <c r="E577" s="151">
        <v>1970</v>
      </c>
      <c r="F577" s="196">
        <v>51.672</v>
      </c>
      <c r="G577" s="196">
        <v>5.151</v>
      </c>
      <c r="H577" s="196">
        <v>8</v>
      </c>
      <c r="I577" s="196">
        <v>38.521</v>
      </c>
      <c r="J577" s="377">
        <v>2565.91</v>
      </c>
      <c r="K577" s="196">
        <v>38.52</v>
      </c>
      <c r="L577" s="377">
        <v>2565.91</v>
      </c>
      <c r="M577" s="159">
        <f t="shared" si="73"/>
        <v>0.015012217887611026</v>
      </c>
      <c r="N577" s="542">
        <v>331.36</v>
      </c>
      <c r="O577" s="161">
        <f t="shared" si="74"/>
        <v>4.9744485192387895</v>
      </c>
      <c r="P577" s="543">
        <f t="shared" si="75"/>
        <v>900.7330732566616</v>
      </c>
      <c r="Q577" s="162">
        <f t="shared" si="76"/>
        <v>298.46691115432736</v>
      </c>
      <c r="S577" s="87"/>
      <c r="T577" s="87"/>
    </row>
    <row r="578" spans="1:20" ht="12.75" customHeight="1">
      <c r="A578" s="939"/>
      <c r="B578" s="35">
        <v>6</v>
      </c>
      <c r="C578" s="187" t="s">
        <v>366</v>
      </c>
      <c r="D578" s="151">
        <v>18</v>
      </c>
      <c r="E578" s="151">
        <v>1993</v>
      </c>
      <c r="F578" s="196">
        <v>26.753</v>
      </c>
      <c r="G578" s="196">
        <v>2.654</v>
      </c>
      <c r="H578" s="196">
        <v>3.04</v>
      </c>
      <c r="I578" s="196">
        <v>21.059</v>
      </c>
      <c r="J578" s="377">
        <v>1391.13</v>
      </c>
      <c r="K578" s="196">
        <v>21.06</v>
      </c>
      <c r="L578" s="377">
        <v>1391.13</v>
      </c>
      <c r="M578" s="159">
        <f t="shared" si="73"/>
        <v>0.015138772077375944</v>
      </c>
      <c r="N578" s="542">
        <v>331.36</v>
      </c>
      <c r="O578" s="161">
        <f t="shared" si="74"/>
        <v>5.016383515559293</v>
      </c>
      <c r="P578" s="543">
        <f t="shared" si="75"/>
        <v>908.3263246425566</v>
      </c>
      <c r="Q578" s="162">
        <f t="shared" si="76"/>
        <v>300.9830109335576</v>
      </c>
      <c r="S578" s="87"/>
      <c r="T578" s="87"/>
    </row>
    <row r="579" spans="1:20" ht="12.75" customHeight="1">
      <c r="A579" s="939"/>
      <c r="B579" s="35">
        <v>7</v>
      </c>
      <c r="C579" s="187" t="s">
        <v>365</v>
      </c>
      <c r="D579" s="151">
        <v>50</v>
      </c>
      <c r="E579" s="151">
        <v>1971</v>
      </c>
      <c r="F579" s="196">
        <v>51.38</v>
      </c>
      <c r="G579" s="196">
        <v>3.927</v>
      </c>
      <c r="H579" s="196">
        <v>8</v>
      </c>
      <c r="I579" s="196">
        <v>39.453</v>
      </c>
      <c r="J579" s="377">
        <v>2592.75</v>
      </c>
      <c r="K579" s="196">
        <v>39.45</v>
      </c>
      <c r="L579" s="377">
        <v>2592.75</v>
      </c>
      <c r="M579" s="159">
        <f t="shared" si="73"/>
        <v>0.015215504772924502</v>
      </c>
      <c r="N579" s="542">
        <v>324.93</v>
      </c>
      <c r="O579" s="161">
        <f t="shared" si="74"/>
        <v>4.943973965866358</v>
      </c>
      <c r="P579" s="543">
        <f t="shared" si="75"/>
        <v>912.9302863754701</v>
      </c>
      <c r="Q579" s="162">
        <f t="shared" si="76"/>
        <v>296.6384379519815</v>
      </c>
      <c r="S579" s="87"/>
      <c r="T579" s="87"/>
    </row>
    <row r="580" spans="1:20" ht="12.75" customHeight="1">
      <c r="A580" s="939"/>
      <c r="B580" s="35">
        <v>8</v>
      </c>
      <c r="C580" s="187" t="s">
        <v>648</v>
      </c>
      <c r="D580" s="151">
        <v>50</v>
      </c>
      <c r="E580" s="151">
        <v>1970</v>
      </c>
      <c r="F580" s="196">
        <v>55.809</v>
      </c>
      <c r="G580" s="196">
        <v>4.692</v>
      </c>
      <c r="H580" s="196">
        <v>8</v>
      </c>
      <c r="I580" s="196">
        <v>43.117</v>
      </c>
      <c r="J580" s="377">
        <v>2665.28</v>
      </c>
      <c r="K580" s="196">
        <v>43.12</v>
      </c>
      <c r="L580" s="377">
        <v>2665.28</v>
      </c>
      <c r="M580" s="159">
        <f t="shared" si="73"/>
        <v>0.01617841277464281</v>
      </c>
      <c r="N580" s="542">
        <v>331.36</v>
      </c>
      <c r="O580" s="161">
        <f t="shared" si="74"/>
        <v>5.360878857005642</v>
      </c>
      <c r="P580" s="543">
        <f t="shared" si="75"/>
        <v>970.7047664785687</v>
      </c>
      <c r="Q580" s="162">
        <f t="shared" si="76"/>
        <v>321.6527314203385</v>
      </c>
      <c r="S580" s="87"/>
      <c r="T580" s="87"/>
    </row>
    <row r="581" spans="1:20" ht="13.5" customHeight="1">
      <c r="A581" s="939"/>
      <c r="B581" s="35">
        <v>9</v>
      </c>
      <c r="C581" s="187" t="s">
        <v>649</v>
      </c>
      <c r="D581" s="151">
        <v>50</v>
      </c>
      <c r="E581" s="151">
        <v>1972</v>
      </c>
      <c r="F581" s="196">
        <v>40.483</v>
      </c>
      <c r="G581" s="196">
        <v>5.3856</v>
      </c>
      <c r="H581" s="196">
        <v>0.5</v>
      </c>
      <c r="I581" s="196">
        <v>34.597</v>
      </c>
      <c r="J581" s="377">
        <v>2114.27</v>
      </c>
      <c r="K581" s="196">
        <v>34.6</v>
      </c>
      <c r="L581" s="377">
        <v>2114.27</v>
      </c>
      <c r="M581" s="159">
        <f t="shared" si="73"/>
        <v>0.01636498649652126</v>
      </c>
      <c r="N581" s="542">
        <v>331.36</v>
      </c>
      <c r="O581" s="161">
        <f t="shared" si="74"/>
        <v>5.422701925487285</v>
      </c>
      <c r="P581" s="543">
        <f t="shared" si="75"/>
        <v>981.8991897912756</v>
      </c>
      <c r="Q581" s="162">
        <f t="shared" si="76"/>
        <v>325.3621155292371</v>
      </c>
      <c r="S581" s="87"/>
      <c r="T581" s="87"/>
    </row>
    <row r="582" spans="1:20" ht="13.5" customHeight="1" thickBot="1">
      <c r="A582" s="940"/>
      <c r="B582" s="90"/>
      <c r="C582" s="187" t="s">
        <v>364</v>
      </c>
      <c r="D582" s="151">
        <v>61</v>
      </c>
      <c r="E582" s="151">
        <v>1965</v>
      </c>
      <c r="F582" s="196">
        <v>62.096</v>
      </c>
      <c r="G582" s="196">
        <v>5.86</v>
      </c>
      <c r="H582" s="196">
        <v>9.6</v>
      </c>
      <c r="I582" s="196">
        <v>46.635</v>
      </c>
      <c r="J582" s="377">
        <v>2763.12</v>
      </c>
      <c r="K582" s="196">
        <v>46.64</v>
      </c>
      <c r="L582" s="377">
        <v>2763.12</v>
      </c>
      <c r="M582" s="191">
        <f t="shared" si="73"/>
        <v>0.016879469585106693</v>
      </c>
      <c r="N582" s="198">
        <v>326.89</v>
      </c>
      <c r="O582" s="192">
        <f t="shared" si="74"/>
        <v>5.517729812675527</v>
      </c>
      <c r="P582" s="192">
        <f t="shared" si="75"/>
        <v>1012.7681751064017</v>
      </c>
      <c r="Q582" s="193">
        <f t="shared" si="76"/>
        <v>331.0637887605316</v>
      </c>
      <c r="S582" s="87"/>
      <c r="T582" s="87"/>
    </row>
    <row r="583" spans="1:20" ht="12.75">
      <c r="A583" s="941" t="s">
        <v>47</v>
      </c>
      <c r="B583" s="280">
        <v>1</v>
      </c>
      <c r="C583" s="243" t="s">
        <v>650</v>
      </c>
      <c r="D583" s="236">
        <v>12</v>
      </c>
      <c r="E583" s="236">
        <v>1973</v>
      </c>
      <c r="F583" s="549">
        <v>18.4967</v>
      </c>
      <c r="G583" s="549">
        <v>0.867</v>
      </c>
      <c r="H583" s="549" t="s">
        <v>234</v>
      </c>
      <c r="I583" s="549">
        <v>17.63</v>
      </c>
      <c r="J583" s="551">
        <v>556.26</v>
      </c>
      <c r="K583" s="549">
        <v>17.63</v>
      </c>
      <c r="L583" s="518">
        <v>556.26</v>
      </c>
      <c r="M583" s="493">
        <f t="shared" si="73"/>
        <v>0.03169381224607198</v>
      </c>
      <c r="N583" s="494">
        <v>326.89</v>
      </c>
      <c r="O583" s="495">
        <f t="shared" si="74"/>
        <v>10.360390285118468</v>
      </c>
      <c r="P583" s="495">
        <f t="shared" si="75"/>
        <v>1901.6287347643186</v>
      </c>
      <c r="Q583" s="496">
        <f t="shared" si="76"/>
        <v>621.623417107108</v>
      </c>
      <c r="S583" s="87"/>
      <c r="T583" s="87"/>
    </row>
    <row r="584" spans="1:20" ht="12.75">
      <c r="A584" s="922"/>
      <c r="B584" s="232">
        <v>2</v>
      </c>
      <c r="C584" s="244" t="s">
        <v>651</v>
      </c>
      <c r="D584" s="233">
        <v>29</v>
      </c>
      <c r="E584" s="233">
        <v>1977</v>
      </c>
      <c r="F584" s="476">
        <v>43.449</v>
      </c>
      <c r="G584" s="476">
        <v>2.1981</v>
      </c>
      <c r="H584" s="476">
        <v>4.64</v>
      </c>
      <c r="I584" s="476">
        <v>36.6109</v>
      </c>
      <c r="J584" s="478">
        <v>1154.83</v>
      </c>
      <c r="K584" s="476">
        <v>36.61</v>
      </c>
      <c r="L584" s="478">
        <v>1154.83</v>
      </c>
      <c r="M584" s="387">
        <f t="shared" si="73"/>
        <v>0.03170163573859356</v>
      </c>
      <c r="N584" s="494">
        <v>326.89</v>
      </c>
      <c r="O584" s="373">
        <f t="shared" si="74"/>
        <v>10.362947706588848</v>
      </c>
      <c r="P584" s="495">
        <f t="shared" si="75"/>
        <v>1902.0981443156136</v>
      </c>
      <c r="Q584" s="497">
        <f t="shared" si="76"/>
        <v>621.7768623953309</v>
      </c>
      <c r="S584" s="87"/>
      <c r="T584" s="87"/>
    </row>
    <row r="585" spans="1:20" ht="12.75">
      <c r="A585" s="922"/>
      <c r="B585" s="232">
        <v>3</v>
      </c>
      <c r="C585" s="244" t="s">
        <v>652</v>
      </c>
      <c r="D585" s="233">
        <v>24</v>
      </c>
      <c r="E585" s="233">
        <v>1965</v>
      </c>
      <c r="F585" s="476">
        <v>37.2709</v>
      </c>
      <c r="G585" s="476">
        <v>1.785</v>
      </c>
      <c r="H585" s="476">
        <v>0.24</v>
      </c>
      <c r="I585" s="476">
        <v>35.25</v>
      </c>
      <c r="J585" s="478">
        <v>1110.87</v>
      </c>
      <c r="K585" s="476">
        <v>35.25</v>
      </c>
      <c r="L585" s="478">
        <v>1110.87</v>
      </c>
      <c r="M585" s="387">
        <f t="shared" si="73"/>
        <v>0.031731885819222774</v>
      </c>
      <c r="N585" s="494">
        <v>326.89</v>
      </c>
      <c r="O585" s="373">
        <f t="shared" si="74"/>
        <v>10.372836155445732</v>
      </c>
      <c r="P585" s="495">
        <f t="shared" si="75"/>
        <v>1903.9131491533665</v>
      </c>
      <c r="Q585" s="497">
        <f t="shared" si="76"/>
        <v>622.370169326744</v>
      </c>
      <c r="S585" s="87"/>
      <c r="T585" s="87"/>
    </row>
    <row r="586" spans="1:20" ht="12.75">
      <c r="A586" s="922"/>
      <c r="B586" s="232">
        <v>4</v>
      </c>
      <c r="C586" s="244" t="s">
        <v>486</v>
      </c>
      <c r="D586" s="233">
        <v>8</v>
      </c>
      <c r="E586" s="233">
        <v>1967</v>
      </c>
      <c r="F586" s="476">
        <v>17.042</v>
      </c>
      <c r="G586" s="476">
        <v>0.8568</v>
      </c>
      <c r="H586" s="476">
        <v>1.28</v>
      </c>
      <c r="I586" s="476">
        <v>14.905</v>
      </c>
      <c r="J586" s="478">
        <v>462.29</v>
      </c>
      <c r="K586" s="476">
        <v>14.91</v>
      </c>
      <c r="L586" s="478">
        <v>462.29</v>
      </c>
      <c r="M586" s="387">
        <f t="shared" si="73"/>
        <v>0.03225248220813775</v>
      </c>
      <c r="N586" s="494">
        <v>331.36</v>
      </c>
      <c r="O586" s="373">
        <f t="shared" si="74"/>
        <v>10.687182504488526</v>
      </c>
      <c r="P586" s="495">
        <f t="shared" si="75"/>
        <v>1935.148932488265</v>
      </c>
      <c r="Q586" s="497">
        <f t="shared" si="76"/>
        <v>641.2309502693115</v>
      </c>
      <c r="S586" s="87"/>
      <c r="T586" s="87"/>
    </row>
    <row r="587" spans="1:20" ht="12.75">
      <c r="A587" s="922"/>
      <c r="B587" s="232">
        <v>5</v>
      </c>
      <c r="C587" s="244" t="s">
        <v>653</v>
      </c>
      <c r="D587" s="233">
        <v>27</v>
      </c>
      <c r="E587" s="233">
        <v>1960</v>
      </c>
      <c r="F587" s="476">
        <v>37.719</v>
      </c>
      <c r="G587" s="476">
        <v>2.044</v>
      </c>
      <c r="H587" s="476">
        <v>3.27</v>
      </c>
      <c r="I587" s="476">
        <v>32.405</v>
      </c>
      <c r="J587" s="478">
        <v>1144.99</v>
      </c>
      <c r="K587" s="476">
        <v>32.4</v>
      </c>
      <c r="L587" s="478">
        <v>1004.2</v>
      </c>
      <c r="M587" s="387">
        <f t="shared" si="73"/>
        <v>0.03226448914558853</v>
      </c>
      <c r="N587" s="494">
        <v>326.89</v>
      </c>
      <c r="O587" s="373">
        <f t="shared" si="74"/>
        <v>10.546938856801434</v>
      </c>
      <c r="P587" s="495">
        <f t="shared" si="75"/>
        <v>1935.8693487353116</v>
      </c>
      <c r="Q587" s="497">
        <f t="shared" si="76"/>
        <v>632.816331408086</v>
      </c>
      <c r="S587" s="87"/>
      <c r="T587" s="87"/>
    </row>
    <row r="588" spans="1:20" ht="12.75">
      <c r="A588" s="922"/>
      <c r="B588" s="232">
        <v>6</v>
      </c>
      <c r="C588" s="244" t="s">
        <v>487</v>
      </c>
      <c r="D588" s="233">
        <v>8</v>
      </c>
      <c r="E588" s="233">
        <v>1968</v>
      </c>
      <c r="F588" s="476">
        <v>22.654</v>
      </c>
      <c r="G588" s="476">
        <v>1.02</v>
      </c>
      <c r="H588" s="476">
        <v>1.28</v>
      </c>
      <c r="I588" s="476">
        <v>20.354</v>
      </c>
      <c r="J588" s="478">
        <v>627.78</v>
      </c>
      <c r="K588" s="476">
        <v>20.35</v>
      </c>
      <c r="L588" s="478">
        <v>627.78</v>
      </c>
      <c r="M588" s="387">
        <f t="shared" si="73"/>
        <v>0.03241581445729396</v>
      </c>
      <c r="N588" s="494">
        <v>326.89</v>
      </c>
      <c r="O588" s="373">
        <f t="shared" si="74"/>
        <v>10.596405587944822</v>
      </c>
      <c r="P588" s="495">
        <f t="shared" si="75"/>
        <v>1944.9488674376375</v>
      </c>
      <c r="Q588" s="497">
        <f t="shared" si="76"/>
        <v>635.7843352766893</v>
      </c>
      <c r="S588" s="87"/>
      <c r="T588" s="87"/>
    </row>
    <row r="589" spans="1:20" ht="12.75">
      <c r="A589" s="922"/>
      <c r="B589" s="232">
        <v>7</v>
      </c>
      <c r="C589" s="244" t="s">
        <v>368</v>
      </c>
      <c r="D589" s="233">
        <v>20</v>
      </c>
      <c r="E589" s="233">
        <v>1990</v>
      </c>
      <c r="F589" s="476">
        <v>29.24</v>
      </c>
      <c r="G589" s="476">
        <v>1.122</v>
      </c>
      <c r="H589" s="476">
        <v>3.21</v>
      </c>
      <c r="I589" s="476">
        <v>24.91</v>
      </c>
      <c r="J589" s="478">
        <v>766.34</v>
      </c>
      <c r="K589" s="476">
        <v>22.36</v>
      </c>
      <c r="L589" s="478">
        <v>687.87</v>
      </c>
      <c r="M589" s="387">
        <f t="shared" si="73"/>
        <v>0.03250614214895256</v>
      </c>
      <c r="N589" s="494">
        <v>326.89</v>
      </c>
      <c r="O589" s="373">
        <f t="shared" si="74"/>
        <v>10.625932807071102</v>
      </c>
      <c r="P589" s="495">
        <f t="shared" si="75"/>
        <v>1950.3685289371538</v>
      </c>
      <c r="Q589" s="497">
        <f t="shared" si="76"/>
        <v>637.5559684242662</v>
      </c>
      <c r="S589" s="87"/>
      <c r="T589" s="87"/>
    </row>
    <row r="590" spans="1:20" ht="12.75">
      <c r="A590" s="922"/>
      <c r="B590" s="232">
        <v>8</v>
      </c>
      <c r="C590" s="244" t="s">
        <v>654</v>
      </c>
      <c r="D590" s="233">
        <v>12</v>
      </c>
      <c r="E590" s="233">
        <v>1967</v>
      </c>
      <c r="F590" s="476">
        <v>18.751</v>
      </c>
      <c r="G590" s="476">
        <v>1.479</v>
      </c>
      <c r="H590" s="476" t="s">
        <v>234</v>
      </c>
      <c r="I590" s="476">
        <v>17.272</v>
      </c>
      <c r="J590" s="478">
        <v>529.73</v>
      </c>
      <c r="K590" s="476">
        <v>17.27</v>
      </c>
      <c r="L590" s="478">
        <v>529.73</v>
      </c>
      <c r="M590" s="387">
        <f t="shared" si="73"/>
        <v>0.0326015139788194</v>
      </c>
      <c r="N590" s="494">
        <v>326.89</v>
      </c>
      <c r="O590" s="373">
        <f t="shared" si="74"/>
        <v>10.657108904536273</v>
      </c>
      <c r="P590" s="495">
        <f t="shared" si="75"/>
        <v>1956.090838729164</v>
      </c>
      <c r="Q590" s="497">
        <f t="shared" si="76"/>
        <v>639.4265342721765</v>
      </c>
      <c r="S590" s="87"/>
      <c r="T590" s="87"/>
    </row>
    <row r="591" spans="1:20" ht="12.75">
      <c r="A591" s="923"/>
      <c r="B591" s="245">
        <v>9</v>
      </c>
      <c r="C591" s="244" t="s">
        <v>488</v>
      </c>
      <c r="D591" s="233">
        <v>12</v>
      </c>
      <c r="E591" s="233">
        <v>1967</v>
      </c>
      <c r="F591" s="476">
        <v>13.146</v>
      </c>
      <c r="G591" s="476" t="s">
        <v>234</v>
      </c>
      <c r="H591" s="476" t="s">
        <v>234</v>
      </c>
      <c r="I591" s="476">
        <v>13.146</v>
      </c>
      <c r="J591" s="478">
        <v>396.94</v>
      </c>
      <c r="K591" s="476">
        <v>13.15</v>
      </c>
      <c r="L591" s="478">
        <v>396.94</v>
      </c>
      <c r="M591" s="387">
        <f t="shared" si="73"/>
        <v>0.03312843250869149</v>
      </c>
      <c r="N591" s="494">
        <v>326.89</v>
      </c>
      <c r="O591" s="373">
        <f t="shared" si="74"/>
        <v>10.829353302766162</v>
      </c>
      <c r="P591" s="495">
        <f t="shared" si="75"/>
        <v>1987.7059505214895</v>
      </c>
      <c r="Q591" s="497">
        <f t="shared" si="76"/>
        <v>649.7611981659697</v>
      </c>
      <c r="S591" s="87"/>
      <c r="T591" s="87"/>
    </row>
    <row r="592" spans="1:20" ht="13.5" thickBot="1">
      <c r="A592" s="924"/>
      <c r="B592" s="246">
        <v>10</v>
      </c>
      <c r="C592" s="247" t="s">
        <v>655</v>
      </c>
      <c r="D592" s="237">
        <v>20</v>
      </c>
      <c r="E592" s="237">
        <v>1980</v>
      </c>
      <c r="F592" s="550">
        <v>29.896</v>
      </c>
      <c r="G592" s="550">
        <v>1.377</v>
      </c>
      <c r="H592" s="550">
        <v>3.2</v>
      </c>
      <c r="I592" s="550">
        <v>25.319</v>
      </c>
      <c r="J592" s="552">
        <v>750.77</v>
      </c>
      <c r="K592" s="550">
        <v>22.82</v>
      </c>
      <c r="L592" s="552">
        <v>676.71</v>
      </c>
      <c r="M592" s="545">
        <f t="shared" si="73"/>
        <v>0.03372197839547221</v>
      </c>
      <c r="N592" s="494">
        <v>326.89</v>
      </c>
      <c r="O592" s="546">
        <f t="shared" si="74"/>
        <v>11.023377517695911</v>
      </c>
      <c r="P592" s="546">
        <f t="shared" si="75"/>
        <v>2023.3187037283326</v>
      </c>
      <c r="Q592" s="547">
        <f t="shared" si="76"/>
        <v>661.4026510617546</v>
      </c>
      <c r="S592" s="87"/>
      <c r="T592" s="87"/>
    </row>
    <row r="593" spans="1:20" ht="12.75">
      <c r="A593" s="908" t="s">
        <v>12</v>
      </c>
      <c r="B593" s="80">
        <v>1</v>
      </c>
      <c r="C593" s="770" t="s">
        <v>364</v>
      </c>
      <c r="D593" s="240">
        <v>7</v>
      </c>
      <c r="E593" s="240">
        <v>1985</v>
      </c>
      <c r="F593" s="513">
        <v>62.096</v>
      </c>
      <c r="G593" s="513">
        <v>5.86</v>
      </c>
      <c r="H593" s="513">
        <v>9.6</v>
      </c>
      <c r="I593" s="513">
        <v>46.635</v>
      </c>
      <c r="J593" s="520">
        <v>273.15</v>
      </c>
      <c r="K593" s="513">
        <v>9.25</v>
      </c>
      <c r="L593" s="595">
        <v>273.15</v>
      </c>
      <c r="M593" s="602">
        <f t="shared" si="73"/>
        <v>0.03386417719201904</v>
      </c>
      <c r="N593" s="597">
        <v>326.89</v>
      </c>
      <c r="O593" s="598">
        <f t="shared" si="74"/>
        <v>11.069860882299103</v>
      </c>
      <c r="P593" s="598">
        <f t="shared" si="75"/>
        <v>2031.8506315211425</v>
      </c>
      <c r="Q593" s="599">
        <f t="shared" si="76"/>
        <v>664.1916529379463</v>
      </c>
      <c r="S593" s="87"/>
      <c r="T593" s="87"/>
    </row>
    <row r="594" spans="1:20" ht="12.75">
      <c r="A594" s="933"/>
      <c r="B594" s="41">
        <v>2</v>
      </c>
      <c r="C594" s="188" t="s">
        <v>656</v>
      </c>
      <c r="D594" s="189">
        <v>20</v>
      </c>
      <c r="E594" s="189">
        <v>1978</v>
      </c>
      <c r="F594" s="312">
        <v>29.228</v>
      </c>
      <c r="G594" s="312">
        <v>1.772</v>
      </c>
      <c r="H594" s="312">
        <v>3.21</v>
      </c>
      <c r="I594" s="312">
        <v>24.246</v>
      </c>
      <c r="J594" s="479">
        <v>775.71</v>
      </c>
      <c r="K594" s="312">
        <v>23.77</v>
      </c>
      <c r="L594" s="479">
        <v>700.2</v>
      </c>
      <c r="M594" s="200">
        <f t="shared" si="73"/>
        <v>0.033947443587546415</v>
      </c>
      <c r="N594" s="597">
        <v>326.89</v>
      </c>
      <c r="O594" s="208">
        <f t="shared" si="74"/>
        <v>11.097079834333048</v>
      </c>
      <c r="P594" s="598">
        <f t="shared" si="75"/>
        <v>2036.8466152527849</v>
      </c>
      <c r="Q594" s="207">
        <f t="shared" si="76"/>
        <v>665.8247900599828</v>
      </c>
      <c r="S594" s="87"/>
      <c r="T594" s="87"/>
    </row>
    <row r="595" spans="1:20" ht="12.75">
      <c r="A595" s="933"/>
      <c r="B595" s="41">
        <v>3</v>
      </c>
      <c r="C595" s="188" t="s">
        <v>657</v>
      </c>
      <c r="D595" s="189">
        <v>4</v>
      </c>
      <c r="E595" s="189">
        <v>1940</v>
      </c>
      <c r="F595" s="312">
        <v>6.786</v>
      </c>
      <c r="G595" s="312" t="s">
        <v>234</v>
      </c>
      <c r="H595" s="312" t="s">
        <v>234</v>
      </c>
      <c r="I595" s="312">
        <v>6.786</v>
      </c>
      <c r="J595" s="479">
        <v>196.24</v>
      </c>
      <c r="K595" s="312">
        <v>6.79</v>
      </c>
      <c r="L595" s="479">
        <v>196.24</v>
      </c>
      <c r="M595" s="200">
        <f t="shared" si="73"/>
        <v>0.03460048919690175</v>
      </c>
      <c r="N595" s="597">
        <v>326.89</v>
      </c>
      <c r="O595" s="208">
        <f t="shared" si="74"/>
        <v>11.310553913575212</v>
      </c>
      <c r="P595" s="598">
        <f t="shared" si="75"/>
        <v>2076.029351814105</v>
      </c>
      <c r="Q595" s="207">
        <f t="shared" si="76"/>
        <v>678.6332348145128</v>
      </c>
      <c r="S595" s="87"/>
      <c r="T595" s="87"/>
    </row>
    <row r="596" spans="1:20" ht="12.75">
      <c r="A596" s="933"/>
      <c r="B596" s="41">
        <v>4</v>
      </c>
      <c r="C596" s="188" t="s">
        <v>489</v>
      </c>
      <c r="D596" s="189">
        <v>13</v>
      </c>
      <c r="E596" s="189">
        <v>1940</v>
      </c>
      <c r="F596" s="312">
        <v>14.385</v>
      </c>
      <c r="G596" s="312" t="s">
        <v>234</v>
      </c>
      <c r="H596" s="312" t="s">
        <v>234</v>
      </c>
      <c r="I596" s="312">
        <v>14.385</v>
      </c>
      <c r="J596" s="479">
        <v>414.47</v>
      </c>
      <c r="K596" s="312">
        <v>14.39</v>
      </c>
      <c r="L596" s="479">
        <v>414.47</v>
      </c>
      <c r="M596" s="200">
        <f t="shared" si="73"/>
        <v>0.03471903877240814</v>
      </c>
      <c r="N596" s="597">
        <v>326.89</v>
      </c>
      <c r="O596" s="208">
        <f t="shared" si="74"/>
        <v>11.349306584312496</v>
      </c>
      <c r="P596" s="598">
        <f t="shared" si="75"/>
        <v>2083.1423263444885</v>
      </c>
      <c r="Q596" s="207">
        <f t="shared" si="76"/>
        <v>680.9583950587498</v>
      </c>
      <c r="S596" s="87"/>
      <c r="T596" s="87"/>
    </row>
    <row r="597" spans="1:20" ht="12.75">
      <c r="A597" s="933"/>
      <c r="B597" s="41">
        <v>5</v>
      </c>
      <c r="C597" s="188" t="s">
        <v>658</v>
      </c>
      <c r="D597" s="189">
        <v>11</v>
      </c>
      <c r="E597" s="189">
        <v>1966</v>
      </c>
      <c r="F597" s="312">
        <v>13.984</v>
      </c>
      <c r="G597" s="312">
        <v>1.222</v>
      </c>
      <c r="H597" s="312" t="s">
        <v>234</v>
      </c>
      <c r="I597" s="312">
        <v>12.762</v>
      </c>
      <c r="J597" s="479">
        <v>537.21</v>
      </c>
      <c r="K597" s="312">
        <v>11.92</v>
      </c>
      <c r="L597" s="479">
        <v>340.38</v>
      </c>
      <c r="M597" s="200">
        <f t="shared" si="73"/>
        <v>0.03501968388271932</v>
      </c>
      <c r="N597" s="597">
        <v>326.89</v>
      </c>
      <c r="O597" s="208">
        <f t="shared" si="74"/>
        <v>11.447584464422118</v>
      </c>
      <c r="P597" s="598">
        <f t="shared" si="75"/>
        <v>2101.181032963159</v>
      </c>
      <c r="Q597" s="207">
        <f t="shared" si="76"/>
        <v>686.855067865327</v>
      </c>
      <c r="S597" s="87"/>
      <c r="T597" s="87"/>
    </row>
    <row r="598" spans="1:20" ht="12.75">
      <c r="A598" s="933"/>
      <c r="B598" s="41">
        <v>6</v>
      </c>
      <c r="C598" s="188" t="s">
        <v>490</v>
      </c>
      <c r="D598" s="189">
        <v>12</v>
      </c>
      <c r="E598" s="189">
        <v>1974</v>
      </c>
      <c r="F598" s="312">
        <v>19.677</v>
      </c>
      <c r="G598" s="312">
        <v>0.765</v>
      </c>
      <c r="H598" s="312" t="s">
        <v>234</v>
      </c>
      <c r="I598" s="312">
        <v>18.912</v>
      </c>
      <c r="J598" s="479">
        <v>534.97</v>
      </c>
      <c r="K598" s="312">
        <v>18.91</v>
      </c>
      <c r="L598" s="479">
        <v>534.97</v>
      </c>
      <c r="M598" s="200">
        <f t="shared" si="73"/>
        <v>0.03534777651083238</v>
      </c>
      <c r="N598" s="597">
        <v>326.89</v>
      </c>
      <c r="O598" s="208">
        <f t="shared" si="74"/>
        <v>11.554834663625996</v>
      </c>
      <c r="P598" s="598">
        <f t="shared" si="75"/>
        <v>2120.8665906499427</v>
      </c>
      <c r="Q598" s="207">
        <f t="shared" si="76"/>
        <v>693.2900798175598</v>
      </c>
      <c r="S598" s="87"/>
      <c r="T598" s="87"/>
    </row>
    <row r="599" spans="1:20" ht="12.75">
      <c r="A599" s="933"/>
      <c r="B599" s="41">
        <v>7</v>
      </c>
      <c r="C599" s="188" t="s">
        <v>491</v>
      </c>
      <c r="D599" s="189">
        <v>8</v>
      </c>
      <c r="E599" s="189"/>
      <c r="F599" s="312">
        <v>12.891</v>
      </c>
      <c r="G599" s="312" t="s">
        <v>234</v>
      </c>
      <c r="H599" s="312" t="s">
        <v>234</v>
      </c>
      <c r="I599" s="312">
        <v>12.891</v>
      </c>
      <c r="J599" s="479">
        <v>359.66</v>
      </c>
      <c r="K599" s="312">
        <v>12.89</v>
      </c>
      <c r="L599" s="479">
        <v>359.66</v>
      </c>
      <c r="M599" s="200">
        <f t="shared" si="73"/>
        <v>0.035839403881443584</v>
      </c>
      <c r="N599" s="597">
        <v>326.89</v>
      </c>
      <c r="O599" s="208">
        <f t="shared" si="74"/>
        <v>11.715542734805092</v>
      </c>
      <c r="P599" s="598">
        <f t="shared" si="75"/>
        <v>2150.364232886615</v>
      </c>
      <c r="Q599" s="207">
        <f t="shared" si="76"/>
        <v>702.9325640883054</v>
      </c>
      <c r="S599" s="87"/>
      <c r="T599" s="87"/>
    </row>
    <row r="600" spans="1:20" ht="12.75">
      <c r="A600" s="933"/>
      <c r="B600" s="41">
        <v>8</v>
      </c>
      <c r="C600" s="188" t="s">
        <v>492</v>
      </c>
      <c r="D600" s="189">
        <v>27</v>
      </c>
      <c r="E600" s="189">
        <v>1977</v>
      </c>
      <c r="F600" s="312">
        <v>18.9541</v>
      </c>
      <c r="G600" s="312" t="s">
        <v>234</v>
      </c>
      <c r="H600" s="312" t="s">
        <v>234</v>
      </c>
      <c r="I600" s="312">
        <v>18.9541</v>
      </c>
      <c r="J600" s="479">
        <v>574.24</v>
      </c>
      <c r="K600" s="312">
        <v>17.16</v>
      </c>
      <c r="L600" s="479">
        <v>471.37</v>
      </c>
      <c r="M600" s="200">
        <f t="shared" si="73"/>
        <v>0.036404522986189194</v>
      </c>
      <c r="N600" s="597">
        <v>326.89</v>
      </c>
      <c r="O600" s="208">
        <f t="shared" si="74"/>
        <v>11.900274518955385</v>
      </c>
      <c r="P600" s="598">
        <f t="shared" si="75"/>
        <v>2184.2713791713513</v>
      </c>
      <c r="Q600" s="207">
        <f t="shared" si="76"/>
        <v>714.0164711373229</v>
      </c>
      <c r="S600" s="87"/>
      <c r="T600" s="87"/>
    </row>
    <row r="601" spans="1:20" ht="12.75">
      <c r="A601" s="933"/>
      <c r="B601" s="41">
        <v>9</v>
      </c>
      <c r="C601" s="188" t="s">
        <v>369</v>
      </c>
      <c r="D601" s="189">
        <v>8</v>
      </c>
      <c r="E601" s="189">
        <v>1940</v>
      </c>
      <c r="F601" s="312">
        <v>11.5686</v>
      </c>
      <c r="G601" s="312" t="s">
        <v>234</v>
      </c>
      <c r="H601" s="312" t="s">
        <v>234</v>
      </c>
      <c r="I601" s="312">
        <v>11.5686</v>
      </c>
      <c r="J601" s="479">
        <v>310.83</v>
      </c>
      <c r="K601" s="312">
        <v>11.57</v>
      </c>
      <c r="L601" s="479">
        <v>310.83</v>
      </c>
      <c r="M601" s="200">
        <f t="shared" si="73"/>
        <v>0.03722291928063572</v>
      </c>
      <c r="N601" s="597">
        <v>326.89</v>
      </c>
      <c r="O601" s="208">
        <f t="shared" si="74"/>
        <v>12.16780008364701</v>
      </c>
      <c r="P601" s="598">
        <f t="shared" si="75"/>
        <v>2233.3751568381435</v>
      </c>
      <c r="Q601" s="207">
        <f t="shared" si="76"/>
        <v>730.0680050188207</v>
      </c>
      <c r="S601" s="87"/>
      <c r="T601" s="87"/>
    </row>
    <row r="602" spans="1:20" ht="13.5" thickBot="1">
      <c r="A602" s="934"/>
      <c r="B602" s="46">
        <v>10</v>
      </c>
      <c r="C602" s="241" t="s">
        <v>659</v>
      </c>
      <c r="D602" s="242">
        <v>7</v>
      </c>
      <c r="E602" s="242">
        <v>1962</v>
      </c>
      <c r="F602" s="514">
        <v>11.5756</v>
      </c>
      <c r="G602" s="514">
        <v>0.808</v>
      </c>
      <c r="H602" s="514">
        <v>1.12</v>
      </c>
      <c r="I602" s="514">
        <v>9.647</v>
      </c>
      <c r="J602" s="521">
        <v>246.96</v>
      </c>
      <c r="K602" s="312">
        <v>9.65</v>
      </c>
      <c r="L602" s="521">
        <v>246.96</v>
      </c>
      <c r="M602" s="505">
        <f t="shared" si="73"/>
        <v>0.03907515387107224</v>
      </c>
      <c r="N602" s="597">
        <v>326.89</v>
      </c>
      <c r="O602" s="507">
        <f t="shared" si="74"/>
        <v>12.773277048914803</v>
      </c>
      <c r="P602" s="507">
        <f t="shared" si="75"/>
        <v>2344.5092322643345</v>
      </c>
      <c r="Q602" s="508">
        <f t="shared" si="76"/>
        <v>766.3966229348882</v>
      </c>
      <c r="S602" s="87"/>
      <c r="T602" s="87"/>
    </row>
    <row r="603" spans="19:20" ht="12.75">
      <c r="S603" s="87"/>
      <c r="T603" s="87"/>
    </row>
    <row r="604" spans="19:20" ht="12.75">
      <c r="S604" s="87"/>
      <c r="T604" s="87"/>
    </row>
    <row r="605" spans="19:20" ht="12.75">
      <c r="S605" s="87"/>
      <c r="T605" s="87"/>
    </row>
    <row r="606" spans="1:20" s="17" customFormat="1" ht="15">
      <c r="A606" s="917" t="s">
        <v>39</v>
      </c>
      <c r="B606" s="917"/>
      <c r="C606" s="917"/>
      <c r="D606" s="917"/>
      <c r="E606" s="917"/>
      <c r="F606" s="917"/>
      <c r="G606" s="917"/>
      <c r="H606" s="917"/>
      <c r="I606" s="917"/>
      <c r="J606" s="917"/>
      <c r="K606" s="917"/>
      <c r="L606" s="917"/>
      <c r="M606" s="917"/>
      <c r="N606" s="917"/>
      <c r="O606" s="917"/>
      <c r="P606" s="917"/>
      <c r="Q606" s="917"/>
      <c r="S606" s="87"/>
      <c r="T606" s="87"/>
    </row>
    <row r="607" spans="1:20" s="17" customFormat="1" ht="13.5" customHeight="1" thickBot="1">
      <c r="A607" s="936" t="s">
        <v>1027</v>
      </c>
      <c r="B607" s="936"/>
      <c r="C607" s="936"/>
      <c r="D607" s="936"/>
      <c r="E607" s="936"/>
      <c r="F607" s="936"/>
      <c r="G607" s="936"/>
      <c r="H607" s="936"/>
      <c r="I607" s="936"/>
      <c r="J607" s="936"/>
      <c r="K607" s="936"/>
      <c r="L607" s="936"/>
      <c r="M607" s="936"/>
      <c r="N607" s="936"/>
      <c r="O607" s="936"/>
      <c r="P607" s="936"/>
      <c r="Q607" s="936"/>
      <c r="S607" s="87"/>
      <c r="T607" s="87"/>
    </row>
    <row r="608" spans="1:20" ht="12.75" customHeight="1">
      <c r="A608" s="890" t="s">
        <v>1</v>
      </c>
      <c r="B608" s="892" t="s">
        <v>0</v>
      </c>
      <c r="C608" s="888" t="s">
        <v>2</v>
      </c>
      <c r="D608" s="888" t="s">
        <v>3</v>
      </c>
      <c r="E608" s="888" t="s">
        <v>13</v>
      </c>
      <c r="F608" s="896" t="s">
        <v>14</v>
      </c>
      <c r="G608" s="897"/>
      <c r="H608" s="897"/>
      <c r="I608" s="898"/>
      <c r="J608" s="888" t="s">
        <v>4</v>
      </c>
      <c r="K608" s="888" t="s">
        <v>15</v>
      </c>
      <c r="L608" s="888" t="s">
        <v>5</v>
      </c>
      <c r="M608" s="888" t="s">
        <v>6</v>
      </c>
      <c r="N608" s="888" t="s">
        <v>16</v>
      </c>
      <c r="O608" s="949" t="s">
        <v>17</v>
      </c>
      <c r="P608" s="888" t="s">
        <v>25</v>
      </c>
      <c r="Q608" s="878" t="s">
        <v>26</v>
      </c>
      <c r="S608" s="87"/>
      <c r="T608" s="87"/>
    </row>
    <row r="609" spans="1:20" s="2" customFormat="1" ht="33.75">
      <c r="A609" s="891"/>
      <c r="B609" s="893"/>
      <c r="C609" s="894"/>
      <c r="D609" s="889"/>
      <c r="E609" s="889"/>
      <c r="F609" s="36" t="s">
        <v>18</v>
      </c>
      <c r="G609" s="36" t="s">
        <v>19</v>
      </c>
      <c r="H609" s="36" t="s">
        <v>20</v>
      </c>
      <c r="I609" s="36" t="s">
        <v>21</v>
      </c>
      <c r="J609" s="889"/>
      <c r="K609" s="889"/>
      <c r="L609" s="889"/>
      <c r="M609" s="889"/>
      <c r="N609" s="889"/>
      <c r="O609" s="950"/>
      <c r="P609" s="889"/>
      <c r="Q609" s="879"/>
      <c r="S609" s="87"/>
      <c r="T609" s="87"/>
    </row>
    <row r="610" spans="1:20" s="3" customFormat="1" ht="13.5" customHeight="1" thickBot="1">
      <c r="A610" s="945"/>
      <c r="B610" s="946"/>
      <c r="C610" s="895"/>
      <c r="D610" s="59" t="s">
        <v>7</v>
      </c>
      <c r="E610" s="59" t="s">
        <v>8</v>
      </c>
      <c r="F610" s="59" t="s">
        <v>9</v>
      </c>
      <c r="G610" s="59" t="s">
        <v>9</v>
      </c>
      <c r="H610" s="59" t="s">
        <v>9</v>
      </c>
      <c r="I610" s="59" t="s">
        <v>9</v>
      </c>
      <c r="J610" s="59" t="s">
        <v>22</v>
      </c>
      <c r="K610" s="59" t="s">
        <v>9</v>
      </c>
      <c r="L610" s="59" t="s">
        <v>22</v>
      </c>
      <c r="M610" s="59" t="s">
        <v>128</v>
      </c>
      <c r="N610" s="59" t="s">
        <v>10</v>
      </c>
      <c r="O610" s="59" t="s">
        <v>129</v>
      </c>
      <c r="P610" s="60" t="s">
        <v>27</v>
      </c>
      <c r="Q610" s="61" t="s">
        <v>28</v>
      </c>
      <c r="S610" s="87"/>
      <c r="T610" s="87"/>
    </row>
    <row r="611" spans="1:20" s="96" customFormat="1" ht="12.75">
      <c r="A611" s="947" t="s">
        <v>11</v>
      </c>
      <c r="B611" s="821">
        <v>1</v>
      </c>
      <c r="C611" s="29" t="s">
        <v>660</v>
      </c>
      <c r="D611" s="868">
        <v>100</v>
      </c>
      <c r="E611" s="62" t="s">
        <v>71</v>
      </c>
      <c r="F611" s="249">
        <f>G611+H611+I611</f>
        <v>50.568174</v>
      </c>
      <c r="G611" s="249">
        <v>7.541574000000001</v>
      </c>
      <c r="H611" s="249">
        <v>16</v>
      </c>
      <c r="I611" s="249">
        <v>27.0266</v>
      </c>
      <c r="J611" s="93">
        <v>4428.23</v>
      </c>
      <c r="K611" s="249">
        <v>27.0266</v>
      </c>
      <c r="L611" s="93">
        <v>4428.23</v>
      </c>
      <c r="M611" s="251">
        <f>K611/L611</f>
        <v>0.006103251186139835</v>
      </c>
      <c r="N611" s="250">
        <v>224.6</v>
      </c>
      <c r="O611" s="252">
        <f>M611*N611</f>
        <v>1.370790216407007</v>
      </c>
      <c r="P611" s="252">
        <f>M611*60*1000</f>
        <v>366.19507116839014</v>
      </c>
      <c r="Q611" s="253">
        <f>P611*N611/1000</f>
        <v>82.24741298442044</v>
      </c>
      <c r="S611" s="87"/>
      <c r="T611" s="87"/>
    </row>
    <row r="612" spans="1:20" s="96" customFormat="1" ht="12.75">
      <c r="A612" s="928"/>
      <c r="B612" s="95">
        <v>2</v>
      </c>
      <c r="C612" s="16" t="s">
        <v>661</v>
      </c>
      <c r="D612" s="869">
        <v>75</v>
      </c>
      <c r="E612" s="31" t="s">
        <v>71</v>
      </c>
      <c r="F612" s="249">
        <f aca="true" t="shared" si="77" ref="F612:F620">G612+H612+I612</f>
        <v>42.7749</v>
      </c>
      <c r="G612" s="146">
        <v>5.252999999999999</v>
      </c>
      <c r="H612" s="146">
        <v>11.85</v>
      </c>
      <c r="I612" s="146">
        <v>25.6719</v>
      </c>
      <c r="J612" s="176">
        <v>3987.52</v>
      </c>
      <c r="K612" s="146">
        <v>25.6719</v>
      </c>
      <c r="L612" s="176">
        <v>3987.52</v>
      </c>
      <c r="M612" s="133">
        <f aca="true" t="shared" si="78" ref="M612:M620">K612/L612</f>
        <v>0.006438061752668325</v>
      </c>
      <c r="N612" s="250">
        <v>224.6</v>
      </c>
      <c r="O612" s="132">
        <f aca="true" t="shared" si="79" ref="O612:O629">M612*N612</f>
        <v>1.4459886696493058</v>
      </c>
      <c r="P612" s="252">
        <f aca="true" t="shared" si="80" ref="P612:P630">M612*60*1000</f>
        <v>386.28370516009954</v>
      </c>
      <c r="Q612" s="134">
        <f aca="true" t="shared" si="81" ref="Q612:Q629">P612*N612/1000</f>
        <v>86.75932017895835</v>
      </c>
      <c r="S612" s="87"/>
      <c r="T612" s="87"/>
    </row>
    <row r="613" spans="1:20" ht="12.75">
      <c r="A613" s="928"/>
      <c r="B613" s="31">
        <v>3</v>
      </c>
      <c r="C613" s="16" t="s">
        <v>370</v>
      </c>
      <c r="D613" s="869">
        <v>55</v>
      </c>
      <c r="E613" s="62" t="s">
        <v>71</v>
      </c>
      <c r="F613" s="249">
        <f t="shared" si="77"/>
        <v>34.2</v>
      </c>
      <c r="G613" s="146">
        <v>3.825</v>
      </c>
      <c r="H613" s="146">
        <v>8.4</v>
      </c>
      <c r="I613" s="146">
        <v>21.975</v>
      </c>
      <c r="J613" s="176">
        <v>2537.72</v>
      </c>
      <c r="K613" s="146">
        <v>21.975</v>
      </c>
      <c r="L613" s="176">
        <v>2537.72</v>
      </c>
      <c r="M613" s="133">
        <f t="shared" si="78"/>
        <v>0.008659347760982301</v>
      </c>
      <c r="N613" s="250">
        <v>224.6</v>
      </c>
      <c r="O613" s="132">
        <f t="shared" si="79"/>
        <v>1.9448895071166248</v>
      </c>
      <c r="P613" s="252">
        <f t="shared" si="80"/>
        <v>519.5608656589382</v>
      </c>
      <c r="Q613" s="134">
        <f t="shared" si="81"/>
        <v>116.69337042699752</v>
      </c>
      <c r="S613" s="87"/>
      <c r="T613" s="87"/>
    </row>
    <row r="614" spans="1:20" ht="12.75">
      <c r="A614" s="928"/>
      <c r="B614" s="31">
        <v>4</v>
      </c>
      <c r="C614" s="16" t="s">
        <v>372</v>
      </c>
      <c r="D614" s="869">
        <v>75</v>
      </c>
      <c r="E614" s="31" t="s">
        <v>71</v>
      </c>
      <c r="F614" s="249">
        <f t="shared" si="77"/>
        <v>52</v>
      </c>
      <c r="G614" s="146">
        <v>5.457000000000001</v>
      </c>
      <c r="H614" s="146">
        <v>11.84</v>
      </c>
      <c r="I614" s="146">
        <v>34.703</v>
      </c>
      <c r="J614" s="176">
        <v>3992.51</v>
      </c>
      <c r="K614" s="146">
        <v>34.703</v>
      </c>
      <c r="L614" s="176">
        <v>3992.51</v>
      </c>
      <c r="M614" s="133">
        <f t="shared" si="78"/>
        <v>0.008692025818344851</v>
      </c>
      <c r="N614" s="250">
        <v>224.6</v>
      </c>
      <c r="O614" s="132">
        <f t="shared" si="79"/>
        <v>1.9522289988002535</v>
      </c>
      <c r="P614" s="252">
        <f t="shared" si="80"/>
        <v>521.521549100691</v>
      </c>
      <c r="Q614" s="134">
        <f t="shared" si="81"/>
        <v>117.1337399280152</v>
      </c>
      <c r="S614" s="87"/>
      <c r="T614" s="87"/>
    </row>
    <row r="615" spans="1:20" ht="12.75">
      <c r="A615" s="928"/>
      <c r="B615" s="31">
        <v>5</v>
      </c>
      <c r="C615" s="16" t="s">
        <v>662</v>
      </c>
      <c r="D615" s="869">
        <v>28</v>
      </c>
      <c r="E615" s="62" t="s">
        <v>71</v>
      </c>
      <c r="F615" s="249">
        <f t="shared" si="77"/>
        <v>19.853944000000002</v>
      </c>
      <c r="G615" s="146">
        <v>2.281944</v>
      </c>
      <c r="H615" s="146">
        <v>4.08</v>
      </c>
      <c r="I615" s="146">
        <v>13.492</v>
      </c>
      <c r="J615" s="176">
        <v>1537.65</v>
      </c>
      <c r="K615" s="146">
        <v>13.492</v>
      </c>
      <c r="L615" s="176">
        <v>1537.65</v>
      </c>
      <c r="M615" s="133">
        <f t="shared" si="78"/>
        <v>0.008774428511039574</v>
      </c>
      <c r="N615" s="250">
        <v>224.6</v>
      </c>
      <c r="O615" s="132">
        <f t="shared" si="79"/>
        <v>1.9707366435794884</v>
      </c>
      <c r="P615" s="252">
        <f t="shared" si="80"/>
        <v>526.4657106623745</v>
      </c>
      <c r="Q615" s="134">
        <f t="shared" si="81"/>
        <v>118.2441986147693</v>
      </c>
      <c r="S615" s="87"/>
      <c r="T615" s="87"/>
    </row>
    <row r="616" spans="1:20" ht="12.75">
      <c r="A616" s="928"/>
      <c r="B616" s="31">
        <v>6</v>
      </c>
      <c r="C616" s="16" t="s">
        <v>371</v>
      </c>
      <c r="D616" s="869">
        <v>32</v>
      </c>
      <c r="E616" s="31" t="s">
        <v>71</v>
      </c>
      <c r="F616" s="249">
        <f t="shared" si="77"/>
        <v>22.499978</v>
      </c>
      <c r="G616" s="146">
        <v>3.675978</v>
      </c>
      <c r="H616" s="146">
        <v>5.12</v>
      </c>
      <c r="I616" s="146">
        <v>13.704</v>
      </c>
      <c r="J616" s="176">
        <v>1417.51</v>
      </c>
      <c r="K616" s="146">
        <v>13.704</v>
      </c>
      <c r="L616" s="176">
        <v>1417.51</v>
      </c>
      <c r="M616" s="133">
        <f t="shared" si="78"/>
        <v>0.009667656665561443</v>
      </c>
      <c r="N616" s="250">
        <v>224.6</v>
      </c>
      <c r="O616" s="132">
        <f t="shared" si="79"/>
        <v>2.1713556870851</v>
      </c>
      <c r="P616" s="252">
        <f t="shared" si="80"/>
        <v>580.0593999336866</v>
      </c>
      <c r="Q616" s="134">
        <f t="shared" si="81"/>
        <v>130.281341225106</v>
      </c>
      <c r="S616" s="87"/>
      <c r="T616" s="87"/>
    </row>
    <row r="617" spans="1:20" ht="12.75">
      <c r="A617" s="928"/>
      <c r="B617" s="31">
        <v>7</v>
      </c>
      <c r="C617" s="16" t="s">
        <v>663</v>
      </c>
      <c r="D617" s="869">
        <v>20</v>
      </c>
      <c r="E617" s="62" t="s">
        <v>71</v>
      </c>
      <c r="F617" s="249">
        <f t="shared" si="77"/>
        <v>17.08</v>
      </c>
      <c r="G617" s="146">
        <v>1.683</v>
      </c>
      <c r="H617" s="146">
        <v>3.2</v>
      </c>
      <c r="I617" s="146">
        <v>12.197</v>
      </c>
      <c r="J617" s="176">
        <v>1239.08</v>
      </c>
      <c r="K617" s="146">
        <v>12.197</v>
      </c>
      <c r="L617" s="176">
        <v>1239.08</v>
      </c>
      <c r="M617" s="133">
        <f t="shared" si="78"/>
        <v>0.009843593633986507</v>
      </c>
      <c r="N617" s="250">
        <v>224.6</v>
      </c>
      <c r="O617" s="132">
        <f t="shared" si="79"/>
        <v>2.2108711301933694</v>
      </c>
      <c r="P617" s="252">
        <f t="shared" si="80"/>
        <v>590.6156180391904</v>
      </c>
      <c r="Q617" s="134">
        <f t="shared" si="81"/>
        <v>132.65226781160214</v>
      </c>
      <c r="S617" s="87"/>
      <c r="T617" s="87"/>
    </row>
    <row r="618" spans="1:20" ht="12.75">
      <c r="A618" s="928"/>
      <c r="B618" s="31">
        <v>8</v>
      </c>
      <c r="C618" s="16" t="s">
        <v>664</v>
      </c>
      <c r="D618" s="869">
        <v>15</v>
      </c>
      <c r="E618" s="31" t="s">
        <v>71</v>
      </c>
      <c r="F618" s="249">
        <f t="shared" si="77"/>
        <v>9.125</v>
      </c>
      <c r="G618" s="146">
        <v>0</v>
      </c>
      <c r="H618" s="146">
        <v>0</v>
      </c>
      <c r="I618" s="146">
        <v>9.125</v>
      </c>
      <c r="J618" s="176">
        <v>846.62</v>
      </c>
      <c r="K618" s="146">
        <v>9.125</v>
      </c>
      <c r="L618" s="176">
        <v>846.62</v>
      </c>
      <c r="M618" s="133">
        <f t="shared" si="78"/>
        <v>0.010778153126550283</v>
      </c>
      <c r="N618" s="250">
        <v>224.6</v>
      </c>
      <c r="O618" s="132">
        <f t="shared" si="79"/>
        <v>2.4207731922231934</v>
      </c>
      <c r="P618" s="252">
        <f t="shared" si="80"/>
        <v>646.689187593017</v>
      </c>
      <c r="Q618" s="134">
        <f t="shared" si="81"/>
        <v>145.2463915333916</v>
      </c>
      <c r="S618" s="87"/>
      <c r="T618" s="87"/>
    </row>
    <row r="619" spans="1:20" ht="12.75">
      <c r="A619" s="928"/>
      <c r="B619" s="31">
        <v>9</v>
      </c>
      <c r="C619" s="16" t="s">
        <v>665</v>
      </c>
      <c r="D619" s="869">
        <v>1</v>
      </c>
      <c r="E619" s="62" t="s">
        <v>71</v>
      </c>
      <c r="F619" s="249">
        <f t="shared" si="77"/>
        <v>24.52</v>
      </c>
      <c r="G619" s="146">
        <v>1.989</v>
      </c>
      <c r="H619" s="146">
        <v>1.77</v>
      </c>
      <c r="I619" s="146">
        <v>20.761</v>
      </c>
      <c r="J619" s="176">
        <v>1797.36</v>
      </c>
      <c r="K619" s="146">
        <v>20.761</v>
      </c>
      <c r="L619" s="176">
        <v>1797.36</v>
      </c>
      <c r="M619" s="133">
        <f t="shared" si="78"/>
        <v>0.011550830106378245</v>
      </c>
      <c r="N619" s="250">
        <v>224.6</v>
      </c>
      <c r="O619" s="132">
        <f t="shared" si="79"/>
        <v>2.5943164418925537</v>
      </c>
      <c r="P619" s="252">
        <f t="shared" si="80"/>
        <v>693.0498063826947</v>
      </c>
      <c r="Q619" s="134">
        <f t="shared" si="81"/>
        <v>155.6589865135532</v>
      </c>
      <c r="S619" s="87"/>
      <c r="T619" s="87"/>
    </row>
    <row r="620" spans="1:20" ht="13.5" thickBot="1">
      <c r="A620" s="929"/>
      <c r="B620" s="64">
        <v>10</v>
      </c>
      <c r="C620" s="65" t="s">
        <v>666</v>
      </c>
      <c r="D620" s="870">
        <v>45</v>
      </c>
      <c r="E620" s="64" t="s">
        <v>71</v>
      </c>
      <c r="F620" s="249">
        <f t="shared" si="77"/>
        <v>47.2</v>
      </c>
      <c r="G620" s="216">
        <v>4.437</v>
      </c>
      <c r="H620" s="216">
        <v>7.2</v>
      </c>
      <c r="I620" s="216">
        <v>35.563</v>
      </c>
      <c r="J620" s="334">
        <v>2937.1</v>
      </c>
      <c r="K620" s="216">
        <v>35.563</v>
      </c>
      <c r="L620" s="334">
        <v>2937.1</v>
      </c>
      <c r="M620" s="136">
        <f t="shared" si="78"/>
        <v>0.01210820196792755</v>
      </c>
      <c r="N620" s="135">
        <v>224.6</v>
      </c>
      <c r="O620" s="461">
        <f t="shared" si="79"/>
        <v>2.7195021619965276</v>
      </c>
      <c r="P620" s="135">
        <f t="shared" si="80"/>
        <v>726.4921180756529</v>
      </c>
      <c r="Q620" s="137">
        <f t="shared" si="81"/>
        <v>163.17012971979165</v>
      </c>
      <c r="S620" s="87"/>
      <c r="T620" s="87"/>
    </row>
    <row r="621" spans="1:20" ht="12.75">
      <c r="A621" s="1000" t="s">
        <v>29</v>
      </c>
      <c r="B621" s="67">
        <v>1</v>
      </c>
      <c r="C621" s="34" t="s">
        <v>373</v>
      </c>
      <c r="D621" s="871">
        <v>44</v>
      </c>
      <c r="E621" s="67" t="s">
        <v>71</v>
      </c>
      <c r="F621" s="262">
        <f>G621+H621+I621</f>
        <v>40.870000000000005</v>
      </c>
      <c r="G621" s="262">
        <v>3.111</v>
      </c>
      <c r="H621" s="262">
        <v>7.04</v>
      </c>
      <c r="I621" s="263">
        <v>30.719</v>
      </c>
      <c r="J621" s="432">
        <v>2358.02</v>
      </c>
      <c r="K621" s="262">
        <v>30.719</v>
      </c>
      <c r="L621" s="432">
        <v>2358.02</v>
      </c>
      <c r="M621" s="147">
        <f>K621/L621</f>
        <v>0.01302745523786906</v>
      </c>
      <c r="N621" s="148">
        <v>224.6</v>
      </c>
      <c r="O621" s="148">
        <f>M621*N621</f>
        <v>2.9259664464253907</v>
      </c>
      <c r="P621" s="148">
        <f t="shared" si="80"/>
        <v>781.6473142721436</v>
      </c>
      <c r="Q621" s="170">
        <f>P621*N621/1000</f>
        <v>175.55798678552344</v>
      </c>
      <c r="S621" s="87"/>
      <c r="T621" s="87"/>
    </row>
    <row r="622" spans="1:20" ht="12.75">
      <c r="A622" s="931"/>
      <c r="B622" s="35">
        <v>2</v>
      </c>
      <c r="C622" s="34" t="s">
        <v>667</v>
      </c>
      <c r="D622" s="871">
        <v>45</v>
      </c>
      <c r="E622" s="35" t="s">
        <v>71</v>
      </c>
      <c r="F622" s="263">
        <f>G622+H622+I622</f>
        <v>42.1</v>
      </c>
      <c r="G622" s="263">
        <v>3.5189999999999997</v>
      </c>
      <c r="H622" s="263">
        <v>7.2</v>
      </c>
      <c r="I622" s="263">
        <v>31.381</v>
      </c>
      <c r="J622" s="118">
        <v>2336.04</v>
      </c>
      <c r="K622" s="263">
        <v>31.381</v>
      </c>
      <c r="L622" s="118">
        <v>2336.04</v>
      </c>
      <c r="M622" s="147">
        <f>K622/L622</f>
        <v>0.013433417236006233</v>
      </c>
      <c r="N622" s="138">
        <v>224.6</v>
      </c>
      <c r="O622" s="148">
        <f t="shared" si="79"/>
        <v>3.017145511207</v>
      </c>
      <c r="P622" s="148">
        <f t="shared" si="80"/>
        <v>806.005034160374</v>
      </c>
      <c r="Q622" s="170">
        <f t="shared" si="81"/>
        <v>181.02873067241998</v>
      </c>
      <c r="S622" s="87"/>
      <c r="T622" s="87"/>
    </row>
    <row r="623" spans="1:20" ht="12.75">
      <c r="A623" s="931"/>
      <c r="B623" s="35">
        <v>3</v>
      </c>
      <c r="C623" s="34" t="s">
        <v>668</v>
      </c>
      <c r="D623" s="35">
        <v>76</v>
      </c>
      <c r="E623" s="35" t="s">
        <v>71</v>
      </c>
      <c r="F623" s="263">
        <f aca="true" t="shared" si="82" ref="F623:F630">G623+H623+I623</f>
        <v>74.525</v>
      </c>
      <c r="G623" s="263">
        <v>6.477</v>
      </c>
      <c r="H623" s="263">
        <v>12</v>
      </c>
      <c r="I623" s="263">
        <v>56.048</v>
      </c>
      <c r="J623" s="118">
        <v>4006.48</v>
      </c>
      <c r="K623" s="263">
        <v>56.048</v>
      </c>
      <c r="L623" s="118">
        <v>4006.48</v>
      </c>
      <c r="M623" s="139">
        <f aca="true" t="shared" si="83" ref="M623:M630">K623/L623</f>
        <v>0.013989337273616741</v>
      </c>
      <c r="N623" s="148">
        <v>224.6</v>
      </c>
      <c r="O623" s="148">
        <f t="shared" si="79"/>
        <v>3.14200515165432</v>
      </c>
      <c r="P623" s="148">
        <f t="shared" si="80"/>
        <v>839.3602364170046</v>
      </c>
      <c r="Q623" s="168">
        <f t="shared" si="81"/>
        <v>188.52030909925924</v>
      </c>
      <c r="S623" s="87"/>
      <c r="T623" s="87"/>
    </row>
    <row r="624" spans="1:20" ht="12.75">
      <c r="A624" s="931"/>
      <c r="B624" s="35">
        <v>4</v>
      </c>
      <c r="C624" s="34" t="s">
        <v>669</v>
      </c>
      <c r="D624" s="35">
        <v>11</v>
      </c>
      <c r="E624" s="35" t="s">
        <v>71</v>
      </c>
      <c r="F624" s="263">
        <f t="shared" si="82"/>
        <v>8.33</v>
      </c>
      <c r="G624" s="263">
        <v>0.306</v>
      </c>
      <c r="H624" s="263">
        <v>0.08</v>
      </c>
      <c r="I624" s="263">
        <v>7.944</v>
      </c>
      <c r="J624" s="118">
        <v>545.95</v>
      </c>
      <c r="K624" s="263">
        <v>7.944</v>
      </c>
      <c r="L624" s="118">
        <v>545.95</v>
      </c>
      <c r="M624" s="139">
        <f t="shared" si="83"/>
        <v>0.01455078303873981</v>
      </c>
      <c r="N624" s="138">
        <v>224.6</v>
      </c>
      <c r="O624" s="138">
        <f t="shared" si="79"/>
        <v>3.268105870500961</v>
      </c>
      <c r="P624" s="148">
        <f t="shared" si="80"/>
        <v>873.0469823243886</v>
      </c>
      <c r="Q624" s="168">
        <f t="shared" si="81"/>
        <v>196.08635223005768</v>
      </c>
      <c r="S624" s="87"/>
      <c r="T624" s="87"/>
    </row>
    <row r="625" spans="1:20" ht="12.75">
      <c r="A625" s="931"/>
      <c r="B625" s="35">
        <v>5</v>
      </c>
      <c r="C625" s="34" t="s">
        <v>670</v>
      </c>
      <c r="D625" s="35">
        <v>28</v>
      </c>
      <c r="E625" s="35" t="s">
        <v>71</v>
      </c>
      <c r="F625" s="263">
        <f t="shared" si="82"/>
        <v>25.45</v>
      </c>
      <c r="G625" s="263">
        <v>2.142</v>
      </c>
      <c r="H625" s="263">
        <v>3.61</v>
      </c>
      <c r="I625" s="263">
        <v>19.698</v>
      </c>
      <c r="J625" s="118">
        <v>1349.72</v>
      </c>
      <c r="K625" s="263">
        <v>19.698</v>
      </c>
      <c r="L625" s="118">
        <v>1349.72</v>
      </c>
      <c r="M625" s="139">
        <f t="shared" si="83"/>
        <v>0.014594138043446048</v>
      </c>
      <c r="N625" s="148">
        <v>224.6</v>
      </c>
      <c r="O625" s="138">
        <f t="shared" si="79"/>
        <v>3.2778434045579825</v>
      </c>
      <c r="P625" s="148">
        <f t="shared" si="80"/>
        <v>875.6482826067629</v>
      </c>
      <c r="Q625" s="168">
        <f t="shared" si="81"/>
        <v>196.67060427347894</v>
      </c>
      <c r="S625" s="87"/>
      <c r="T625" s="87"/>
    </row>
    <row r="626" spans="1:20" ht="12.75">
      <c r="A626" s="931"/>
      <c r="B626" s="35">
        <v>6</v>
      </c>
      <c r="C626" s="34" t="s">
        <v>671</v>
      </c>
      <c r="D626" s="35">
        <v>45</v>
      </c>
      <c r="E626" s="35" t="s">
        <v>71</v>
      </c>
      <c r="F626" s="263">
        <f t="shared" si="82"/>
        <v>45.6</v>
      </c>
      <c r="G626" s="263">
        <v>4.08</v>
      </c>
      <c r="H626" s="263">
        <v>7.2</v>
      </c>
      <c r="I626" s="263">
        <v>34.32</v>
      </c>
      <c r="J626" s="118">
        <v>2335.09</v>
      </c>
      <c r="K626" s="263">
        <v>34.32</v>
      </c>
      <c r="L626" s="118">
        <v>2335.09</v>
      </c>
      <c r="M626" s="139">
        <f t="shared" si="83"/>
        <v>0.014697506305966793</v>
      </c>
      <c r="N626" s="138">
        <v>224.6</v>
      </c>
      <c r="O626" s="138">
        <f t="shared" si="79"/>
        <v>3.3010599163201415</v>
      </c>
      <c r="P626" s="148">
        <f t="shared" si="80"/>
        <v>881.8503783580076</v>
      </c>
      <c r="Q626" s="168">
        <f t="shared" si="81"/>
        <v>198.0635949792085</v>
      </c>
      <c r="S626" s="87"/>
      <c r="T626" s="87"/>
    </row>
    <row r="627" spans="1:20" ht="12.75">
      <c r="A627" s="931"/>
      <c r="B627" s="35">
        <v>7</v>
      </c>
      <c r="C627" s="34" t="s">
        <v>672</v>
      </c>
      <c r="D627" s="35">
        <v>15</v>
      </c>
      <c r="E627" s="35" t="s">
        <v>71</v>
      </c>
      <c r="F627" s="263">
        <f t="shared" si="82"/>
        <v>15.476</v>
      </c>
      <c r="G627" s="263">
        <v>1.224</v>
      </c>
      <c r="H627" s="263">
        <v>2.17</v>
      </c>
      <c r="I627" s="263">
        <v>12.082</v>
      </c>
      <c r="J627" s="118">
        <v>807.07</v>
      </c>
      <c r="K627" s="263">
        <v>12.082</v>
      </c>
      <c r="L627" s="118">
        <v>807.07</v>
      </c>
      <c r="M627" s="139">
        <f t="shared" si="83"/>
        <v>0.014970200849988229</v>
      </c>
      <c r="N627" s="148">
        <v>224.6</v>
      </c>
      <c r="O627" s="138">
        <f t="shared" si="79"/>
        <v>3.362307110907356</v>
      </c>
      <c r="P627" s="148">
        <f t="shared" si="80"/>
        <v>898.2120509992936</v>
      </c>
      <c r="Q627" s="168">
        <f t="shared" si="81"/>
        <v>201.73842665444133</v>
      </c>
      <c r="S627" s="87"/>
      <c r="T627" s="87"/>
    </row>
    <row r="628" spans="1:20" ht="12.75">
      <c r="A628" s="931"/>
      <c r="B628" s="35">
        <v>8</v>
      </c>
      <c r="C628" s="34" t="s">
        <v>673</v>
      </c>
      <c r="D628" s="35">
        <v>46</v>
      </c>
      <c r="E628" s="35" t="s">
        <v>71</v>
      </c>
      <c r="F628" s="263">
        <f t="shared" si="82"/>
        <v>57</v>
      </c>
      <c r="G628" s="263">
        <v>5.1</v>
      </c>
      <c r="H628" s="263">
        <v>7.2</v>
      </c>
      <c r="I628" s="263">
        <v>44.7</v>
      </c>
      <c r="J628" s="118">
        <v>2904.65</v>
      </c>
      <c r="K628" s="263">
        <v>44.7</v>
      </c>
      <c r="L628" s="118">
        <v>2904.65</v>
      </c>
      <c r="M628" s="139">
        <f t="shared" si="83"/>
        <v>0.015389117449606665</v>
      </c>
      <c r="N628" s="138">
        <v>224.6</v>
      </c>
      <c r="O628" s="138">
        <f t="shared" si="79"/>
        <v>3.456395779181657</v>
      </c>
      <c r="P628" s="148">
        <f t="shared" si="80"/>
        <v>923.3470469764</v>
      </c>
      <c r="Q628" s="168">
        <f t="shared" si="81"/>
        <v>207.3837467508994</v>
      </c>
      <c r="S628" s="87"/>
      <c r="T628" s="87"/>
    </row>
    <row r="629" spans="1:20" ht="12.75">
      <c r="A629" s="931"/>
      <c r="B629" s="35">
        <v>9</v>
      </c>
      <c r="C629" s="34" t="s">
        <v>674</v>
      </c>
      <c r="D629" s="35">
        <v>45</v>
      </c>
      <c r="E629" s="35" t="s">
        <v>71</v>
      </c>
      <c r="F629" s="263">
        <f t="shared" si="82"/>
        <v>47</v>
      </c>
      <c r="G629" s="263">
        <v>3.774</v>
      </c>
      <c r="H629" s="263">
        <v>7.2</v>
      </c>
      <c r="I629" s="263">
        <v>36.026</v>
      </c>
      <c r="J629" s="118">
        <v>2299.18</v>
      </c>
      <c r="K629" s="263">
        <v>36.026</v>
      </c>
      <c r="L629" s="118">
        <v>2299.18</v>
      </c>
      <c r="M629" s="139">
        <f t="shared" si="83"/>
        <v>0.015669064623039523</v>
      </c>
      <c r="N629" s="148">
        <v>224.6</v>
      </c>
      <c r="O629" s="138">
        <f t="shared" si="79"/>
        <v>3.5192719143346767</v>
      </c>
      <c r="P629" s="148">
        <f t="shared" si="80"/>
        <v>940.1438773823713</v>
      </c>
      <c r="Q629" s="168">
        <f t="shared" si="81"/>
        <v>211.1563148600806</v>
      </c>
      <c r="S629" s="87"/>
      <c r="T629" s="87"/>
    </row>
    <row r="630" spans="1:20" ht="13.5" customHeight="1" thickBot="1">
      <c r="A630" s="1001"/>
      <c r="B630" s="68">
        <v>10</v>
      </c>
      <c r="C630" s="83" t="s">
        <v>675</v>
      </c>
      <c r="D630" s="38">
        <v>60</v>
      </c>
      <c r="E630" s="38" t="s">
        <v>71</v>
      </c>
      <c r="F630" s="263">
        <f t="shared" si="82"/>
        <v>56.53399999999999</v>
      </c>
      <c r="G630" s="265">
        <v>3.774</v>
      </c>
      <c r="H630" s="265">
        <v>9.6</v>
      </c>
      <c r="I630" s="265">
        <v>43.16</v>
      </c>
      <c r="J630" s="184">
        <v>2725.86</v>
      </c>
      <c r="K630" s="265">
        <v>43.16</v>
      </c>
      <c r="L630" s="184">
        <v>2725.86</v>
      </c>
      <c r="M630" s="218">
        <f t="shared" si="83"/>
        <v>0.01583353510451747</v>
      </c>
      <c r="N630" s="171">
        <v>224.6</v>
      </c>
      <c r="O630" s="171">
        <f>M630*N630</f>
        <v>3.556211984474624</v>
      </c>
      <c r="P630" s="171">
        <f t="shared" si="80"/>
        <v>950.0121062710483</v>
      </c>
      <c r="Q630" s="172">
        <f>P630*N630/1000</f>
        <v>213.37271906847747</v>
      </c>
      <c r="S630" s="87"/>
      <c r="T630" s="87"/>
    </row>
    <row r="631" spans="1:20" ht="12.75">
      <c r="A631" s="921" t="s">
        <v>30</v>
      </c>
      <c r="B631" s="231">
        <v>1</v>
      </c>
      <c r="C631" s="270" t="s">
        <v>676</v>
      </c>
      <c r="D631" s="231">
        <v>20</v>
      </c>
      <c r="E631" s="231" t="s">
        <v>71</v>
      </c>
      <c r="F631" s="423">
        <f>G631+H631+I631</f>
        <v>28.17</v>
      </c>
      <c r="G631" s="423">
        <v>1.326</v>
      </c>
      <c r="H631" s="423">
        <v>3.2</v>
      </c>
      <c r="I631" s="423">
        <v>23.644000000000002</v>
      </c>
      <c r="J631" s="434">
        <v>953.94</v>
      </c>
      <c r="K631" s="423">
        <v>23.644000000000002</v>
      </c>
      <c r="L631" s="356">
        <v>953.94</v>
      </c>
      <c r="M631" s="286">
        <f>K631/L631</f>
        <v>0.024785625930352013</v>
      </c>
      <c r="N631" s="285">
        <v>224.6</v>
      </c>
      <c r="O631" s="285">
        <f>M631*N631</f>
        <v>5.566851583957062</v>
      </c>
      <c r="P631" s="285">
        <f>M631*60*1000</f>
        <v>1487.137555821121</v>
      </c>
      <c r="Q631" s="287">
        <f>P631*N631/1000</f>
        <v>334.0110950374238</v>
      </c>
      <c r="S631" s="87"/>
      <c r="T631" s="87"/>
    </row>
    <row r="632" spans="1:20" ht="12.75">
      <c r="A632" s="922"/>
      <c r="B632" s="232">
        <v>2</v>
      </c>
      <c r="C632" s="272" t="s">
        <v>677</v>
      </c>
      <c r="D632" s="232">
        <v>105</v>
      </c>
      <c r="E632" s="232" t="s">
        <v>71</v>
      </c>
      <c r="F632" s="288">
        <f aca="true" t="shared" si="84" ref="F632:F640">G632+H632+I632</f>
        <v>86.673</v>
      </c>
      <c r="G632" s="288">
        <v>1.53</v>
      </c>
      <c r="H632" s="288">
        <v>0.34</v>
      </c>
      <c r="I632" s="288">
        <v>84.803</v>
      </c>
      <c r="J632" s="279">
        <v>3413.28</v>
      </c>
      <c r="K632" s="288">
        <v>84.803</v>
      </c>
      <c r="L632" s="279">
        <v>3413.28</v>
      </c>
      <c r="M632" s="290">
        <f aca="true" t="shared" si="85" ref="M632:M640">K632/L632</f>
        <v>0.024845017109642337</v>
      </c>
      <c r="N632" s="289">
        <v>224.6</v>
      </c>
      <c r="O632" s="289">
        <f aca="true" t="shared" si="86" ref="O632:O640">M632*N632</f>
        <v>5.580190842825669</v>
      </c>
      <c r="P632" s="285">
        <f aca="true" t="shared" si="87" ref="P632:P640">M632*60*1000</f>
        <v>1490.7010265785402</v>
      </c>
      <c r="Q632" s="291">
        <f aca="true" t="shared" si="88" ref="Q632:Q640">P632*N632/1000</f>
        <v>334.81145056954017</v>
      </c>
      <c r="S632" s="87"/>
      <c r="T632" s="87"/>
    </row>
    <row r="633" spans="1:20" ht="12.75">
      <c r="A633" s="922"/>
      <c r="B633" s="232">
        <v>3</v>
      </c>
      <c r="C633" s="272" t="s">
        <v>678</v>
      </c>
      <c r="D633" s="232">
        <v>62</v>
      </c>
      <c r="E633" s="232" t="s">
        <v>71</v>
      </c>
      <c r="F633" s="288">
        <f t="shared" si="84"/>
        <v>72.043</v>
      </c>
      <c r="G633" s="288">
        <v>3.57</v>
      </c>
      <c r="H633" s="288">
        <v>9.77</v>
      </c>
      <c r="I633" s="288">
        <v>58.703</v>
      </c>
      <c r="J633" s="279">
        <v>2358.24</v>
      </c>
      <c r="K633" s="288">
        <v>58.703</v>
      </c>
      <c r="L633" s="279">
        <v>2358.24</v>
      </c>
      <c r="M633" s="290">
        <f t="shared" si="85"/>
        <v>0.02489271660221182</v>
      </c>
      <c r="N633" s="285">
        <v>224.6</v>
      </c>
      <c r="O633" s="289">
        <f t="shared" si="86"/>
        <v>5.590904148856775</v>
      </c>
      <c r="P633" s="285">
        <f t="shared" si="87"/>
        <v>1493.5629961327093</v>
      </c>
      <c r="Q633" s="291">
        <f t="shared" si="88"/>
        <v>335.4542489314065</v>
      </c>
      <c r="S633" s="87"/>
      <c r="T633" s="87"/>
    </row>
    <row r="634" spans="1:20" ht="12.75">
      <c r="A634" s="922"/>
      <c r="B634" s="232">
        <v>4</v>
      </c>
      <c r="C634" s="272" t="s">
        <v>679</v>
      </c>
      <c r="D634" s="232">
        <v>104</v>
      </c>
      <c r="E634" s="232" t="s">
        <v>71</v>
      </c>
      <c r="F634" s="288">
        <f t="shared" si="84"/>
        <v>91.5</v>
      </c>
      <c r="G634" s="288">
        <v>3.315</v>
      </c>
      <c r="H634" s="288">
        <v>0.935</v>
      </c>
      <c r="I634" s="288">
        <v>87.25</v>
      </c>
      <c r="J634" s="279">
        <v>3488.41</v>
      </c>
      <c r="K634" s="288">
        <v>87.25</v>
      </c>
      <c r="L634" s="279">
        <v>3488.41</v>
      </c>
      <c r="M634" s="290">
        <f t="shared" si="85"/>
        <v>0.02501139487617568</v>
      </c>
      <c r="N634" s="289">
        <v>224.6</v>
      </c>
      <c r="O634" s="289">
        <f t="shared" si="86"/>
        <v>5.617559289189058</v>
      </c>
      <c r="P634" s="285">
        <f t="shared" si="87"/>
        <v>1500.6836925705409</v>
      </c>
      <c r="Q634" s="291">
        <f t="shared" si="88"/>
        <v>337.05355735134344</v>
      </c>
      <c r="S634" s="87"/>
      <c r="T634" s="87"/>
    </row>
    <row r="635" spans="1:20" ht="12.75">
      <c r="A635" s="922"/>
      <c r="B635" s="232">
        <v>5</v>
      </c>
      <c r="C635" s="272" t="s">
        <v>680</v>
      </c>
      <c r="D635" s="232">
        <v>27</v>
      </c>
      <c r="E635" s="232" t="s">
        <v>71</v>
      </c>
      <c r="F635" s="288">
        <f t="shared" si="84"/>
        <v>35.5</v>
      </c>
      <c r="G635" s="288">
        <v>0.663</v>
      </c>
      <c r="H635" s="288">
        <v>0.27</v>
      </c>
      <c r="I635" s="288">
        <v>34.567</v>
      </c>
      <c r="J635" s="279">
        <v>1367.55</v>
      </c>
      <c r="K635" s="288">
        <v>34.567</v>
      </c>
      <c r="L635" s="279">
        <v>1367.55</v>
      </c>
      <c r="M635" s="290">
        <f t="shared" si="85"/>
        <v>0.025276589521406895</v>
      </c>
      <c r="N635" s="285">
        <v>224.6</v>
      </c>
      <c r="O635" s="289">
        <f t="shared" si="86"/>
        <v>5.677122006507989</v>
      </c>
      <c r="P635" s="285">
        <f t="shared" si="87"/>
        <v>1516.595371284414</v>
      </c>
      <c r="Q635" s="291">
        <f t="shared" si="88"/>
        <v>340.6273203904793</v>
      </c>
      <c r="S635" s="87"/>
      <c r="T635" s="87"/>
    </row>
    <row r="636" spans="1:20" ht="12.75">
      <c r="A636" s="922"/>
      <c r="B636" s="232">
        <v>6</v>
      </c>
      <c r="C636" s="272" t="s">
        <v>681</v>
      </c>
      <c r="D636" s="232">
        <v>60</v>
      </c>
      <c r="E636" s="232" t="s">
        <v>71</v>
      </c>
      <c r="F636" s="288">
        <f t="shared" si="84"/>
        <v>74.55</v>
      </c>
      <c r="G636" s="288">
        <v>3.315</v>
      </c>
      <c r="H636" s="288">
        <v>9.6</v>
      </c>
      <c r="I636" s="288">
        <v>61.635</v>
      </c>
      <c r="J636" s="279">
        <v>2424.32</v>
      </c>
      <c r="K636" s="288">
        <v>61.635</v>
      </c>
      <c r="L636" s="279">
        <v>2424.32</v>
      </c>
      <c r="M636" s="290">
        <f t="shared" si="85"/>
        <v>0.025423623944033788</v>
      </c>
      <c r="N636" s="289">
        <v>224.6</v>
      </c>
      <c r="O636" s="289">
        <f t="shared" si="86"/>
        <v>5.710145937829989</v>
      </c>
      <c r="P636" s="285">
        <f t="shared" si="87"/>
        <v>1525.4174366420273</v>
      </c>
      <c r="Q636" s="291">
        <f t="shared" si="88"/>
        <v>342.6087562697993</v>
      </c>
      <c r="S636" s="87"/>
      <c r="T636" s="87"/>
    </row>
    <row r="637" spans="1:20" ht="12.75">
      <c r="A637" s="922"/>
      <c r="B637" s="232">
        <v>7</v>
      </c>
      <c r="C637" s="272" t="s">
        <v>682</v>
      </c>
      <c r="D637" s="232">
        <v>22</v>
      </c>
      <c r="E637" s="232" t="s">
        <v>71</v>
      </c>
      <c r="F637" s="288">
        <f t="shared" si="84"/>
        <v>36.161</v>
      </c>
      <c r="G637" s="288">
        <v>2.142</v>
      </c>
      <c r="H637" s="288">
        <v>3.52</v>
      </c>
      <c r="I637" s="288">
        <v>30.499000000000002</v>
      </c>
      <c r="J637" s="279">
        <v>1197.18</v>
      </c>
      <c r="K637" s="288">
        <v>30.499000000000002</v>
      </c>
      <c r="L637" s="279">
        <v>1197.18</v>
      </c>
      <c r="M637" s="290">
        <f t="shared" si="85"/>
        <v>0.025475701231226718</v>
      </c>
      <c r="N637" s="285">
        <v>224.6</v>
      </c>
      <c r="O637" s="289">
        <f t="shared" si="86"/>
        <v>5.721842496533521</v>
      </c>
      <c r="P637" s="285">
        <f t="shared" si="87"/>
        <v>1528.5420738736032</v>
      </c>
      <c r="Q637" s="291">
        <f t="shared" si="88"/>
        <v>343.3105497920113</v>
      </c>
      <c r="S637" s="87"/>
      <c r="T637" s="87"/>
    </row>
    <row r="638" spans="1:20" ht="12.75">
      <c r="A638" s="922"/>
      <c r="B638" s="232">
        <v>8</v>
      </c>
      <c r="C638" s="272" t="s">
        <v>683</v>
      </c>
      <c r="D638" s="232">
        <v>44</v>
      </c>
      <c r="E638" s="232" t="s">
        <v>71</v>
      </c>
      <c r="F638" s="288">
        <f t="shared" si="84"/>
        <v>48.839</v>
      </c>
      <c r="G638" s="288">
        <v>0</v>
      </c>
      <c r="H638" s="288">
        <v>0</v>
      </c>
      <c r="I638" s="288">
        <v>48.839</v>
      </c>
      <c r="J638" s="279">
        <v>1876.15</v>
      </c>
      <c r="K638" s="288">
        <v>48.839</v>
      </c>
      <c r="L638" s="279">
        <v>1876.15</v>
      </c>
      <c r="M638" s="290">
        <f t="shared" si="85"/>
        <v>0.026031500679583187</v>
      </c>
      <c r="N638" s="289">
        <v>224.6</v>
      </c>
      <c r="O638" s="289">
        <f t="shared" si="86"/>
        <v>5.846675052634383</v>
      </c>
      <c r="P638" s="285">
        <f t="shared" si="87"/>
        <v>1561.8900407749911</v>
      </c>
      <c r="Q638" s="291">
        <f t="shared" si="88"/>
        <v>350.800503158063</v>
      </c>
      <c r="S638" s="87"/>
      <c r="T638" s="87"/>
    </row>
    <row r="639" spans="1:20" ht="12.75">
      <c r="A639" s="922"/>
      <c r="B639" s="232">
        <v>9</v>
      </c>
      <c r="C639" s="272" t="s">
        <v>684</v>
      </c>
      <c r="D639" s="232">
        <v>24</v>
      </c>
      <c r="E639" s="232" t="s">
        <v>71</v>
      </c>
      <c r="F639" s="288">
        <f t="shared" si="84"/>
        <v>31.4</v>
      </c>
      <c r="G639" s="288">
        <v>1.4280000000000002</v>
      </c>
      <c r="H639" s="288">
        <v>3.84</v>
      </c>
      <c r="I639" s="288">
        <v>26.131999999999998</v>
      </c>
      <c r="J639" s="279">
        <v>1000.52</v>
      </c>
      <c r="K639" s="288">
        <v>26.131999999999998</v>
      </c>
      <c r="L639" s="279">
        <v>1000.52</v>
      </c>
      <c r="M639" s="290">
        <f t="shared" si="85"/>
        <v>0.02611841842242034</v>
      </c>
      <c r="N639" s="285">
        <v>224.6</v>
      </c>
      <c r="O639" s="289">
        <f t="shared" si="86"/>
        <v>5.866196777675608</v>
      </c>
      <c r="P639" s="285">
        <f t="shared" si="87"/>
        <v>1567.1051053452202</v>
      </c>
      <c r="Q639" s="291">
        <f t="shared" si="88"/>
        <v>351.97180666053646</v>
      </c>
      <c r="S639" s="87"/>
      <c r="T639" s="87"/>
    </row>
    <row r="640" spans="1:20" ht="13.5" thickBot="1">
      <c r="A640" s="924"/>
      <c r="B640" s="246">
        <v>10</v>
      </c>
      <c r="C640" s="276" t="s">
        <v>685</v>
      </c>
      <c r="D640" s="246">
        <v>20</v>
      </c>
      <c r="E640" s="246" t="s">
        <v>71</v>
      </c>
      <c r="F640" s="348">
        <f t="shared" si="84"/>
        <v>29.714</v>
      </c>
      <c r="G640" s="292">
        <v>1.377</v>
      </c>
      <c r="H640" s="292">
        <v>3.12</v>
      </c>
      <c r="I640" s="292">
        <v>25.217</v>
      </c>
      <c r="J640" s="281">
        <v>950.66</v>
      </c>
      <c r="K640" s="292">
        <v>25.217</v>
      </c>
      <c r="L640" s="281">
        <v>950.66</v>
      </c>
      <c r="M640" s="294">
        <f t="shared" si="85"/>
        <v>0.026525782088233436</v>
      </c>
      <c r="N640" s="293">
        <v>224.6</v>
      </c>
      <c r="O640" s="293">
        <f t="shared" si="86"/>
        <v>5.957690657017229</v>
      </c>
      <c r="P640" s="293">
        <f t="shared" si="87"/>
        <v>1591.5469252940063</v>
      </c>
      <c r="Q640" s="295">
        <f t="shared" si="88"/>
        <v>357.46143942103384</v>
      </c>
      <c r="S640" s="87"/>
      <c r="T640" s="87"/>
    </row>
    <row r="641" spans="1:20" ht="12.75">
      <c r="A641" s="948" t="s">
        <v>12</v>
      </c>
      <c r="B641" s="39">
        <v>1</v>
      </c>
      <c r="C641" s="238" t="s">
        <v>686</v>
      </c>
      <c r="D641" s="39">
        <v>29</v>
      </c>
      <c r="E641" s="39" t="s">
        <v>71</v>
      </c>
      <c r="F641" s="429">
        <f>G641+H641+I641</f>
        <v>35</v>
      </c>
      <c r="G641" s="429">
        <v>0.153</v>
      </c>
      <c r="H641" s="429">
        <v>0.28</v>
      </c>
      <c r="I641" s="429">
        <v>34.567</v>
      </c>
      <c r="J641" s="360">
        <v>1288.78</v>
      </c>
      <c r="K641" s="429">
        <v>34.567</v>
      </c>
      <c r="L641" s="357">
        <v>1288.78</v>
      </c>
      <c r="M641" s="226">
        <f>K641/L641</f>
        <v>0.026821490091404273</v>
      </c>
      <c r="N641" s="177">
        <v>224.6</v>
      </c>
      <c r="O641" s="177">
        <f>M641*N641</f>
        <v>6.024106674529399</v>
      </c>
      <c r="P641" s="177">
        <f>M641*60*1000</f>
        <v>1609.2894054842563</v>
      </c>
      <c r="Q641" s="305">
        <f>P641*N641/1000</f>
        <v>361.446400471764</v>
      </c>
      <c r="S641" s="87"/>
      <c r="T641" s="87"/>
    </row>
    <row r="642" spans="1:20" ht="12.75">
      <c r="A642" s="919"/>
      <c r="B642" s="41">
        <v>2</v>
      </c>
      <c r="C642" s="49" t="s">
        <v>374</v>
      </c>
      <c r="D642" s="41">
        <v>101</v>
      </c>
      <c r="E642" s="41" t="s">
        <v>71</v>
      </c>
      <c r="F642" s="185">
        <f>G642+H642+I642</f>
        <v>90.725</v>
      </c>
      <c r="G642" s="185">
        <v>2.55</v>
      </c>
      <c r="H642" s="185">
        <v>0.84</v>
      </c>
      <c r="I642" s="185">
        <v>87.335</v>
      </c>
      <c r="J642" s="317">
        <v>3243.26</v>
      </c>
      <c r="K642" s="185">
        <v>87.335</v>
      </c>
      <c r="L642" s="317">
        <v>3243.26</v>
      </c>
      <c r="M642" s="227">
        <f aca="true" t="shared" si="89" ref="M642:M650">K642/L642</f>
        <v>0.02692815253787855</v>
      </c>
      <c r="N642" s="310">
        <v>224.6</v>
      </c>
      <c r="O642" s="310">
        <f aca="true" t="shared" si="90" ref="O642:O650">M642*N642</f>
        <v>6.0480630600075225</v>
      </c>
      <c r="P642" s="177">
        <f aca="true" t="shared" si="91" ref="P642:P650">M642*60*1000</f>
        <v>1615.689152272713</v>
      </c>
      <c r="Q642" s="311">
        <f aca="true" t="shared" si="92" ref="Q642:Q650">P642*N642/1000</f>
        <v>362.88378360045135</v>
      </c>
      <c r="S642" s="87"/>
      <c r="T642" s="87"/>
    </row>
    <row r="643" spans="1:20" ht="12.75">
      <c r="A643" s="919"/>
      <c r="B643" s="41">
        <v>3</v>
      </c>
      <c r="C643" s="49" t="s">
        <v>375</v>
      </c>
      <c r="D643" s="41">
        <v>32</v>
      </c>
      <c r="E643" s="41" t="s">
        <v>71</v>
      </c>
      <c r="F643" s="185">
        <f>G643+H643+I643</f>
        <v>43.870000000000005</v>
      </c>
      <c r="G643" s="185">
        <v>3.264</v>
      </c>
      <c r="H643" s="185">
        <v>0.47</v>
      </c>
      <c r="I643" s="185">
        <v>40.136</v>
      </c>
      <c r="J643" s="317">
        <v>1420.48</v>
      </c>
      <c r="K643" s="185">
        <v>40.136</v>
      </c>
      <c r="L643" s="317">
        <v>1420.48</v>
      </c>
      <c r="M643" s="227">
        <f t="shared" si="89"/>
        <v>0.028255237666141023</v>
      </c>
      <c r="N643" s="177">
        <v>224.6</v>
      </c>
      <c r="O643" s="310">
        <f t="shared" si="90"/>
        <v>6.346126379815273</v>
      </c>
      <c r="P643" s="177">
        <f t="shared" si="91"/>
        <v>1695.3142599684613</v>
      </c>
      <c r="Q643" s="311">
        <f t="shared" si="92"/>
        <v>380.7675827889164</v>
      </c>
      <c r="S643" s="87"/>
      <c r="T643" s="87"/>
    </row>
    <row r="644" spans="1:20" ht="12.75">
      <c r="A644" s="919"/>
      <c r="B644" s="41">
        <v>4</v>
      </c>
      <c r="C644" s="49" t="s">
        <v>687</v>
      </c>
      <c r="D644" s="41">
        <v>24</v>
      </c>
      <c r="E644" s="41" t="s">
        <v>71</v>
      </c>
      <c r="F644" s="185">
        <f aca="true" t="shared" si="93" ref="F644:F650">G644+H644+I644</f>
        <v>37.163</v>
      </c>
      <c r="G644" s="185">
        <v>0.663</v>
      </c>
      <c r="H644" s="185">
        <v>3.84</v>
      </c>
      <c r="I644" s="185">
        <v>32.66</v>
      </c>
      <c r="J644" s="317">
        <v>1127.22</v>
      </c>
      <c r="K644" s="185">
        <v>32.66</v>
      </c>
      <c r="L644" s="317">
        <v>1127.22</v>
      </c>
      <c r="M644" s="227">
        <f t="shared" si="89"/>
        <v>0.028973935877645886</v>
      </c>
      <c r="N644" s="310">
        <v>224.6</v>
      </c>
      <c r="O644" s="310">
        <f t="shared" si="90"/>
        <v>6.507545998119266</v>
      </c>
      <c r="P644" s="177">
        <f t="shared" si="91"/>
        <v>1738.4361526587531</v>
      </c>
      <c r="Q644" s="311">
        <f t="shared" si="92"/>
        <v>390.45275988715593</v>
      </c>
      <c r="S644" s="87"/>
      <c r="T644" s="87"/>
    </row>
    <row r="645" spans="1:20" ht="12.75">
      <c r="A645" s="919"/>
      <c r="B645" s="41">
        <v>5</v>
      </c>
      <c r="C645" s="49" t="s">
        <v>688</v>
      </c>
      <c r="D645" s="41">
        <v>23</v>
      </c>
      <c r="E645" s="41" t="s">
        <v>71</v>
      </c>
      <c r="F645" s="185">
        <f t="shared" si="93"/>
        <v>35</v>
      </c>
      <c r="G645" s="185">
        <v>0.102</v>
      </c>
      <c r="H645" s="185">
        <v>0.23</v>
      </c>
      <c r="I645" s="185">
        <v>34.668</v>
      </c>
      <c r="J645" s="317">
        <v>1195.58</v>
      </c>
      <c r="K645" s="185">
        <v>34.668</v>
      </c>
      <c r="L645" s="317">
        <v>1195.58</v>
      </c>
      <c r="M645" s="227">
        <f t="shared" si="89"/>
        <v>0.028996804898041118</v>
      </c>
      <c r="N645" s="177">
        <v>224.6</v>
      </c>
      <c r="O645" s="310">
        <f t="shared" si="90"/>
        <v>6.512682380100035</v>
      </c>
      <c r="P645" s="177">
        <f t="shared" si="91"/>
        <v>1739.808293882467</v>
      </c>
      <c r="Q645" s="311">
        <f t="shared" si="92"/>
        <v>390.7609428060021</v>
      </c>
      <c r="S645" s="87"/>
      <c r="T645" s="87"/>
    </row>
    <row r="646" spans="1:20" ht="12.75">
      <c r="A646" s="919"/>
      <c r="B646" s="41">
        <v>6</v>
      </c>
      <c r="C646" s="49" t="s">
        <v>689</v>
      </c>
      <c r="D646" s="41">
        <v>12</v>
      </c>
      <c r="E646" s="41" t="s">
        <v>71</v>
      </c>
      <c r="F646" s="185">
        <f t="shared" si="93"/>
        <v>17.700000000000003</v>
      </c>
      <c r="G646" s="185">
        <v>0.102</v>
      </c>
      <c r="H646" s="185">
        <v>0.12</v>
      </c>
      <c r="I646" s="185">
        <v>17.478</v>
      </c>
      <c r="J646" s="317">
        <v>600.89</v>
      </c>
      <c r="K646" s="185">
        <v>17.478</v>
      </c>
      <c r="L646" s="317">
        <v>600.89</v>
      </c>
      <c r="M646" s="227">
        <f t="shared" si="89"/>
        <v>0.029086854499159584</v>
      </c>
      <c r="N646" s="310">
        <v>224.6</v>
      </c>
      <c r="O646" s="310">
        <f t="shared" si="90"/>
        <v>6.532907520511243</v>
      </c>
      <c r="P646" s="177">
        <f t="shared" si="91"/>
        <v>1745.211269949575</v>
      </c>
      <c r="Q646" s="311">
        <f t="shared" si="92"/>
        <v>391.9744512306745</v>
      </c>
      <c r="S646" s="87"/>
      <c r="T646" s="87"/>
    </row>
    <row r="647" spans="1:20" ht="12.75">
      <c r="A647" s="919"/>
      <c r="B647" s="41">
        <v>7</v>
      </c>
      <c r="C647" s="49" t="s">
        <v>493</v>
      </c>
      <c r="D647" s="41">
        <v>10</v>
      </c>
      <c r="E647" s="41" t="s">
        <v>71</v>
      </c>
      <c r="F647" s="185">
        <f t="shared" si="93"/>
        <v>18.396</v>
      </c>
      <c r="G647" s="185">
        <v>0.153</v>
      </c>
      <c r="H647" s="185">
        <v>1.13</v>
      </c>
      <c r="I647" s="185">
        <v>17.113</v>
      </c>
      <c r="J647" s="317">
        <v>584.3</v>
      </c>
      <c r="K647" s="185">
        <v>17.113</v>
      </c>
      <c r="L647" s="317">
        <v>584.3</v>
      </c>
      <c r="M647" s="227">
        <f t="shared" si="89"/>
        <v>0.029288036967311314</v>
      </c>
      <c r="N647" s="177">
        <v>224.6</v>
      </c>
      <c r="O647" s="310">
        <f t="shared" si="90"/>
        <v>6.578093102858121</v>
      </c>
      <c r="P647" s="177">
        <f t="shared" si="91"/>
        <v>1757.2822180386788</v>
      </c>
      <c r="Q647" s="311">
        <f t="shared" si="92"/>
        <v>394.6855861714872</v>
      </c>
      <c r="S647" s="87"/>
      <c r="T647" s="87"/>
    </row>
    <row r="648" spans="1:20" ht="12.75">
      <c r="A648" s="919"/>
      <c r="B648" s="41">
        <v>8</v>
      </c>
      <c r="C648" s="49" t="s">
        <v>690</v>
      </c>
      <c r="D648" s="41">
        <v>20</v>
      </c>
      <c r="E648" s="41" t="s">
        <v>71</v>
      </c>
      <c r="F648" s="185">
        <f t="shared" si="93"/>
        <v>36.199999999999996</v>
      </c>
      <c r="G648" s="185">
        <v>1.4280000000000002</v>
      </c>
      <c r="H648" s="185">
        <v>3.12</v>
      </c>
      <c r="I648" s="185">
        <v>31.651999999999997</v>
      </c>
      <c r="J648" s="317">
        <v>1076.74</v>
      </c>
      <c r="K648" s="185">
        <v>31.651999999999997</v>
      </c>
      <c r="L648" s="317">
        <v>1076.74</v>
      </c>
      <c r="M648" s="227">
        <f t="shared" si="89"/>
        <v>0.02939614020097702</v>
      </c>
      <c r="N648" s="310">
        <v>224.6</v>
      </c>
      <c r="O648" s="310">
        <f t="shared" si="90"/>
        <v>6.602373089139439</v>
      </c>
      <c r="P648" s="177">
        <f t="shared" si="91"/>
        <v>1763.7684120586212</v>
      </c>
      <c r="Q648" s="311">
        <f t="shared" si="92"/>
        <v>396.1423853483663</v>
      </c>
      <c r="S648" s="87"/>
      <c r="T648" s="87"/>
    </row>
    <row r="649" spans="1:20" ht="12.75">
      <c r="A649" s="919"/>
      <c r="B649" s="41">
        <v>9</v>
      </c>
      <c r="C649" s="82" t="s">
        <v>377</v>
      </c>
      <c r="D649" s="41">
        <v>12</v>
      </c>
      <c r="E649" s="41" t="s">
        <v>71</v>
      </c>
      <c r="F649" s="185">
        <f t="shared" si="93"/>
        <v>20.317999999999998</v>
      </c>
      <c r="G649" s="185">
        <v>0.612</v>
      </c>
      <c r="H649" s="185">
        <v>1.92</v>
      </c>
      <c r="I649" s="185">
        <v>17.785999999999998</v>
      </c>
      <c r="J649" s="317">
        <v>540.32</v>
      </c>
      <c r="K649" s="185">
        <v>17.785999999999998</v>
      </c>
      <c r="L649" s="317">
        <v>540.32</v>
      </c>
      <c r="M649" s="227">
        <f t="shared" si="89"/>
        <v>0.03291753035238377</v>
      </c>
      <c r="N649" s="177">
        <v>224.6</v>
      </c>
      <c r="O649" s="310">
        <f t="shared" si="90"/>
        <v>7.393277317145394</v>
      </c>
      <c r="P649" s="177">
        <f t="shared" si="91"/>
        <v>1975.0518211430262</v>
      </c>
      <c r="Q649" s="311">
        <f t="shared" si="92"/>
        <v>443.5966390287237</v>
      </c>
      <c r="S649" s="87"/>
      <c r="T649" s="87"/>
    </row>
    <row r="650" spans="1:20" ht="13.5" thickBot="1">
      <c r="A650" s="920"/>
      <c r="B650" s="46">
        <v>10</v>
      </c>
      <c r="C650" s="79" t="s">
        <v>376</v>
      </c>
      <c r="D650" s="46">
        <v>109</v>
      </c>
      <c r="E650" s="46" t="s">
        <v>71</v>
      </c>
      <c r="F650" s="228">
        <f t="shared" si="93"/>
        <v>108.89999999999999</v>
      </c>
      <c r="G650" s="228">
        <v>4.1744520000000005</v>
      </c>
      <c r="H650" s="228">
        <v>16.38</v>
      </c>
      <c r="I650" s="228">
        <v>88.345548</v>
      </c>
      <c r="J650" s="358">
        <v>2560.75</v>
      </c>
      <c r="K650" s="228">
        <v>88.345548</v>
      </c>
      <c r="L650" s="358">
        <v>2560.75</v>
      </c>
      <c r="M650" s="230">
        <f t="shared" si="89"/>
        <v>0.034499872303036215</v>
      </c>
      <c r="N650" s="613">
        <v>224.6</v>
      </c>
      <c r="O650" s="229">
        <f t="shared" si="90"/>
        <v>7.748671319261934</v>
      </c>
      <c r="P650" s="229">
        <f t="shared" si="91"/>
        <v>2069.992338182173</v>
      </c>
      <c r="Q650" s="308">
        <f t="shared" si="92"/>
        <v>464.92027915571606</v>
      </c>
      <c r="S650" s="87"/>
      <c r="T650" s="87"/>
    </row>
    <row r="651" spans="14:20" ht="12.75">
      <c r="N651" s="603"/>
      <c r="S651" s="87"/>
      <c r="T651" s="87"/>
    </row>
    <row r="652" spans="19:20" ht="12.75">
      <c r="S652" s="87"/>
      <c r="T652" s="87"/>
    </row>
    <row r="653" spans="19:20" ht="12.75">
      <c r="S653" s="87"/>
      <c r="T653" s="87"/>
    </row>
    <row r="654" spans="3:20" ht="12.75">
      <c r="C654" s="1"/>
      <c r="D654" s="1"/>
      <c r="E654" s="1"/>
      <c r="S654" s="87"/>
      <c r="T654" s="87"/>
    </row>
    <row r="655" spans="3:20" ht="12.75">
      <c r="C655" s="1"/>
      <c r="D655" s="1"/>
      <c r="E655" s="1"/>
      <c r="S655" s="87"/>
      <c r="T655" s="87"/>
    </row>
    <row r="656" spans="1:20" s="17" customFormat="1" ht="12.75" customHeight="1">
      <c r="A656" s="917" t="s">
        <v>41</v>
      </c>
      <c r="B656" s="917"/>
      <c r="C656" s="917"/>
      <c r="D656" s="917"/>
      <c r="E656" s="917"/>
      <c r="F656" s="917"/>
      <c r="G656" s="917"/>
      <c r="H656" s="917"/>
      <c r="I656" s="917"/>
      <c r="J656" s="917"/>
      <c r="K656" s="917"/>
      <c r="L656" s="917"/>
      <c r="M656" s="917"/>
      <c r="N656" s="917"/>
      <c r="O656" s="917"/>
      <c r="P656" s="917"/>
      <c r="Q656" s="917"/>
      <c r="S656" s="87"/>
      <c r="T656" s="87"/>
    </row>
    <row r="657" spans="1:20" s="17" customFormat="1" ht="15" customHeight="1" thickBot="1">
      <c r="A657" s="936" t="s">
        <v>691</v>
      </c>
      <c r="B657" s="936"/>
      <c r="C657" s="936"/>
      <c r="D657" s="936"/>
      <c r="E657" s="936"/>
      <c r="F657" s="936"/>
      <c r="G657" s="936"/>
      <c r="H657" s="936"/>
      <c r="I657" s="936"/>
      <c r="J657" s="936"/>
      <c r="K657" s="936"/>
      <c r="L657" s="936"/>
      <c r="M657" s="936"/>
      <c r="N657" s="936"/>
      <c r="O657" s="936"/>
      <c r="P657" s="936"/>
      <c r="Q657" s="936"/>
      <c r="S657" s="87"/>
      <c r="T657" s="87"/>
    </row>
    <row r="658" spans="1:20" ht="12.75" customHeight="1">
      <c r="A658" s="1005" t="s">
        <v>1</v>
      </c>
      <c r="B658" s="892" t="s">
        <v>0</v>
      </c>
      <c r="C658" s="995" t="s">
        <v>2</v>
      </c>
      <c r="D658" s="995" t="s">
        <v>3</v>
      </c>
      <c r="E658" s="995" t="s">
        <v>42</v>
      </c>
      <c r="F658" s="996" t="s">
        <v>14</v>
      </c>
      <c r="G658" s="996"/>
      <c r="H658" s="996"/>
      <c r="I658" s="996"/>
      <c r="J658" s="995" t="s">
        <v>4</v>
      </c>
      <c r="K658" s="995" t="s">
        <v>15</v>
      </c>
      <c r="L658" s="995" t="s">
        <v>5</v>
      </c>
      <c r="M658" s="995" t="s">
        <v>6</v>
      </c>
      <c r="N658" s="995" t="s">
        <v>16</v>
      </c>
      <c r="O658" s="995" t="s">
        <v>17</v>
      </c>
      <c r="P658" s="876" t="s">
        <v>25</v>
      </c>
      <c r="Q658" s="878" t="s">
        <v>26</v>
      </c>
      <c r="S658" s="87"/>
      <c r="T658" s="87"/>
    </row>
    <row r="659" spans="1:20" s="2" customFormat="1" ht="33.75">
      <c r="A659" s="1006"/>
      <c r="B659" s="893"/>
      <c r="C659" s="959"/>
      <c r="D659" s="959"/>
      <c r="E659" s="959"/>
      <c r="F659" s="36" t="s">
        <v>18</v>
      </c>
      <c r="G659" s="36" t="s">
        <v>19</v>
      </c>
      <c r="H659" s="36" t="s">
        <v>32</v>
      </c>
      <c r="I659" s="36" t="s">
        <v>21</v>
      </c>
      <c r="J659" s="959"/>
      <c r="K659" s="959"/>
      <c r="L659" s="959"/>
      <c r="M659" s="959"/>
      <c r="N659" s="959"/>
      <c r="O659" s="959"/>
      <c r="P659" s="877"/>
      <c r="Q659" s="879"/>
      <c r="S659" s="87"/>
      <c r="T659" s="87"/>
    </row>
    <row r="660" spans="1:20" s="3" customFormat="1" ht="13.5" customHeight="1" thickBot="1">
      <c r="A660" s="1007"/>
      <c r="B660" s="893"/>
      <c r="C660" s="997"/>
      <c r="D660" s="59" t="s">
        <v>7</v>
      </c>
      <c r="E660" s="59" t="s">
        <v>8</v>
      </c>
      <c r="F660" s="59" t="s">
        <v>9</v>
      </c>
      <c r="G660" s="59" t="s">
        <v>9</v>
      </c>
      <c r="H660" s="59" t="s">
        <v>9</v>
      </c>
      <c r="I660" s="59" t="s">
        <v>9</v>
      </c>
      <c r="J660" s="59" t="s">
        <v>22</v>
      </c>
      <c r="K660" s="59" t="s">
        <v>9</v>
      </c>
      <c r="L660" s="59" t="s">
        <v>22</v>
      </c>
      <c r="M660" s="59" t="s">
        <v>23</v>
      </c>
      <c r="N660" s="59" t="s">
        <v>10</v>
      </c>
      <c r="O660" s="59" t="s">
        <v>24</v>
      </c>
      <c r="P660" s="66" t="s">
        <v>27</v>
      </c>
      <c r="Q660" s="61" t="s">
        <v>28</v>
      </c>
      <c r="S660" s="87"/>
      <c r="T660" s="87"/>
    </row>
    <row r="661" spans="1:20" ht="12.75">
      <c r="A661" s="899" t="s">
        <v>11</v>
      </c>
      <c r="B661" s="30">
        <v>1</v>
      </c>
      <c r="C661" s="63" t="s">
        <v>379</v>
      </c>
      <c r="D661" s="62">
        <v>30</v>
      </c>
      <c r="E661" s="62" t="s">
        <v>238</v>
      </c>
      <c r="F661" s="146">
        <f aca="true" t="shared" si="94" ref="F661:F700">G661+H661+I661</f>
        <v>25.009300000000003</v>
      </c>
      <c r="G661" s="249">
        <v>3.248</v>
      </c>
      <c r="H661" s="249">
        <v>4.8</v>
      </c>
      <c r="I661" s="249">
        <v>16.9613</v>
      </c>
      <c r="J661" s="93">
        <v>1717.43</v>
      </c>
      <c r="K661" s="249">
        <v>16.9613</v>
      </c>
      <c r="L661" s="93">
        <v>1717.43</v>
      </c>
      <c r="M661" s="133">
        <f aca="true" t="shared" si="95" ref="M661:M700">K661/L661</f>
        <v>0.009875977477975813</v>
      </c>
      <c r="N661" s="250">
        <v>207.3</v>
      </c>
      <c r="O661" s="640">
        <f aca="true" t="shared" si="96" ref="O661:O700">M661*N661</f>
        <v>2.0472901311843863</v>
      </c>
      <c r="P661" s="640">
        <f aca="true" t="shared" si="97" ref="P661:P700">M661*1000*60</f>
        <v>592.5586486785487</v>
      </c>
      <c r="Q661" s="134">
        <f aca="true" t="shared" si="98" ref="Q661:Q700">O661*60</f>
        <v>122.83740787106318</v>
      </c>
      <c r="R661" s="6"/>
      <c r="S661" s="87"/>
      <c r="T661" s="87"/>
    </row>
    <row r="662" spans="1:20" ht="12.75">
      <c r="A662" s="998"/>
      <c r="B662" s="31">
        <v>2</v>
      </c>
      <c r="C662" s="16" t="s">
        <v>240</v>
      </c>
      <c r="D662" s="31">
        <v>13</v>
      </c>
      <c r="E662" s="31">
        <v>2007</v>
      </c>
      <c r="F662" s="146">
        <f t="shared" si="94"/>
        <v>15.490400000000001</v>
      </c>
      <c r="G662" s="146">
        <v>2.185</v>
      </c>
      <c r="H662" s="146">
        <v>2</v>
      </c>
      <c r="I662" s="146">
        <v>11.3054</v>
      </c>
      <c r="J662" s="176">
        <v>1052.22</v>
      </c>
      <c r="K662" s="146">
        <v>11.3054</v>
      </c>
      <c r="L662" s="176">
        <v>1052.22</v>
      </c>
      <c r="M662" s="133">
        <f t="shared" si="95"/>
        <v>0.010744331033434073</v>
      </c>
      <c r="N662" s="250">
        <v>207.3</v>
      </c>
      <c r="O662" s="640">
        <f t="shared" si="96"/>
        <v>2.2272998232308834</v>
      </c>
      <c r="P662" s="640">
        <f t="shared" si="97"/>
        <v>644.6598620060444</v>
      </c>
      <c r="Q662" s="134">
        <f t="shared" si="98"/>
        <v>133.637989393853</v>
      </c>
      <c r="S662" s="87"/>
      <c r="T662" s="87"/>
    </row>
    <row r="663" spans="1:20" ht="12.75">
      <c r="A663" s="998"/>
      <c r="B663" s="31">
        <v>3</v>
      </c>
      <c r="C663" s="63" t="s">
        <v>237</v>
      </c>
      <c r="D663" s="62">
        <v>22</v>
      </c>
      <c r="E663" s="62">
        <v>2009</v>
      </c>
      <c r="F663" s="146">
        <f t="shared" si="94"/>
        <v>26.6479</v>
      </c>
      <c r="G663" s="249">
        <v>3.1225</v>
      </c>
      <c r="H663" s="249">
        <v>0</v>
      </c>
      <c r="I663" s="249">
        <v>23.5254</v>
      </c>
      <c r="J663" s="93">
        <v>2114.72</v>
      </c>
      <c r="K663" s="249">
        <v>23.5254</v>
      </c>
      <c r="L663" s="93">
        <v>2114.72</v>
      </c>
      <c r="M663" s="251">
        <f t="shared" si="95"/>
        <v>0.011124593326776124</v>
      </c>
      <c r="N663" s="250">
        <v>207.3</v>
      </c>
      <c r="O663" s="640">
        <f t="shared" si="96"/>
        <v>2.3061281966406906</v>
      </c>
      <c r="P663" s="640">
        <f t="shared" si="97"/>
        <v>667.4755996065674</v>
      </c>
      <c r="Q663" s="134">
        <f t="shared" si="98"/>
        <v>138.36769179844143</v>
      </c>
      <c r="S663" s="87"/>
      <c r="T663" s="87"/>
    </row>
    <row r="664" spans="1:20" ht="12.75">
      <c r="A664" s="998"/>
      <c r="B664" s="31">
        <v>4</v>
      </c>
      <c r="C664" s="16" t="s">
        <v>378</v>
      </c>
      <c r="D664" s="62">
        <v>29</v>
      </c>
      <c r="E664" s="62" t="s">
        <v>71</v>
      </c>
      <c r="F664" s="249">
        <f t="shared" si="94"/>
        <v>28.6428</v>
      </c>
      <c r="G664" s="249">
        <v>2.328</v>
      </c>
      <c r="H664" s="249">
        <v>4.64</v>
      </c>
      <c r="I664" s="249">
        <v>21.6748</v>
      </c>
      <c r="J664" s="93">
        <v>1637.55</v>
      </c>
      <c r="K664" s="249">
        <v>21.6748</v>
      </c>
      <c r="L664" s="93">
        <v>1637.55</v>
      </c>
      <c r="M664" s="251">
        <f t="shared" si="95"/>
        <v>0.013236114927788466</v>
      </c>
      <c r="N664" s="250">
        <v>207.3</v>
      </c>
      <c r="O664" s="252">
        <f t="shared" si="96"/>
        <v>2.743846624530549</v>
      </c>
      <c r="P664" s="252">
        <f t="shared" si="97"/>
        <v>794.1668956673079</v>
      </c>
      <c r="Q664" s="635">
        <f t="shared" si="98"/>
        <v>164.63079747183295</v>
      </c>
      <c r="S664" s="87"/>
      <c r="T664" s="87"/>
    </row>
    <row r="665" spans="1:20" ht="12.75">
      <c r="A665" s="998"/>
      <c r="B665" s="31">
        <v>5</v>
      </c>
      <c r="C665" s="16" t="s">
        <v>239</v>
      </c>
      <c r="D665" s="31">
        <v>30</v>
      </c>
      <c r="E665" s="31" t="s">
        <v>71</v>
      </c>
      <c r="F665" s="414">
        <f t="shared" si="94"/>
        <v>29.999499999999998</v>
      </c>
      <c r="G665" s="644">
        <v>2.355</v>
      </c>
      <c r="H665" s="414">
        <v>4.8</v>
      </c>
      <c r="I665" s="414">
        <v>22.8445</v>
      </c>
      <c r="J665" s="418">
        <v>1712.83</v>
      </c>
      <c r="K665" s="414">
        <v>22.8445</v>
      </c>
      <c r="L665" s="418">
        <v>1712.83</v>
      </c>
      <c r="M665" s="641">
        <f t="shared" si="95"/>
        <v>0.013337283910253791</v>
      </c>
      <c r="N665" s="250">
        <v>207.3</v>
      </c>
      <c r="O665" s="456">
        <f t="shared" si="96"/>
        <v>2.764818954595611</v>
      </c>
      <c r="P665" s="456">
        <f t="shared" si="97"/>
        <v>800.2370346152275</v>
      </c>
      <c r="Q665" s="415">
        <f t="shared" si="98"/>
        <v>165.88913727573666</v>
      </c>
      <c r="S665" s="87"/>
      <c r="T665" s="87"/>
    </row>
    <row r="666" spans="1:20" ht="12.75">
      <c r="A666" s="998"/>
      <c r="B666" s="31">
        <v>6</v>
      </c>
      <c r="C666" s="63" t="s">
        <v>242</v>
      </c>
      <c r="D666" s="62">
        <v>60</v>
      </c>
      <c r="E666" s="62" t="s">
        <v>71</v>
      </c>
      <c r="F666" s="146">
        <f t="shared" si="94"/>
        <v>63.1921</v>
      </c>
      <c r="G666" s="146">
        <v>6.168</v>
      </c>
      <c r="H666" s="146">
        <v>9.6</v>
      </c>
      <c r="I666" s="146">
        <v>47.4241</v>
      </c>
      <c r="J666" s="176">
        <v>3137.37</v>
      </c>
      <c r="K666" s="146">
        <v>47.4241</v>
      </c>
      <c r="L666" s="176">
        <v>3137.37</v>
      </c>
      <c r="M666" s="133">
        <f t="shared" si="95"/>
        <v>0.015115877311251144</v>
      </c>
      <c r="N666" s="250">
        <v>207.3</v>
      </c>
      <c r="O666" s="640">
        <f t="shared" si="96"/>
        <v>3.1335213666223622</v>
      </c>
      <c r="P666" s="640">
        <f t="shared" si="97"/>
        <v>906.9526386750687</v>
      </c>
      <c r="Q666" s="134">
        <f t="shared" si="98"/>
        <v>188.01128199734174</v>
      </c>
      <c r="S666" s="87"/>
      <c r="T666" s="87"/>
    </row>
    <row r="667" spans="1:20" ht="12.75">
      <c r="A667" s="998"/>
      <c r="B667" s="31">
        <v>7</v>
      </c>
      <c r="C667" s="16" t="s">
        <v>495</v>
      </c>
      <c r="D667" s="31">
        <v>100</v>
      </c>
      <c r="E667" s="31" t="s">
        <v>238</v>
      </c>
      <c r="F667" s="146">
        <f t="shared" si="94"/>
        <v>88.44839999999999</v>
      </c>
      <c r="G667" s="146">
        <v>28.9281</v>
      </c>
      <c r="H667" s="146">
        <v>0</v>
      </c>
      <c r="I667" s="146">
        <v>59.5203</v>
      </c>
      <c r="J667" s="176">
        <v>3686.89</v>
      </c>
      <c r="K667" s="146">
        <v>59.5203</v>
      </c>
      <c r="L667" s="176">
        <v>3686.89</v>
      </c>
      <c r="M667" s="251">
        <f t="shared" si="95"/>
        <v>0.016143768867527917</v>
      </c>
      <c r="N667" s="250">
        <v>207.3</v>
      </c>
      <c r="O667" s="640">
        <f t="shared" si="96"/>
        <v>3.3466032862385373</v>
      </c>
      <c r="P667" s="640">
        <f t="shared" si="97"/>
        <v>968.6261320516751</v>
      </c>
      <c r="Q667" s="134">
        <f t="shared" si="98"/>
        <v>200.79619717431223</v>
      </c>
      <c r="S667" s="87"/>
      <c r="T667" s="87"/>
    </row>
    <row r="668" spans="1:20" ht="12.75">
      <c r="A668" s="998"/>
      <c r="B668" s="31">
        <v>8</v>
      </c>
      <c r="C668" s="63" t="s">
        <v>380</v>
      </c>
      <c r="D668" s="62">
        <v>50</v>
      </c>
      <c r="E668" s="62" t="s">
        <v>71</v>
      </c>
      <c r="F668" s="146">
        <f t="shared" si="94"/>
        <v>54.7801</v>
      </c>
      <c r="G668" s="249">
        <v>4.272</v>
      </c>
      <c r="H668" s="249">
        <v>7.92</v>
      </c>
      <c r="I668" s="249">
        <v>42.5881</v>
      </c>
      <c r="J668" s="93">
        <v>2596.6</v>
      </c>
      <c r="K668" s="249">
        <v>42.5881</v>
      </c>
      <c r="L668" s="93">
        <v>2596.6</v>
      </c>
      <c r="M668" s="251">
        <f t="shared" si="95"/>
        <v>0.016401486559346836</v>
      </c>
      <c r="N668" s="250">
        <v>207.3</v>
      </c>
      <c r="O668" s="640">
        <f t="shared" si="96"/>
        <v>3.4000281637525993</v>
      </c>
      <c r="P668" s="640">
        <f t="shared" si="97"/>
        <v>984.0891935608101</v>
      </c>
      <c r="Q668" s="134">
        <f t="shared" si="98"/>
        <v>204.00168982515595</v>
      </c>
      <c r="S668" s="87"/>
      <c r="T668" s="87"/>
    </row>
    <row r="669" spans="1:20" ht="12.75">
      <c r="A669" s="998"/>
      <c r="B669" s="31">
        <v>9</v>
      </c>
      <c r="C669" s="16" t="s">
        <v>243</v>
      </c>
      <c r="D669" s="31">
        <v>40</v>
      </c>
      <c r="E669" s="31">
        <v>1993</v>
      </c>
      <c r="F669" s="146">
        <f t="shared" si="94"/>
        <v>49.4081</v>
      </c>
      <c r="G669" s="645">
        <v>5.762</v>
      </c>
      <c r="H669" s="146">
        <v>6.4</v>
      </c>
      <c r="I669" s="146">
        <v>37.2461</v>
      </c>
      <c r="J669" s="176">
        <v>2229.96</v>
      </c>
      <c r="K669" s="146">
        <v>37.2461</v>
      </c>
      <c r="L669" s="176">
        <v>2229.96</v>
      </c>
      <c r="M669" s="251">
        <f t="shared" si="95"/>
        <v>0.016702586593481495</v>
      </c>
      <c r="N669" s="250">
        <v>207.3</v>
      </c>
      <c r="O669" s="640">
        <f t="shared" si="96"/>
        <v>3.462446200828714</v>
      </c>
      <c r="P669" s="640">
        <f t="shared" si="97"/>
        <v>1002.1551956088897</v>
      </c>
      <c r="Q669" s="134">
        <f t="shared" si="98"/>
        <v>207.74677204972284</v>
      </c>
      <c r="S669" s="87"/>
      <c r="T669" s="87"/>
    </row>
    <row r="670" spans="1:20" s="96" customFormat="1" ht="13.5" thickBot="1">
      <c r="A670" s="999"/>
      <c r="B670" s="102">
        <v>10</v>
      </c>
      <c r="C670" s="16" t="s">
        <v>494</v>
      </c>
      <c r="D670" s="31">
        <v>100</v>
      </c>
      <c r="E670" s="31" t="s">
        <v>71</v>
      </c>
      <c r="F670" s="146">
        <f t="shared" si="94"/>
        <v>84.9945</v>
      </c>
      <c r="G670" s="645">
        <v>7.231</v>
      </c>
      <c r="H670" s="146">
        <v>16</v>
      </c>
      <c r="I670" s="146">
        <v>61.7635</v>
      </c>
      <c r="J670" s="176">
        <v>3692.95</v>
      </c>
      <c r="K670" s="146">
        <v>61.7635</v>
      </c>
      <c r="L670" s="176">
        <v>3692.95</v>
      </c>
      <c r="M670" s="136">
        <f t="shared" si="95"/>
        <v>0.01672470518149447</v>
      </c>
      <c r="N670" s="135">
        <v>207.3</v>
      </c>
      <c r="O670" s="642">
        <f t="shared" si="96"/>
        <v>3.4670313841238043</v>
      </c>
      <c r="P670" s="642">
        <f t="shared" si="97"/>
        <v>1003.4823108896683</v>
      </c>
      <c r="Q670" s="643">
        <f t="shared" si="98"/>
        <v>208.02188304742825</v>
      </c>
      <c r="S670" s="87"/>
      <c r="T670" s="87"/>
    </row>
    <row r="671" spans="1:20" ht="12.75">
      <c r="A671" s="993" t="s">
        <v>29</v>
      </c>
      <c r="B671" s="33">
        <v>1</v>
      </c>
      <c r="C671" s="32" t="s">
        <v>241</v>
      </c>
      <c r="D671" s="33">
        <v>60</v>
      </c>
      <c r="E671" s="33" t="s">
        <v>71</v>
      </c>
      <c r="F671" s="388">
        <f t="shared" si="94"/>
        <v>69.5389</v>
      </c>
      <c r="G671" s="262">
        <v>7.329</v>
      </c>
      <c r="H671" s="262">
        <v>9.6</v>
      </c>
      <c r="I671" s="262">
        <v>52.6099</v>
      </c>
      <c r="J671" s="432">
        <v>3136.98</v>
      </c>
      <c r="K671" s="262">
        <v>52.6099</v>
      </c>
      <c r="L671" s="432">
        <v>3136.98</v>
      </c>
      <c r="M671" s="147">
        <f t="shared" si="95"/>
        <v>0.01677087517293703</v>
      </c>
      <c r="N671" s="148">
        <v>207.3</v>
      </c>
      <c r="O671" s="554">
        <f t="shared" si="96"/>
        <v>3.4766024233498465</v>
      </c>
      <c r="P671" s="554">
        <f t="shared" si="97"/>
        <v>1006.252510376222</v>
      </c>
      <c r="Q671" s="555">
        <f t="shared" si="98"/>
        <v>208.5961454009908</v>
      </c>
      <c r="S671" s="87"/>
      <c r="T671" s="87"/>
    </row>
    <row r="672" spans="1:20" ht="12.75">
      <c r="A672" s="903"/>
      <c r="B672" s="35">
        <v>2</v>
      </c>
      <c r="C672" s="34" t="s">
        <v>692</v>
      </c>
      <c r="D672" s="35">
        <v>30</v>
      </c>
      <c r="E672" s="35" t="s">
        <v>71</v>
      </c>
      <c r="F672" s="263">
        <f t="shared" si="94"/>
        <v>37.5852</v>
      </c>
      <c r="G672" s="263">
        <v>2.656</v>
      </c>
      <c r="H672" s="263">
        <v>4.8</v>
      </c>
      <c r="I672" s="263">
        <v>30.1292</v>
      </c>
      <c r="J672" s="118">
        <v>1737.38</v>
      </c>
      <c r="K672" s="263">
        <v>30.1292</v>
      </c>
      <c r="L672" s="118">
        <v>1737.38</v>
      </c>
      <c r="M672" s="147">
        <f t="shared" si="95"/>
        <v>0.01734174446580483</v>
      </c>
      <c r="N672" s="148">
        <v>207.3</v>
      </c>
      <c r="O672" s="457">
        <f t="shared" si="96"/>
        <v>3.594943627761342</v>
      </c>
      <c r="P672" s="457">
        <f t="shared" si="97"/>
        <v>1040.5046679482898</v>
      </c>
      <c r="Q672" s="168">
        <f t="shared" si="98"/>
        <v>215.69661766568052</v>
      </c>
      <c r="S672" s="87"/>
      <c r="T672" s="87"/>
    </row>
    <row r="673" spans="1:20" s="96" customFormat="1" ht="12.75">
      <c r="A673" s="903"/>
      <c r="B673" s="103">
        <v>3</v>
      </c>
      <c r="C673" s="34" t="s">
        <v>693</v>
      </c>
      <c r="D673" s="35">
        <v>9</v>
      </c>
      <c r="E673" s="35" t="s">
        <v>71</v>
      </c>
      <c r="F673" s="263">
        <f t="shared" si="94"/>
        <v>13.9877</v>
      </c>
      <c r="G673" s="263">
        <v>1.687</v>
      </c>
      <c r="H673" s="263">
        <v>1.44</v>
      </c>
      <c r="I673" s="263">
        <v>10.8607</v>
      </c>
      <c r="J673" s="118">
        <v>624.82</v>
      </c>
      <c r="K673" s="263">
        <v>10.8607</v>
      </c>
      <c r="L673" s="118">
        <v>624.82</v>
      </c>
      <c r="M673" s="139">
        <f t="shared" si="95"/>
        <v>0.017382126052303062</v>
      </c>
      <c r="N673" s="148">
        <v>207.3</v>
      </c>
      <c r="O673" s="556">
        <f t="shared" si="96"/>
        <v>3.603314730642425</v>
      </c>
      <c r="P673" s="556">
        <f t="shared" si="97"/>
        <v>1042.9275631381836</v>
      </c>
      <c r="Q673" s="557">
        <f t="shared" si="98"/>
        <v>216.1988838385455</v>
      </c>
      <c r="S673" s="87"/>
      <c r="T673" s="87"/>
    </row>
    <row r="674" spans="1:20" ht="12.75">
      <c r="A674" s="903"/>
      <c r="B674" s="35">
        <v>4</v>
      </c>
      <c r="C674" s="34" t="s">
        <v>694</v>
      </c>
      <c r="D674" s="35">
        <v>20</v>
      </c>
      <c r="E674" s="35" t="s">
        <v>71</v>
      </c>
      <c r="F674" s="263">
        <f t="shared" si="94"/>
        <v>25.5926</v>
      </c>
      <c r="G674" s="263">
        <v>2.766</v>
      </c>
      <c r="H674" s="263">
        <v>3.2</v>
      </c>
      <c r="I674" s="263">
        <v>19.6266</v>
      </c>
      <c r="J674" s="118">
        <v>1116.28</v>
      </c>
      <c r="K674" s="263">
        <v>19.6266</v>
      </c>
      <c r="L674" s="118">
        <v>1116.28</v>
      </c>
      <c r="M674" s="139">
        <f t="shared" si="95"/>
        <v>0.017582147848210126</v>
      </c>
      <c r="N674" s="148">
        <v>207.3</v>
      </c>
      <c r="O674" s="457">
        <f t="shared" si="96"/>
        <v>3.6447792489339594</v>
      </c>
      <c r="P674" s="457">
        <f t="shared" si="97"/>
        <v>1054.9288708926076</v>
      </c>
      <c r="Q674" s="168">
        <f t="shared" si="98"/>
        <v>218.68675493603757</v>
      </c>
      <c r="S674" s="87"/>
      <c r="T674" s="87"/>
    </row>
    <row r="675" spans="1:20" ht="12.75">
      <c r="A675" s="903"/>
      <c r="B675" s="35">
        <v>5</v>
      </c>
      <c r="C675" s="34" t="s">
        <v>695</v>
      </c>
      <c r="D675" s="35">
        <v>30</v>
      </c>
      <c r="E675" s="35" t="s">
        <v>71</v>
      </c>
      <c r="F675" s="565">
        <f t="shared" si="94"/>
        <v>39.0209</v>
      </c>
      <c r="G675" s="263">
        <v>3.977</v>
      </c>
      <c r="H675" s="263">
        <v>4.8</v>
      </c>
      <c r="I675" s="263">
        <v>30.2439</v>
      </c>
      <c r="J675" s="118">
        <v>1714.8</v>
      </c>
      <c r="K675" s="263">
        <v>30.2439</v>
      </c>
      <c r="L675" s="118">
        <v>1714.8</v>
      </c>
      <c r="M675" s="139">
        <f t="shared" si="95"/>
        <v>0.01763698390482855</v>
      </c>
      <c r="N675" s="148">
        <v>207.3</v>
      </c>
      <c r="O675" s="556">
        <f t="shared" si="96"/>
        <v>3.6561467634709586</v>
      </c>
      <c r="P675" s="556">
        <f t="shared" si="97"/>
        <v>1058.2190342897131</v>
      </c>
      <c r="Q675" s="557">
        <f t="shared" si="98"/>
        <v>219.36880580825752</v>
      </c>
      <c r="S675" s="87"/>
      <c r="T675" s="87"/>
    </row>
    <row r="676" spans="1:20" ht="12.75">
      <c r="A676" s="903"/>
      <c r="B676" s="35">
        <v>6</v>
      </c>
      <c r="C676" s="34" t="s">
        <v>696</v>
      </c>
      <c r="D676" s="35">
        <v>60</v>
      </c>
      <c r="E676" s="35" t="s">
        <v>71</v>
      </c>
      <c r="F676" s="263">
        <f t="shared" si="94"/>
        <v>71.5791</v>
      </c>
      <c r="G676" s="263">
        <v>5.708</v>
      </c>
      <c r="H676" s="263">
        <v>9.6</v>
      </c>
      <c r="I676" s="263">
        <v>56.2711</v>
      </c>
      <c r="J676" s="118">
        <v>3130.63</v>
      </c>
      <c r="K676" s="263">
        <v>56.2711</v>
      </c>
      <c r="L676" s="118">
        <v>3130.63</v>
      </c>
      <c r="M676" s="139">
        <f t="shared" si="95"/>
        <v>0.01797436937613196</v>
      </c>
      <c r="N676" s="148">
        <v>207.3</v>
      </c>
      <c r="O676" s="457">
        <f t="shared" si="96"/>
        <v>3.7260867716721555</v>
      </c>
      <c r="P676" s="457">
        <f t="shared" si="97"/>
        <v>1078.4621625679176</v>
      </c>
      <c r="Q676" s="168">
        <f t="shared" si="98"/>
        <v>223.56520630032932</v>
      </c>
      <c r="S676" s="87"/>
      <c r="T676" s="87"/>
    </row>
    <row r="677" spans="1:20" ht="12.75">
      <c r="A677" s="903"/>
      <c r="B677" s="35">
        <v>7</v>
      </c>
      <c r="C677" s="34" t="s">
        <v>697</v>
      </c>
      <c r="D677" s="35">
        <v>29</v>
      </c>
      <c r="E677" s="35" t="s">
        <v>71</v>
      </c>
      <c r="F677" s="565">
        <f t="shared" si="94"/>
        <v>35.9747</v>
      </c>
      <c r="G677" s="263">
        <v>3.122</v>
      </c>
      <c r="H677" s="263">
        <v>4.64</v>
      </c>
      <c r="I677" s="263">
        <v>28.2127</v>
      </c>
      <c r="J677" s="118">
        <v>1561.03</v>
      </c>
      <c r="K677" s="263">
        <v>28.2127</v>
      </c>
      <c r="L677" s="118">
        <v>1561.03</v>
      </c>
      <c r="M677" s="139">
        <f t="shared" si="95"/>
        <v>0.018073131201834687</v>
      </c>
      <c r="N677" s="148">
        <v>207.3</v>
      </c>
      <c r="O677" s="556">
        <f t="shared" si="96"/>
        <v>3.7465600981403306</v>
      </c>
      <c r="P677" s="556">
        <f t="shared" si="97"/>
        <v>1084.3878721100812</v>
      </c>
      <c r="Q677" s="557">
        <f t="shared" si="98"/>
        <v>224.79360588841985</v>
      </c>
      <c r="S677" s="87"/>
      <c r="T677" s="87"/>
    </row>
    <row r="678" spans="1:20" ht="12.75">
      <c r="A678" s="903"/>
      <c r="B678" s="35">
        <v>8</v>
      </c>
      <c r="C678" s="34" t="s">
        <v>698</v>
      </c>
      <c r="D678" s="35">
        <v>30</v>
      </c>
      <c r="E678" s="35" t="s">
        <v>71</v>
      </c>
      <c r="F678" s="263">
        <f t="shared" si="94"/>
        <v>38.665499999999994</v>
      </c>
      <c r="G678" s="263">
        <v>2.848</v>
      </c>
      <c r="H678" s="263">
        <v>4.8</v>
      </c>
      <c r="I678" s="263">
        <v>31.0175</v>
      </c>
      <c r="J678" s="118">
        <v>1414.66</v>
      </c>
      <c r="K678" s="263">
        <v>31.0175</v>
      </c>
      <c r="L678" s="118">
        <v>1714.66</v>
      </c>
      <c r="M678" s="139">
        <f t="shared" si="95"/>
        <v>0.01808959210572358</v>
      </c>
      <c r="N678" s="148">
        <v>207.3</v>
      </c>
      <c r="O678" s="457">
        <f t="shared" si="96"/>
        <v>3.7499724435164983</v>
      </c>
      <c r="P678" s="457">
        <f t="shared" si="97"/>
        <v>1085.375526343415</v>
      </c>
      <c r="Q678" s="168">
        <f t="shared" si="98"/>
        <v>224.9983466109899</v>
      </c>
      <c r="S678" s="87"/>
      <c r="T678" s="87"/>
    </row>
    <row r="679" spans="1:20" ht="12.75">
      <c r="A679" s="903"/>
      <c r="B679" s="35">
        <v>9</v>
      </c>
      <c r="C679" s="34" t="s">
        <v>699</v>
      </c>
      <c r="D679" s="35">
        <v>41</v>
      </c>
      <c r="E679" s="35" t="s">
        <v>71</v>
      </c>
      <c r="F679" s="263">
        <f t="shared" si="94"/>
        <v>54.3407</v>
      </c>
      <c r="G679" s="573">
        <v>5.527</v>
      </c>
      <c r="H679" s="263">
        <v>6.56</v>
      </c>
      <c r="I679" s="263">
        <v>42.2537</v>
      </c>
      <c r="J679" s="118">
        <v>2326.63</v>
      </c>
      <c r="K679" s="263">
        <v>42.2537</v>
      </c>
      <c r="L679" s="118">
        <v>2323.63</v>
      </c>
      <c r="M679" s="139">
        <f t="shared" si="95"/>
        <v>0.018184349487655092</v>
      </c>
      <c r="N679" s="148">
        <v>207.3</v>
      </c>
      <c r="O679" s="457">
        <f t="shared" si="96"/>
        <v>3.769615648790901</v>
      </c>
      <c r="P679" s="457">
        <f t="shared" si="97"/>
        <v>1091.0609692593055</v>
      </c>
      <c r="Q679" s="168">
        <f t="shared" si="98"/>
        <v>226.17693892745405</v>
      </c>
      <c r="S679" s="87"/>
      <c r="T679" s="87"/>
    </row>
    <row r="680" spans="1:20" ht="13.5" thickBot="1">
      <c r="A680" s="905"/>
      <c r="B680" s="35">
        <v>10</v>
      </c>
      <c r="C680" s="83" t="s">
        <v>700</v>
      </c>
      <c r="D680" s="38">
        <v>60</v>
      </c>
      <c r="E680" s="38" t="s">
        <v>71</v>
      </c>
      <c r="F680" s="267">
        <f t="shared" si="94"/>
        <v>72.495</v>
      </c>
      <c r="G680" s="265">
        <v>5.423</v>
      </c>
      <c r="H680" s="265">
        <v>9.6</v>
      </c>
      <c r="I680" s="265">
        <v>57.472</v>
      </c>
      <c r="J680" s="184">
        <v>3121.61</v>
      </c>
      <c r="K680" s="265">
        <v>57.742</v>
      </c>
      <c r="L680" s="184">
        <v>3121.61</v>
      </c>
      <c r="M680" s="218">
        <f t="shared" si="95"/>
        <v>0.018497506094611434</v>
      </c>
      <c r="N680" s="171">
        <v>207.3</v>
      </c>
      <c r="O680" s="457">
        <f t="shared" si="96"/>
        <v>3.8345330134129503</v>
      </c>
      <c r="P680" s="452">
        <f t="shared" si="97"/>
        <v>1109.8503656766861</v>
      </c>
      <c r="Q680" s="170">
        <f t="shared" si="98"/>
        <v>230.071980804777</v>
      </c>
      <c r="S680" s="87"/>
      <c r="T680" s="87"/>
    </row>
    <row r="681" spans="1:20" ht="12.75">
      <c r="A681" s="880" t="s">
        <v>30</v>
      </c>
      <c r="B681" s="231">
        <v>1</v>
      </c>
      <c r="C681" s="300" t="s">
        <v>701</v>
      </c>
      <c r="D681" s="627">
        <v>3</v>
      </c>
      <c r="E681" s="280" t="s">
        <v>71</v>
      </c>
      <c r="F681" s="863">
        <f t="shared" si="94"/>
        <v>5.6625</v>
      </c>
      <c r="G681" s="348">
        <v>0.613</v>
      </c>
      <c r="H681" s="348">
        <v>0.48</v>
      </c>
      <c r="I681" s="348">
        <v>4.5695</v>
      </c>
      <c r="J681" s="356">
        <v>163.32</v>
      </c>
      <c r="K681" s="348">
        <v>4.5695</v>
      </c>
      <c r="L681" s="356">
        <v>163.32</v>
      </c>
      <c r="M681" s="286">
        <f t="shared" si="95"/>
        <v>0.027978814597109967</v>
      </c>
      <c r="N681" s="285">
        <v>207.3</v>
      </c>
      <c r="O681" s="864">
        <f t="shared" si="96"/>
        <v>5.800008265980896</v>
      </c>
      <c r="P681" s="864">
        <f t="shared" si="97"/>
        <v>1678.728875826598</v>
      </c>
      <c r="Q681" s="865">
        <f t="shared" si="98"/>
        <v>348.0004959588538</v>
      </c>
      <c r="S681" s="87"/>
      <c r="T681" s="87"/>
    </row>
    <row r="682" spans="1:20" ht="12.75">
      <c r="A682" s="994"/>
      <c r="B682" s="232">
        <v>2</v>
      </c>
      <c r="C682" s="272" t="s">
        <v>702</v>
      </c>
      <c r="D682" s="232">
        <v>24</v>
      </c>
      <c r="E682" s="232" t="s">
        <v>71</v>
      </c>
      <c r="F682" s="288">
        <f t="shared" si="94"/>
        <v>30.9637</v>
      </c>
      <c r="G682" s="288">
        <v>1.55</v>
      </c>
      <c r="H682" s="288">
        <v>3.84</v>
      </c>
      <c r="I682" s="288">
        <v>25.5737</v>
      </c>
      <c r="J682" s="279">
        <v>906.24</v>
      </c>
      <c r="K682" s="288">
        <v>25.5737</v>
      </c>
      <c r="L682" s="279">
        <v>906.24</v>
      </c>
      <c r="M682" s="290">
        <f t="shared" si="95"/>
        <v>0.02821956656073446</v>
      </c>
      <c r="N682" s="285">
        <v>207.3</v>
      </c>
      <c r="O682" s="383">
        <f t="shared" si="96"/>
        <v>5.849916148040254</v>
      </c>
      <c r="P682" s="383">
        <f t="shared" si="97"/>
        <v>1693.1739936440677</v>
      </c>
      <c r="Q682" s="291">
        <f t="shared" si="98"/>
        <v>350.99496888241526</v>
      </c>
      <c r="S682" s="87"/>
      <c r="T682" s="87"/>
    </row>
    <row r="683" spans="1:20" ht="12.75">
      <c r="A683" s="994"/>
      <c r="B683" s="232"/>
      <c r="C683" s="272" t="s">
        <v>498</v>
      </c>
      <c r="D683" s="232">
        <v>5</v>
      </c>
      <c r="E683" s="232" t="s">
        <v>71</v>
      </c>
      <c r="F683" s="566">
        <f t="shared" si="94"/>
        <v>9.253</v>
      </c>
      <c r="G683" s="288">
        <v>0.252</v>
      </c>
      <c r="H683" s="288">
        <v>0.8</v>
      </c>
      <c r="I683" s="288">
        <v>8.201</v>
      </c>
      <c r="J683" s="279">
        <v>287.6</v>
      </c>
      <c r="K683" s="288">
        <v>8.201</v>
      </c>
      <c r="L683" s="279">
        <v>287.6</v>
      </c>
      <c r="M683" s="290">
        <f t="shared" si="95"/>
        <v>0.028515299026425592</v>
      </c>
      <c r="N683" s="285">
        <v>207.3</v>
      </c>
      <c r="O683" s="866">
        <f t="shared" si="96"/>
        <v>5.911221488178025</v>
      </c>
      <c r="P683" s="866">
        <f t="shared" si="97"/>
        <v>1710.9179415855356</v>
      </c>
      <c r="Q683" s="867">
        <f t="shared" si="98"/>
        <v>354.6732892906815</v>
      </c>
      <c r="S683" s="87"/>
      <c r="T683" s="87"/>
    </row>
    <row r="684" spans="1:20" ht="12.75">
      <c r="A684" s="881"/>
      <c r="B684" s="232">
        <v>3</v>
      </c>
      <c r="C684" s="272" t="s">
        <v>703</v>
      </c>
      <c r="D684" s="232">
        <v>2</v>
      </c>
      <c r="E684" s="232" t="s">
        <v>71</v>
      </c>
      <c r="F684" s="288">
        <f t="shared" si="94"/>
        <v>3.6743</v>
      </c>
      <c r="G684" s="288">
        <v>0.328</v>
      </c>
      <c r="H684" s="288">
        <v>0.32</v>
      </c>
      <c r="I684" s="288">
        <v>3.0263</v>
      </c>
      <c r="J684" s="279">
        <v>105.63</v>
      </c>
      <c r="K684" s="288">
        <v>3.0263</v>
      </c>
      <c r="L684" s="279">
        <v>105.63</v>
      </c>
      <c r="M684" s="290">
        <f t="shared" si="95"/>
        <v>0.02865000473350374</v>
      </c>
      <c r="N684" s="285">
        <v>207.3</v>
      </c>
      <c r="O684" s="383">
        <f t="shared" si="96"/>
        <v>5.939145981255326</v>
      </c>
      <c r="P684" s="383">
        <f t="shared" si="97"/>
        <v>1719.0002840102243</v>
      </c>
      <c r="Q684" s="291">
        <f t="shared" si="98"/>
        <v>356.34875887531956</v>
      </c>
      <c r="S684" s="87"/>
      <c r="T684" s="87"/>
    </row>
    <row r="685" spans="1:20" ht="12.75">
      <c r="A685" s="881"/>
      <c r="B685" s="232">
        <v>4</v>
      </c>
      <c r="C685" s="272" t="s">
        <v>704</v>
      </c>
      <c r="D685" s="232">
        <v>17</v>
      </c>
      <c r="E685" s="232" t="s">
        <v>71</v>
      </c>
      <c r="F685" s="566">
        <f t="shared" si="94"/>
        <v>24.9977</v>
      </c>
      <c r="G685" s="288">
        <v>1.287</v>
      </c>
      <c r="H685" s="288">
        <v>1.18</v>
      </c>
      <c r="I685" s="288">
        <v>22.5307</v>
      </c>
      <c r="J685" s="279">
        <v>781.45</v>
      </c>
      <c r="K685" s="288">
        <v>22.5307</v>
      </c>
      <c r="L685" s="279">
        <v>781.45</v>
      </c>
      <c r="M685" s="290">
        <f t="shared" si="95"/>
        <v>0.02883191502975238</v>
      </c>
      <c r="N685" s="285">
        <v>207.3</v>
      </c>
      <c r="O685" s="866">
        <f t="shared" si="96"/>
        <v>5.976855985667669</v>
      </c>
      <c r="P685" s="866">
        <f t="shared" si="97"/>
        <v>1729.9149017851428</v>
      </c>
      <c r="Q685" s="867">
        <f t="shared" si="98"/>
        <v>358.61135914006013</v>
      </c>
      <c r="S685" s="87"/>
      <c r="T685" s="87"/>
    </row>
    <row r="686" spans="1:20" ht="12.75">
      <c r="A686" s="881"/>
      <c r="B686" s="232">
        <v>6</v>
      </c>
      <c r="C686" s="272" t="s">
        <v>247</v>
      </c>
      <c r="D686" s="232">
        <v>4</v>
      </c>
      <c r="E686" s="232" t="s">
        <v>71</v>
      </c>
      <c r="F686" s="288">
        <f t="shared" si="94"/>
        <v>8.4171</v>
      </c>
      <c r="G686" s="288">
        <v>0.273</v>
      </c>
      <c r="H686" s="288">
        <v>0.64</v>
      </c>
      <c r="I686" s="288">
        <v>7.5041</v>
      </c>
      <c r="J686" s="279">
        <v>254.45</v>
      </c>
      <c r="K686" s="288">
        <v>7.5041</v>
      </c>
      <c r="L686" s="279">
        <v>254.45</v>
      </c>
      <c r="M686" s="290">
        <f t="shared" si="95"/>
        <v>0.029491452151699748</v>
      </c>
      <c r="N686" s="285">
        <v>207.3</v>
      </c>
      <c r="O686" s="383">
        <f t="shared" si="96"/>
        <v>6.113578031047358</v>
      </c>
      <c r="P686" s="383">
        <f t="shared" si="97"/>
        <v>1769.487129101985</v>
      </c>
      <c r="Q686" s="291">
        <f t="shared" si="98"/>
        <v>366.8146818628415</v>
      </c>
      <c r="S686" s="87"/>
      <c r="T686" s="87"/>
    </row>
    <row r="687" spans="1:20" ht="12.75">
      <c r="A687" s="881"/>
      <c r="B687" s="232"/>
      <c r="C687" s="272" t="s">
        <v>705</v>
      </c>
      <c r="D687" s="232">
        <v>3</v>
      </c>
      <c r="E687" s="232" t="s">
        <v>71</v>
      </c>
      <c r="F687" s="566">
        <f t="shared" si="94"/>
        <v>3.9976000000000003</v>
      </c>
      <c r="G687" s="288">
        <v>0.164</v>
      </c>
      <c r="H687" s="288">
        <v>0.48</v>
      </c>
      <c r="I687" s="288">
        <v>3.3536</v>
      </c>
      <c r="J687" s="279">
        <v>113.39</v>
      </c>
      <c r="K687" s="288">
        <v>3.3536</v>
      </c>
      <c r="L687" s="279">
        <v>113.39</v>
      </c>
      <c r="M687" s="290">
        <f t="shared" si="95"/>
        <v>0.029575800335126554</v>
      </c>
      <c r="N687" s="285">
        <v>207.3</v>
      </c>
      <c r="O687" s="866">
        <f t="shared" si="96"/>
        <v>6.131063409471735</v>
      </c>
      <c r="P687" s="866">
        <f t="shared" si="97"/>
        <v>1774.5480201075934</v>
      </c>
      <c r="Q687" s="867">
        <f t="shared" si="98"/>
        <v>367.8638045683041</v>
      </c>
      <c r="S687" s="87"/>
      <c r="T687" s="87"/>
    </row>
    <row r="688" spans="1:20" ht="12.75">
      <c r="A688" s="881"/>
      <c r="B688" s="232">
        <v>7</v>
      </c>
      <c r="C688" s="272" t="s">
        <v>383</v>
      </c>
      <c r="D688" s="232">
        <v>5</v>
      </c>
      <c r="E688" s="232" t="s">
        <v>71</v>
      </c>
      <c r="F688" s="288">
        <f t="shared" si="94"/>
        <v>5.5493</v>
      </c>
      <c r="G688" s="288">
        <v>0.328</v>
      </c>
      <c r="H688" s="288">
        <v>0.48</v>
      </c>
      <c r="I688" s="288">
        <v>4.7413</v>
      </c>
      <c r="J688" s="279">
        <v>159.37</v>
      </c>
      <c r="K688" s="288">
        <v>4.7413</v>
      </c>
      <c r="L688" s="279">
        <v>159.37</v>
      </c>
      <c r="M688" s="290">
        <f t="shared" si="95"/>
        <v>0.02975026667503294</v>
      </c>
      <c r="N688" s="285">
        <v>207.3</v>
      </c>
      <c r="O688" s="383">
        <f t="shared" si="96"/>
        <v>6.167230281734329</v>
      </c>
      <c r="P688" s="383">
        <f t="shared" si="97"/>
        <v>1785.0160005019764</v>
      </c>
      <c r="Q688" s="291">
        <f t="shared" si="98"/>
        <v>370.03381690405973</v>
      </c>
      <c r="S688" s="87"/>
      <c r="T688" s="87"/>
    </row>
    <row r="689" spans="1:20" ht="12.75">
      <c r="A689" s="882"/>
      <c r="B689" s="245"/>
      <c r="C689" s="272" t="s">
        <v>382</v>
      </c>
      <c r="D689" s="232">
        <v>7</v>
      </c>
      <c r="E689" s="232" t="s">
        <v>71</v>
      </c>
      <c r="F689" s="288">
        <f t="shared" si="94"/>
        <v>11.822</v>
      </c>
      <c r="G689" s="288">
        <v>0.378</v>
      </c>
      <c r="H689" s="288">
        <v>1.12</v>
      </c>
      <c r="I689" s="288">
        <v>10.324</v>
      </c>
      <c r="J689" s="279">
        <v>337.32</v>
      </c>
      <c r="K689" s="288">
        <v>10.324</v>
      </c>
      <c r="L689" s="279">
        <v>337.32</v>
      </c>
      <c r="M689" s="290">
        <f t="shared" si="95"/>
        <v>0.030605952804458676</v>
      </c>
      <c r="N689" s="285">
        <v>207.3</v>
      </c>
      <c r="O689" s="383">
        <f t="shared" si="96"/>
        <v>6.344614016364284</v>
      </c>
      <c r="P689" s="383">
        <f t="shared" si="97"/>
        <v>1836.3571682675204</v>
      </c>
      <c r="Q689" s="291">
        <f t="shared" si="98"/>
        <v>380.676840981857</v>
      </c>
      <c r="S689" s="87"/>
      <c r="T689" s="87"/>
    </row>
    <row r="690" spans="1:20" ht="13.5" thickBot="1">
      <c r="A690" s="883"/>
      <c r="B690" s="246">
        <v>10</v>
      </c>
      <c r="C690" s="276" t="s">
        <v>706</v>
      </c>
      <c r="D690" s="246">
        <v>115</v>
      </c>
      <c r="E690" s="246" t="s">
        <v>71</v>
      </c>
      <c r="F690" s="425">
        <f t="shared" si="94"/>
        <v>80.929</v>
      </c>
      <c r="G690" s="292">
        <v>7.9924</v>
      </c>
      <c r="H690" s="292">
        <v>0</v>
      </c>
      <c r="I690" s="292">
        <v>72.9366</v>
      </c>
      <c r="J690" s="281">
        <v>2342.07</v>
      </c>
      <c r="K690" s="292">
        <v>72.9366</v>
      </c>
      <c r="L690" s="281">
        <v>2342.07</v>
      </c>
      <c r="M690" s="290">
        <f t="shared" si="95"/>
        <v>0.03114193854154658</v>
      </c>
      <c r="N690" s="293">
        <v>207.3</v>
      </c>
      <c r="O690" s="293">
        <f t="shared" si="96"/>
        <v>6.455723859662606</v>
      </c>
      <c r="P690" s="605">
        <f t="shared" si="97"/>
        <v>1868.516312492795</v>
      </c>
      <c r="Q690" s="287">
        <f t="shared" si="98"/>
        <v>387.3434315797563</v>
      </c>
      <c r="S690" s="87"/>
      <c r="T690" s="87"/>
    </row>
    <row r="691" spans="1:20" ht="12.75">
      <c r="A691" s="884" t="s">
        <v>12</v>
      </c>
      <c r="B691" s="39">
        <v>1</v>
      </c>
      <c r="C691" s="49" t="s">
        <v>385</v>
      </c>
      <c r="D691" s="39">
        <v>12</v>
      </c>
      <c r="E691" s="39" t="s">
        <v>71</v>
      </c>
      <c r="F691" s="458">
        <f t="shared" si="94"/>
        <v>17.9669</v>
      </c>
      <c r="G691" s="429">
        <v>0</v>
      </c>
      <c r="H691" s="429">
        <v>1.3585</v>
      </c>
      <c r="I691" s="429">
        <v>16.6084</v>
      </c>
      <c r="J691" s="360">
        <v>529.6</v>
      </c>
      <c r="K691" s="429">
        <v>16.6084</v>
      </c>
      <c r="L691" s="360">
        <v>529.6</v>
      </c>
      <c r="M691" s="449">
        <f t="shared" si="95"/>
        <v>0.03136027190332326</v>
      </c>
      <c r="N691" s="177">
        <v>207.3</v>
      </c>
      <c r="O691" s="454">
        <f t="shared" si="96"/>
        <v>6.500984365558912</v>
      </c>
      <c r="P691" s="558">
        <f t="shared" si="97"/>
        <v>1881.6163141993954</v>
      </c>
      <c r="Q691" s="559">
        <f t="shared" si="98"/>
        <v>390.05906193353474</v>
      </c>
      <c r="S691" s="87"/>
      <c r="T691" s="87"/>
    </row>
    <row r="692" spans="1:20" ht="12.75">
      <c r="A692" s="886"/>
      <c r="B692" s="41">
        <v>2</v>
      </c>
      <c r="C692" s="49" t="s">
        <v>497</v>
      </c>
      <c r="D692" s="41">
        <v>4</v>
      </c>
      <c r="E692" s="41" t="s">
        <v>71</v>
      </c>
      <c r="F692" s="185">
        <f t="shared" si="94"/>
        <v>7.8567</v>
      </c>
      <c r="G692" s="185">
        <v>0.438</v>
      </c>
      <c r="H692" s="185">
        <v>0.64</v>
      </c>
      <c r="I692" s="185">
        <v>6.7787</v>
      </c>
      <c r="J692" s="317">
        <v>212.08</v>
      </c>
      <c r="K692" s="185">
        <v>6.7787</v>
      </c>
      <c r="L692" s="317">
        <v>212.08</v>
      </c>
      <c r="M692" s="227">
        <f t="shared" si="95"/>
        <v>0.031962938513768385</v>
      </c>
      <c r="N692" s="177">
        <v>207.3</v>
      </c>
      <c r="O692" s="560">
        <f t="shared" si="96"/>
        <v>6.625917153904187</v>
      </c>
      <c r="P692" s="560">
        <f t="shared" si="97"/>
        <v>1917.776310826103</v>
      </c>
      <c r="Q692" s="311">
        <f t="shared" si="98"/>
        <v>397.5550292342512</v>
      </c>
      <c r="S692" s="87"/>
      <c r="T692" s="87"/>
    </row>
    <row r="693" spans="1:20" ht="12.75">
      <c r="A693" s="886"/>
      <c r="B693" s="41">
        <v>3</v>
      </c>
      <c r="C693" s="49" t="s">
        <v>244</v>
      </c>
      <c r="D693" s="41">
        <v>9</v>
      </c>
      <c r="E693" s="41" t="s">
        <v>71</v>
      </c>
      <c r="F693" s="567">
        <f t="shared" si="94"/>
        <v>23.0868</v>
      </c>
      <c r="G693" s="185">
        <v>1.309</v>
      </c>
      <c r="H693" s="185">
        <v>1.44</v>
      </c>
      <c r="I693" s="185">
        <v>20.3378</v>
      </c>
      <c r="J693" s="317">
        <v>635.51</v>
      </c>
      <c r="K693" s="185">
        <v>20.3378</v>
      </c>
      <c r="L693" s="317">
        <v>635.51</v>
      </c>
      <c r="M693" s="227">
        <f t="shared" si="95"/>
        <v>0.03200232883825589</v>
      </c>
      <c r="N693" s="177">
        <v>207.3</v>
      </c>
      <c r="O693" s="561">
        <f t="shared" si="96"/>
        <v>6.634082768170447</v>
      </c>
      <c r="P693" s="561">
        <f t="shared" si="97"/>
        <v>1920.1397302953535</v>
      </c>
      <c r="Q693" s="562">
        <f t="shared" si="98"/>
        <v>398.0449660902268</v>
      </c>
      <c r="S693" s="87"/>
      <c r="T693" s="87"/>
    </row>
    <row r="694" spans="1:20" ht="12.75">
      <c r="A694" s="886"/>
      <c r="B694" s="41">
        <v>4</v>
      </c>
      <c r="C694" s="49" t="s">
        <v>246</v>
      </c>
      <c r="D694" s="41">
        <v>6</v>
      </c>
      <c r="E694" s="41" t="s">
        <v>71</v>
      </c>
      <c r="F694" s="185">
        <f t="shared" si="94"/>
        <v>12.344999999999999</v>
      </c>
      <c r="G694" s="185">
        <v>0.493</v>
      </c>
      <c r="H694" s="185">
        <v>0.96</v>
      </c>
      <c r="I694" s="185">
        <v>10.892</v>
      </c>
      <c r="J694" s="317">
        <v>337.61</v>
      </c>
      <c r="K694" s="185">
        <v>10.892</v>
      </c>
      <c r="L694" s="317">
        <v>337.61</v>
      </c>
      <c r="M694" s="227">
        <f t="shared" si="95"/>
        <v>0.03226207754509641</v>
      </c>
      <c r="N694" s="177">
        <v>207.3</v>
      </c>
      <c r="O694" s="560">
        <f t="shared" si="96"/>
        <v>6.687928675098487</v>
      </c>
      <c r="P694" s="560">
        <f t="shared" si="97"/>
        <v>1935.7246527057846</v>
      </c>
      <c r="Q694" s="311">
        <f t="shared" si="98"/>
        <v>401.2757205059092</v>
      </c>
      <c r="S694" s="87"/>
      <c r="T694" s="87"/>
    </row>
    <row r="695" spans="1:20" ht="12.75">
      <c r="A695" s="886"/>
      <c r="B695" s="41">
        <v>5</v>
      </c>
      <c r="C695" s="49" t="s">
        <v>245</v>
      </c>
      <c r="D695" s="41">
        <v>5</v>
      </c>
      <c r="E695" s="41" t="s">
        <v>71</v>
      </c>
      <c r="F695" s="567">
        <f t="shared" si="94"/>
        <v>10.6853</v>
      </c>
      <c r="G695" s="185">
        <v>0.547</v>
      </c>
      <c r="H695" s="185">
        <v>0.8</v>
      </c>
      <c r="I695" s="185">
        <v>9.3383</v>
      </c>
      <c r="J695" s="317">
        <v>285.14</v>
      </c>
      <c r="K695" s="185">
        <v>9.3383</v>
      </c>
      <c r="L695" s="317">
        <v>285.14</v>
      </c>
      <c r="M695" s="227">
        <f t="shared" si="95"/>
        <v>0.032749877253279096</v>
      </c>
      <c r="N695" s="177">
        <v>207.3</v>
      </c>
      <c r="O695" s="561">
        <f t="shared" si="96"/>
        <v>6.789049554604757</v>
      </c>
      <c r="P695" s="561">
        <f t="shared" si="97"/>
        <v>1964.9926351967456</v>
      </c>
      <c r="Q695" s="562">
        <f t="shared" si="98"/>
        <v>407.3429732762854</v>
      </c>
      <c r="S695" s="87"/>
      <c r="T695" s="87"/>
    </row>
    <row r="696" spans="1:20" ht="12.75">
      <c r="A696" s="886"/>
      <c r="B696" s="41">
        <v>6</v>
      </c>
      <c r="C696" s="49" t="s">
        <v>386</v>
      </c>
      <c r="D696" s="41">
        <v>16</v>
      </c>
      <c r="E696" s="41" t="s">
        <v>71</v>
      </c>
      <c r="F696" s="185">
        <f t="shared" si="94"/>
        <v>24.165100000000002</v>
      </c>
      <c r="G696" s="185">
        <v>1.1778</v>
      </c>
      <c r="H696" s="185">
        <v>0</v>
      </c>
      <c r="I696" s="185">
        <v>22.9873</v>
      </c>
      <c r="J696" s="317">
        <v>696.15</v>
      </c>
      <c r="K696" s="185">
        <v>22.9873</v>
      </c>
      <c r="L696" s="317">
        <v>696.15</v>
      </c>
      <c r="M696" s="227">
        <f t="shared" si="95"/>
        <v>0.03302061337355455</v>
      </c>
      <c r="N696" s="177">
        <v>207.3</v>
      </c>
      <c r="O696" s="560">
        <f t="shared" si="96"/>
        <v>6.845173152337859</v>
      </c>
      <c r="P696" s="560">
        <f t="shared" si="97"/>
        <v>1981.2368024132732</v>
      </c>
      <c r="Q696" s="311">
        <f t="shared" si="98"/>
        <v>410.7103891402715</v>
      </c>
      <c r="S696" s="87"/>
      <c r="T696" s="87"/>
    </row>
    <row r="697" spans="1:20" ht="12.75">
      <c r="A697" s="886"/>
      <c r="B697" s="41">
        <v>7</v>
      </c>
      <c r="C697" s="49" t="s">
        <v>384</v>
      </c>
      <c r="D697" s="41">
        <v>9</v>
      </c>
      <c r="E697" s="41" t="s">
        <v>71</v>
      </c>
      <c r="F697" s="567">
        <f t="shared" si="94"/>
        <v>10.561</v>
      </c>
      <c r="G697" s="185">
        <v>1.122</v>
      </c>
      <c r="H697" s="185">
        <v>0</v>
      </c>
      <c r="I697" s="185">
        <v>9.439</v>
      </c>
      <c r="J697" s="317">
        <v>285.09</v>
      </c>
      <c r="K697" s="185">
        <v>9.439</v>
      </c>
      <c r="L697" s="317">
        <v>285.09</v>
      </c>
      <c r="M697" s="227">
        <f t="shared" si="95"/>
        <v>0.03310884282156512</v>
      </c>
      <c r="N697" s="177">
        <v>207.3</v>
      </c>
      <c r="O697" s="560">
        <f t="shared" si="96"/>
        <v>6.86346311691045</v>
      </c>
      <c r="P697" s="561">
        <f t="shared" si="97"/>
        <v>1986.530569293907</v>
      </c>
      <c r="Q697" s="562">
        <f t="shared" si="98"/>
        <v>411.80778701462697</v>
      </c>
      <c r="S697" s="87"/>
      <c r="T697" s="87"/>
    </row>
    <row r="698" spans="1:20" ht="12.75">
      <c r="A698" s="886"/>
      <c r="B698" s="41">
        <v>8</v>
      </c>
      <c r="C698" s="49" t="s">
        <v>496</v>
      </c>
      <c r="D698" s="41">
        <v>5</v>
      </c>
      <c r="E698" s="41" t="s">
        <v>71</v>
      </c>
      <c r="F698" s="459">
        <f t="shared" si="94"/>
        <v>7.3889000000000005</v>
      </c>
      <c r="G698" s="185">
        <v>0</v>
      </c>
      <c r="H698" s="185">
        <v>0.4656</v>
      </c>
      <c r="I698" s="185">
        <v>6.9233</v>
      </c>
      <c r="J698" s="317">
        <v>194.29</v>
      </c>
      <c r="K698" s="185">
        <v>6.9233</v>
      </c>
      <c r="L698" s="317">
        <v>194.29</v>
      </c>
      <c r="M698" s="227">
        <f t="shared" si="95"/>
        <v>0.0356338463122137</v>
      </c>
      <c r="N698" s="177">
        <v>207.3</v>
      </c>
      <c r="O698" s="560">
        <f t="shared" si="96"/>
        <v>7.3868963405219015</v>
      </c>
      <c r="P698" s="560">
        <f t="shared" si="97"/>
        <v>2138.0307787328225</v>
      </c>
      <c r="Q698" s="311">
        <f t="shared" si="98"/>
        <v>443.2137804313141</v>
      </c>
      <c r="S698" s="87"/>
      <c r="T698" s="87"/>
    </row>
    <row r="699" spans="1:20" ht="12.75">
      <c r="A699" s="886"/>
      <c r="B699" s="41">
        <v>9</v>
      </c>
      <c r="C699" s="49" t="s">
        <v>381</v>
      </c>
      <c r="D699" s="628">
        <v>5</v>
      </c>
      <c r="E699" s="41" t="s">
        <v>71</v>
      </c>
      <c r="F699" s="185">
        <f t="shared" si="94"/>
        <v>8.0996</v>
      </c>
      <c r="G699" s="185">
        <v>0.279</v>
      </c>
      <c r="H699" s="185">
        <v>0.8</v>
      </c>
      <c r="I699" s="185">
        <v>7.0206</v>
      </c>
      <c r="J699" s="317">
        <v>192.6</v>
      </c>
      <c r="K699" s="185">
        <v>7.0206</v>
      </c>
      <c r="L699" s="317">
        <v>192.6</v>
      </c>
      <c r="M699" s="227">
        <f t="shared" si="95"/>
        <v>0.03645171339563863</v>
      </c>
      <c r="N699" s="177">
        <v>207.3</v>
      </c>
      <c r="O699" s="560">
        <f t="shared" si="96"/>
        <v>7.556440186915888</v>
      </c>
      <c r="P699" s="560">
        <f t="shared" si="97"/>
        <v>2187.1028037383176</v>
      </c>
      <c r="Q699" s="311">
        <f t="shared" si="98"/>
        <v>453.3864112149533</v>
      </c>
      <c r="S699" s="87"/>
      <c r="T699" s="87"/>
    </row>
    <row r="700" spans="1:20" ht="13.5" thickBot="1">
      <c r="A700" s="887"/>
      <c r="B700" s="46">
        <v>10</v>
      </c>
      <c r="C700" s="51" t="s">
        <v>387</v>
      </c>
      <c r="D700" s="46">
        <v>4</v>
      </c>
      <c r="E700" s="46" t="s">
        <v>71</v>
      </c>
      <c r="F700" s="530">
        <f t="shared" si="94"/>
        <v>6.7102</v>
      </c>
      <c r="G700" s="228">
        <v>0.284</v>
      </c>
      <c r="H700" s="228">
        <v>0.64</v>
      </c>
      <c r="I700" s="228">
        <v>5.7862</v>
      </c>
      <c r="J700" s="358">
        <v>156.81</v>
      </c>
      <c r="K700" s="228">
        <v>5.7862</v>
      </c>
      <c r="L700" s="358">
        <v>156.81</v>
      </c>
      <c r="M700" s="230">
        <f t="shared" si="95"/>
        <v>0.036899432434155985</v>
      </c>
      <c r="N700" s="229">
        <v>207.3</v>
      </c>
      <c r="O700" s="563">
        <f t="shared" si="96"/>
        <v>7.649252343600536</v>
      </c>
      <c r="P700" s="563">
        <f t="shared" si="97"/>
        <v>2213.965946049359</v>
      </c>
      <c r="Q700" s="308">
        <f t="shared" si="98"/>
        <v>458.95514061603217</v>
      </c>
      <c r="S700" s="87"/>
      <c r="T700" s="87"/>
    </row>
    <row r="701" spans="6:20" ht="12.75">
      <c r="F701" s="389"/>
      <c r="G701" s="389"/>
      <c r="H701" s="389"/>
      <c r="I701" s="389"/>
      <c r="S701" s="87"/>
      <c r="T701" s="87"/>
    </row>
    <row r="702" spans="19:20" ht="12.75">
      <c r="S702" s="87"/>
      <c r="T702" s="87"/>
    </row>
    <row r="703" spans="1:20" ht="15">
      <c r="A703" s="906" t="s">
        <v>56</v>
      </c>
      <c r="B703" s="906"/>
      <c r="C703" s="906"/>
      <c r="D703" s="906"/>
      <c r="E703" s="906"/>
      <c r="F703" s="906"/>
      <c r="G703" s="906"/>
      <c r="H703" s="906"/>
      <c r="I703" s="906"/>
      <c r="J703" s="906"/>
      <c r="K703" s="906"/>
      <c r="L703" s="906"/>
      <c r="M703" s="906"/>
      <c r="N703" s="906"/>
      <c r="O703" s="906"/>
      <c r="P703" s="906"/>
      <c r="Q703" s="906"/>
      <c r="S703" s="87"/>
      <c r="T703" s="87"/>
    </row>
    <row r="704" spans="1:20" ht="13.5" thickBot="1">
      <c r="A704" s="935" t="s">
        <v>707</v>
      </c>
      <c r="B704" s="935"/>
      <c r="C704" s="935"/>
      <c r="D704" s="935"/>
      <c r="E704" s="935"/>
      <c r="F704" s="935"/>
      <c r="G704" s="935"/>
      <c r="H704" s="935"/>
      <c r="I704" s="935"/>
      <c r="J704" s="935"/>
      <c r="K704" s="935"/>
      <c r="L704" s="935"/>
      <c r="M704" s="935"/>
      <c r="N704" s="935"/>
      <c r="O704" s="935"/>
      <c r="P704" s="935"/>
      <c r="Q704" s="935"/>
      <c r="S704" s="87"/>
      <c r="T704" s="87"/>
    </row>
    <row r="705" spans="1:20" ht="12.75" customHeight="1">
      <c r="A705" s="890" t="s">
        <v>1</v>
      </c>
      <c r="B705" s="892" t="s">
        <v>0</v>
      </c>
      <c r="C705" s="888" t="s">
        <v>2</v>
      </c>
      <c r="D705" s="995" t="s">
        <v>3</v>
      </c>
      <c r="E705" s="995" t="s">
        <v>42</v>
      </c>
      <c r="F705" s="996" t="s">
        <v>14</v>
      </c>
      <c r="G705" s="996"/>
      <c r="H705" s="996"/>
      <c r="I705" s="996"/>
      <c r="J705" s="995" t="s">
        <v>4</v>
      </c>
      <c r="K705" s="995" t="s">
        <v>15</v>
      </c>
      <c r="L705" s="1041" t="s">
        <v>5</v>
      </c>
      <c r="M705" s="995" t="s">
        <v>6</v>
      </c>
      <c r="N705" s="995" t="s">
        <v>16</v>
      </c>
      <c r="O705" s="995" t="s">
        <v>17</v>
      </c>
      <c r="P705" s="876" t="s">
        <v>25</v>
      </c>
      <c r="Q705" s="878" t="s">
        <v>26</v>
      </c>
      <c r="R705" s="2"/>
      <c r="S705" s="87"/>
      <c r="T705" s="87"/>
    </row>
    <row r="706" spans="1:20" s="2" customFormat="1" ht="45" customHeight="1">
      <c r="A706" s="891"/>
      <c r="B706" s="893"/>
      <c r="C706" s="894"/>
      <c r="D706" s="959"/>
      <c r="E706" s="959"/>
      <c r="F706" s="36" t="s">
        <v>45</v>
      </c>
      <c r="G706" s="36" t="s">
        <v>19</v>
      </c>
      <c r="H706" s="36" t="s">
        <v>20</v>
      </c>
      <c r="I706" s="36" t="s">
        <v>21</v>
      </c>
      <c r="J706" s="959"/>
      <c r="K706" s="959"/>
      <c r="L706" s="1042"/>
      <c r="M706" s="959"/>
      <c r="N706" s="959"/>
      <c r="O706" s="959"/>
      <c r="P706" s="877"/>
      <c r="Q706" s="879"/>
      <c r="R706" s="3"/>
      <c r="S706" s="87"/>
      <c r="T706" s="87"/>
    </row>
    <row r="707" spans="1:20" s="3" customFormat="1" ht="13.5" customHeight="1" thickBot="1">
      <c r="A707" s="945"/>
      <c r="B707" s="946"/>
      <c r="C707" s="895"/>
      <c r="D707" s="59" t="s">
        <v>7</v>
      </c>
      <c r="E707" s="59" t="s">
        <v>8</v>
      </c>
      <c r="F707" s="59" t="s">
        <v>9</v>
      </c>
      <c r="G707" s="59" t="s">
        <v>9</v>
      </c>
      <c r="H707" s="59" t="s">
        <v>9</v>
      </c>
      <c r="I707" s="59" t="s">
        <v>9</v>
      </c>
      <c r="J707" s="59" t="s">
        <v>22</v>
      </c>
      <c r="K707" s="59" t="s">
        <v>9</v>
      </c>
      <c r="L707" s="84" t="s">
        <v>22</v>
      </c>
      <c r="M707" s="59" t="s">
        <v>23</v>
      </c>
      <c r="N707" s="59" t="s">
        <v>10</v>
      </c>
      <c r="O707" s="59" t="s">
        <v>24</v>
      </c>
      <c r="P707" s="66" t="s">
        <v>27</v>
      </c>
      <c r="Q707" s="61" t="s">
        <v>28</v>
      </c>
      <c r="R707" s="1"/>
      <c r="S707" s="87"/>
      <c r="T707" s="87"/>
    </row>
    <row r="708" spans="1:20" s="96" customFormat="1" ht="12.75" customHeight="1">
      <c r="A708" s="925" t="s">
        <v>51</v>
      </c>
      <c r="B708" s="126">
        <v>1</v>
      </c>
      <c r="C708" s="29" t="s">
        <v>388</v>
      </c>
      <c r="D708" s="30">
        <v>50</v>
      </c>
      <c r="E708" s="30">
        <v>1978</v>
      </c>
      <c r="F708" s="412">
        <v>30.3</v>
      </c>
      <c r="G708" s="648">
        <v>4.82939</v>
      </c>
      <c r="H708" s="412">
        <v>8</v>
      </c>
      <c r="I708" s="412">
        <v>17.47061</v>
      </c>
      <c r="J708" s="430">
        <v>2590.16</v>
      </c>
      <c r="K708" s="412">
        <v>17.4706</v>
      </c>
      <c r="L708" s="430">
        <v>2590.16</v>
      </c>
      <c r="M708" s="436">
        <f aca="true" t="shared" si="99" ref="M708:M713">K708/L708</f>
        <v>0.006744988726565155</v>
      </c>
      <c r="N708" s="412">
        <v>240.236</v>
      </c>
      <c r="O708" s="260">
        <f aca="true" t="shared" si="100" ref="O708:O713">M708*N708</f>
        <v>1.6203891117151064</v>
      </c>
      <c r="P708" s="260">
        <f aca="true" t="shared" si="101" ref="P708:P713">M708*1000*60</f>
        <v>404.6993235939093</v>
      </c>
      <c r="Q708" s="253">
        <f aca="true" t="shared" si="102" ref="Q708:Q713">O708*60</f>
        <v>97.22334670290638</v>
      </c>
      <c r="S708" s="87"/>
      <c r="T708" s="87"/>
    </row>
    <row r="709" spans="1:20" s="96" customFormat="1" ht="12.75" customHeight="1">
      <c r="A709" s="925"/>
      <c r="B709" s="126">
        <v>2</v>
      </c>
      <c r="C709" s="16" t="s">
        <v>389</v>
      </c>
      <c r="D709" s="31">
        <v>60</v>
      </c>
      <c r="E709" s="31">
        <v>1986</v>
      </c>
      <c r="F709" s="146">
        <v>50</v>
      </c>
      <c r="G709" s="146">
        <v>7.90768</v>
      </c>
      <c r="H709" s="146">
        <v>9.28</v>
      </c>
      <c r="I709" s="146">
        <v>33.2123</v>
      </c>
      <c r="J709" s="176">
        <v>3808.21</v>
      </c>
      <c r="K709" s="146">
        <v>33.2123</v>
      </c>
      <c r="L709" s="176">
        <v>3808.21</v>
      </c>
      <c r="M709" s="133">
        <f t="shared" si="99"/>
        <v>0.008721236486433259</v>
      </c>
      <c r="N709" s="146">
        <v>240.236</v>
      </c>
      <c r="O709" s="132">
        <f t="shared" si="100"/>
        <v>2.0951549685547803</v>
      </c>
      <c r="P709" s="132">
        <f t="shared" si="101"/>
        <v>523.2741891859955</v>
      </c>
      <c r="Q709" s="134">
        <f t="shared" si="102"/>
        <v>125.70929811328682</v>
      </c>
      <c r="S709" s="87"/>
      <c r="T709" s="87"/>
    </row>
    <row r="710" spans="1:20" s="96" customFormat="1" ht="12.75" customHeight="1">
      <c r="A710" s="925"/>
      <c r="B710" s="126">
        <v>3</v>
      </c>
      <c r="C710" s="16" t="s">
        <v>390</v>
      </c>
      <c r="D710" s="31">
        <v>12</v>
      </c>
      <c r="E710" s="31">
        <v>1963</v>
      </c>
      <c r="F710" s="146">
        <v>7.46</v>
      </c>
      <c r="G710" s="146">
        <v>0.8488</v>
      </c>
      <c r="H710" s="146">
        <v>1.92</v>
      </c>
      <c r="I710" s="146">
        <v>4.69118</v>
      </c>
      <c r="J710" s="176">
        <v>532.45</v>
      </c>
      <c r="K710" s="146">
        <v>4.6912</v>
      </c>
      <c r="L710" s="176">
        <v>532.45</v>
      </c>
      <c r="M710" s="133">
        <f t="shared" si="99"/>
        <v>0.008810592543900835</v>
      </c>
      <c r="N710" s="146">
        <v>240.236</v>
      </c>
      <c r="O710" s="132">
        <f t="shared" si="100"/>
        <v>2.116621510376561</v>
      </c>
      <c r="P710" s="132">
        <f t="shared" si="101"/>
        <v>528.6355526340501</v>
      </c>
      <c r="Q710" s="134">
        <f t="shared" si="102"/>
        <v>126.99729062259365</v>
      </c>
      <c r="S710" s="87"/>
      <c r="T710" s="87"/>
    </row>
    <row r="711" spans="1:20" s="96" customFormat="1" ht="12.75" customHeight="1">
      <c r="A711" s="925"/>
      <c r="B711" s="126">
        <v>4</v>
      </c>
      <c r="C711" s="16" t="s">
        <v>249</v>
      </c>
      <c r="D711" s="31">
        <v>55</v>
      </c>
      <c r="E711" s="31">
        <v>1966</v>
      </c>
      <c r="F711" s="146">
        <v>36.7</v>
      </c>
      <c r="G711" s="146">
        <v>5.095071</v>
      </c>
      <c r="H711" s="146">
        <v>8.8</v>
      </c>
      <c r="I711" s="146">
        <v>22.80493</v>
      </c>
      <c r="J711" s="176">
        <v>2564.02</v>
      </c>
      <c r="K711" s="146">
        <v>22.8049</v>
      </c>
      <c r="L711" s="176">
        <v>2564.02</v>
      </c>
      <c r="M711" s="133">
        <f t="shared" si="99"/>
        <v>0.00889419739315606</v>
      </c>
      <c r="N711" s="146">
        <v>240.236</v>
      </c>
      <c r="O711" s="132">
        <f t="shared" si="100"/>
        <v>2.136706404942239</v>
      </c>
      <c r="P711" s="132">
        <f t="shared" si="101"/>
        <v>533.6518435893636</v>
      </c>
      <c r="Q711" s="134">
        <f t="shared" si="102"/>
        <v>128.20238429653435</v>
      </c>
      <c r="S711" s="87"/>
      <c r="T711" s="87"/>
    </row>
    <row r="712" spans="1:20" s="96" customFormat="1" ht="12.75" customHeight="1">
      <c r="A712" s="925"/>
      <c r="B712" s="126">
        <v>5</v>
      </c>
      <c r="C712" s="16" t="s">
        <v>248</v>
      </c>
      <c r="D712" s="31">
        <v>24</v>
      </c>
      <c r="E712" s="31">
        <v>1991</v>
      </c>
      <c r="F712" s="146">
        <v>17.05</v>
      </c>
      <c r="G712" s="146">
        <v>2.20896</v>
      </c>
      <c r="H712" s="146">
        <v>3.84</v>
      </c>
      <c r="I712" s="146">
        <v>11.001</v>
      </c>
      <c r="J712" s="176">
        <v>1163.97</v>
      </c>
      <c r="K712" s="146">
        <v>11.001</v>
      </c>
      <c r="L712" s="176">
        <v>1163.97</v>
      </c>
      <c r="M712" s="133">
        <f t="shared" si="99"/>
        <v>0.009451274517384468</v>
      </c>
      <c r="N712" s="146">
        <v>240.236</v>
      </c>
      <c r="O712" s="132">
        <f t="shared" si="100"/>
        <v>2.270536384958375</v>
      </c>
      <c r="P712" s="132">
        <f t="shared" si="101"/>
        <v>567.0764710430681</v>
      </c>
      <c r="Q712" s="134">
        <f t="shared" si="102"/>
        <v>136.23218309750249</v>
      </c>
      <c r="S712" s="87"/>
      <c r="T712" s="87"/>
    </row>
    <row r="713" spans="1:20" s="96" customFormat="1" ht="12.75" customHeight="1">
      <c r="A713" s="925"/>
      <c r="B713" s="126">
        <v>6</v>
      </c>
      <c r="C713" s="16" t="s">
        <v>250</v>
      </c>
      <c r="D713" s="31">
        <v>12</v>
      </c>
      <c r="E713" s="31">
        <v>1962</v>
      </c>
      <c r="F713" s="146">
        <v>7.8</v>
      </c>
      <c r="G713" s="146">
        <v>0.7897</v>
      </c>
      <c r="H713" s="146">
        <v>1.92</v>
      </c>
      <c r="I713" s="146">
        <v>5.09025</v>
      </c>
      <c r="J713" s="176">
        <v>533.7</v>
      </c>
      <c r="K713" s="146">
        <v>5.0925</v>
      </c>
      <c r="L713" s="176">
        <v>533.7</v>
      </c>
      <c r="M713" s="133">
        <f t="shared" si="99"/>
        <v>0.009541877459246768</v>
      </c>
      <c r="N713" s="146">
        <v>240.236</v>
      </c>
      <c r="O713" s="132">
        <f t="shared" si="100"/>
        <v>2.2923024732996065</v>
      </c>
      <c r="P713" s="132">
        <f t="shared" si="101"/>
        <v>572.5126475548061</v>
      </c>
      <c r="Q713" s="134">
        <f t="shared" si="102"/>
        <v>137.53814839797639</v>
      </c>
      <c r="S713" s="87"/>
      <c r="T713" s="87"/>
    </row>
    <row r="714" spans="1:20" s="96" customFormat="1" ht="12.75" customHeight="1">
      <c r="A714" s="925"/>
      <c r="B714" s="126">
        <v>7</v>
      </c>
      <c r="C714" s="16"/>
      <c r="D714" s="31"/>
      <c r="E714" s="31"/>
      <c r="F714" s="254"/>
      <c r="G714" s="254"/>
      <c r="H714" s="254"/>
      <c r="I714" s="254"/>
      <c r="J714" s="176"/>
      <c r="K714" s="254"/>
      <c r="L714" s="176"/>
      <c r="M714" s="133"/>
      <c r="N714" s="254"/>
      <c r="O714" s="132"/>
      <c r="P714" s="132"/>
      <c r="Q714" s="134"/>
      <c r="S714" s="87"/>
      <c r="T714" s="87"/>
    </row>
    <row r="715" spans="1:20" s="96" customFormat="1" ht="12.75" customHeight="1">
      <c r="A715" s="925"/>
      <c r="B715" s="126">
        <v>8</v>
      </c>
      <c r="C715" s="16"/>
      <c r="D715" s="31"/>
      <c r="E715" s="31"/>
      <c r="F715" s="254"/>
      <c r="G715" s="254"/>
      <c r="H715" s="254"/>
      <c r="I715" s="254"/>
      <c r="J715" s="176"/>
      <c r="K715" s="254"/>
      <c r="L715" s="176"/>
      <c r="M715" s="133"/>
      <c r="N715" s="132"/>
      <c r="O715" s="132"/>
      <c r="P715" s="132"/>
      <c r="Q715" s="134"/>
      <c r="S715" s="87"/>
      <c r="T715" s="87"/>
    </row>
    <row r="716" spans="1:20" s="96" customFormat="1" ht="12.75" customHeight="1">
      <c r="A716" s="925"/>
      <c r="B716" s="126">
        <v>9</v>
      </c>
      <c r="C716" s="16"/>
      <c r="D716" s="31"/>
      <c r="E716" s="31"/>
      <c r="F716" s="254"/>
      <c r="G716" s="254"/>
      <c r="H716" s="254"/>
      <c r="I716" s="254"/>
      <c r="J716" s="176"/>
      <c r="K716" s="254"/>
      <c r="L716" s="176"/>
      <c r="M716" s="133"/>
      <c r="N716" s="132"/>
      <c r="O716" s="132"/>
      <c r="P716" s="132"/>
      <c r="Q716" s="134"/>
      <c r="S716" s="87"/>
      <c r="T716" s="87"/>
    </row>
    <row r="717" spans="1:20" s="96" customFormat="1" ht="12.75" customHeight="1" thickBot="1">
      <c r="A717" s="926"/>
      <c r="B717" s="127">
        <v>10</v>
      </c>
      <c r="C717" s="65"/>
      <c r="D717" s="64"/>
      <c r="E717" s="64"/>
      <c r="F717" s="216"/>
      <c r="G717" s="216"/>
      <c r="H717" s="216"/>
      <c r="I717" s="216"/>
      <c r="J717" s="334"/>
      <c r="K717" s="216"/>
      <c r="L717" s="334"/>
      <c r="M717" s="136"/>
      <c r="N717" s="135"/>
      <c r="O717" s="135"/>
      <c r="P717" s="135"/>
      <c r="Q717" s="137"/>
      <c r="S717" s="87"/>
      <c r="T717" s="87"/>
    </row>
    <row r="718" spans="1:20" s="96" customFormat="1" ht="12.75" customHeight="1">
      <c r="A718" s="1043" t="s">
        <v>33</v>
      </c>
      <c r="B718" s="122">
        <v>1</v>
      </c>
      <c r="C718" s="88" t="s">
        <v>499</v>
      </c>
      <c r="D718" s="67">
        <v>60</v>
      </c>
      <c r="E718" s="67">
        <v>1968</v>
      </c>
      <c r="F718" s="267">
        <v>52.8</v>
      </c>
      <c r="G718" s="267">
        <v>9.4382</v>
      </c>
      <c r="H718" s="267">
        <v>9.6</v>
      </c>
      <c r="I718" s="267">
        <v>33.7618</v>
      </c>
      <c r="J718" s="121">
        <v>2731.74</v>
      </c>
      <c r="K718" s="267">
        <v>33.7618</v>
      </c>
      <c r="L718" s="121">
        <v>2731.74</v>
      </c>
      <c r="M718" s="147">
        <f aca="true" t="shared" si="103" ref="M718:M734">K718/L718</f>
        <v>0.012359082489548787</v>
      </c>
      <c r="N718" s="267">
        <v>240.236</v>
      </c>
      <c r="O718" s="148">
        <f aca="true" t="shared" si="104" ref="O718:O734">M718*N718</f>
        <v>2.9690965409592422</v>
      </c>
      <c r="P718" s="148">
        <f aca="true" t="shared" si="105" ref="P718:P734">M718*1000*60</f>
        <v>741.5449493729272</v>
      </c>
      <c r="Q718" s="170">
        <f aca="true" t="shared" si="106" ref="Q718:Q734">O718*60</f>
        <v>178.14579245755453</v>
      </c>
      <c r="S718" s="87"/>
      <c r="T718" s="87"/>
    </row>
    <row r="719" spans="1:20" s="96" customFormat="1" ht="12.75" customHeight="1">
      <c r="A719" s="1044"/>
      <c r="B719" s="103">
        <v>2</v>
      </c>
      <c r="C719" s="34" t="s">
        <v>252</v>
      </c>
      <c r="D719" s="35">
        <v>30</v>
      </c>
      <c r="E719" s="35">
        <v>2000</v>
      </c>
      <c r="F719" s="263">
        <v>26.2</v>
      </c>
      <c r="G719" s="263">
        <v>3.93995</v>
      </c>
      <c r="H719" s="263">
        <v>4.72</v>
      </c>
      <c r="I719" s="263">
        <v>17.54</v>
      </c>
      <c r="J719" s="118">
        <v>1411.56</v>
      </c>
      <c r="K719" s="263">
        <v>17.54</v>
      </c>
      <c r="L719" s="118">
        <v>1411.56</v>
      </c>
      <c r="M719" s="139">
        <f t="shared" si="103"/>
        <v>0.01242596843208932</v>
      </c>
      <c r="N719" s="263">
        <v>240.236</v>
      </c>
      <c r="O719" s="138">
        <f t="shared" si="104"/>
        <v>2.98516495225141</v>
      </c>
      <c r="P719" s="138">
        <f t="shared" si="105"/>
        <v>745.5581059253592</v>
      </c>
      <c r="Q719" s="168">
        <f t="shared" si="106"/>
        <v>179.1098971350846</v>
      </c>
      <c r="S719" s="87"/>
      <c r="T719" s="87"/>
    </row>
    <row r="720" spans="1:20" s="96" customFormat="1" ht="12.75" customHeight="1">
      <c r="A720" s="1044"/>
      <c r="B720" s="103">
        <v>3</v>
      </c>
      <c r="C720" s="34" t="s">
        <v>251</v>
      </c>
      <c r="D720" s="35">
        <v>30</v>
      </c>
      <c r="E720" s="35">
        <v>2007</v>
      </c>
      <c r="F720" s="263">
        <v>23.6</v>
      </c>
      <c r="G720" s="263">
        <v>3.00457</v>
      </c>
      <c r="H720" s="263">
        <v>2.4</v>
      </c>
      <c r="I720" s="263">
        <v>18.1954</v>
      </c>
      <c r="J720" s="118">
        <v>1423.9</v>
      </c>
      <c r="K720" s="263">
        <v>18.1954</v>
      </c>
      <c r="L720" s="118">
        <v>1423.9</v>
      </c>
      <c r="M720" s="139">
        <f t="shared" si="103"/>
        <v>0.012778565910527423</v>
      </c>
      <c r="N720" s="263">
        <v>240.236</v>
      </c>
      <c r="O720" s="138">
        <f t="shared" si="104"/>
        <v>3.0698715600814657</v>
      </c>
      <c r="P720" s="138">
        <f t="shared" si="105"/>
        <v>766.7139546316454</v>
      </c>
      <c r="Q720" s="168">
        <f t="shared" si="106"/>
        <v>184.19229360488794</v>
      </c>
      <c r="S720" s="87"/>
      <c r="T720" s="87"/>
    </row>
    <row r="721" spans="1:20" ht="12.75" customHeight="1">
      <c r="A721" s="1044"/>
      <c r="B721" s="35">
        <v>4</v>
      </c>
      <c r="C721" s="34" t="s">
        <v>254</v>
      </c>
      <c r="D721" s="35">
        <v>30</v>
      </c>
      <c r="E721" s="35">
        <v>1982</v>
      </c>
      <c r="F721" s="263">
        <v>32.4</v>
      </c>
      <c r="G721" s="263">
        <v>3.68485</v>
      </c>
      <c r="H721" s="263">
        <v>4.8</v>
      </c>
      <c r="I721" s="263">
        <v>23.91515</v>
      </c>
      <c r="J721" s="118">
        <v>1725.45</v>
      </c>
      <c r="K721" s="263">
        <v>23.9152</v>
      </c>
      <c r="L721" s="118">
        <v>1725.45</v>
      </c>
      <c r="M721" s="139">
        <f t="shared" si="103"/>
        <v>0.013860268335796459</v>
      </c>
      <c r="N721" s="263">
        <v>240.236</v>
      </c>
      <c r="O721" s="138">
        <f t="shared" si="104"/>
        <v>3.329735423918398</v>
      </c>
      <c r="P721" s="138">
        <f t="shared" si="105"/>
        <v>831.6161001477875</v>
      </c>
      <c r="Q721" s="168">
        <f t="shared" si="106"/>
        <v>199.78412543510387</v>
      </c>
      <c r="S721" s="87"/>
      <c r="T721" s="87"/>
    </row>
    <row r="722" spans="1:20" ht="12.75" customHeight="1">
      <c r="A722" s="1044"/>
      <c r="B722" s="35">
        <v>5</v>
      </c>
      <c r="C722" s="34" t="s">
        <v>253</v>
      </c>
      <c r="D722" s="35">
        <v>50</v>
      </c>
      <c r="E722" s="35">
        <v>1975</v>
      </c>
      <c r="F722" s="263">
        <v>51.3</v>
      </c>
      <c r="G722" s="263">
        <v>4.692</v>
      </c>
      <c r="H722" s="263">
        <v>4.9548</v>
      </c>
      <c r="I722" s="263">
        <v>41.65315</v>
      </c>
      <c r="J722" s="118">
        <v>2485.16</v>
      </c>
      <c r="K722" s="263">
        <v>41.6532</v>
      </c>
      <c r="L722" s="118">
        <v>2485.16</v>
      </c>
      <c r="M722" s="139">
        <f t="shared" si="103"/>
        <v>0.016760771942249193</v>
      </c>
      <c r="N722" s="263">
        <v>240.236</v>
      </c>
      <c r="O722" s="138">
        <f t="shared" si="104"/>
        <v>4.026540808318177</v>
      </c>
      <c r="P722" s="138">
        <f t="shared" si="105"/>
        <v>1005.6463165349516</v>
      </c>
      <c r="Q722" s="168">
        <f t="shared" si="106"/>
        <v>241.5924484990906</v>
      </c>
      <c r="S722" s="87"/>
      <c r="T722" s="87"/>
    </row>
    <row r="723" spans="1:20" ht="12.75" customHeight="1">
      <c r="A723" s="1044"/>
      <c r="B723" s="35">
        <v>6</v>
      </c>
      <c r="C723" s="34" t="s">
        <v>255</v>
      </c>
      <c r="D723" s="35">
        <v>60</v>
      </c>
      <c r="E723" s="35">
        <v>1980</v>
      </c>
      <c r="F723" s="263">
        <v>79.3</v>
      </c>
      <c r="G723" s="263">
        <v>7.53977</v>
      </c>
      <c r="H723" s="263">
        <v>9.44</v>
      </c>
      <c r="I723" s="263">
        <v>62.3202</v>
      </c>
      <c r="J723" s="118">
        <v>3087.75</v>
      </c>
      <c r="K723" s="263">
        <v>62.3202</v>
      </c>
      <c r="L723" s="118">
        <v>3087.75</v>
      </c>
      <c r="M723" s="139">
        <f t="shared" si="103"/>
        <v>0.02018304590721399</v>
      </c>
      <c r="N723" s="263">
        <v>240.236</v>
      </c>
      <c r="O723" s="138">
        <f t="shared" si="104"/>
        <v>4.84869421656546</v>
      </c>
      <c r="P723" s="138">
        <f t="shared" si="105"/>
        <v>1210.9827544328396</v>
      </c>
      <c r="Q723" s="168">
        <f t="shared" si="106"/>
        <v>290.9216529939276</v>
      </c>
      <c r="S723" s="87"/>
      <c r="T723" s="87"/>
    </row>
    <row r="724" spans="1:20" ht="12.75" customHeight="1">
      <c r="A724" s="1044"/>
      <c r="B724" s="35">
        <v>7</v>
      </c>
      <c r="C724" s="34" t="s">
        <v>259</v>
      </c>
      <c r="D724" s="35">
        <v>40</v>
      </c>
      <c r="E724" s="35">
        <v>1973</v>
      </c>
      <c r="F724" s="263">
        <v>63.2</v>
      </c>
      <c r="G724" s="263">
        <v>3.8549</v>
      </c>
      <c r="H724" s="263">
        <v>6.16</v>
      </c>
      <c r="I724" s="263">
        <v>53.18508</v>
      </c>
      <c r="J724" s="118">
        <v>2567.4</v>
      </c>
      <c r="K724" s="263">
        <v>53.1851</v>
      </c>
      <c r="L724" s="118">
        <v>2567.4</v>
      </c>
      <c r="M724" s="139">
        <f t="shared" si="103"/>
        <v>0.02071554880423775</v>
      </c>
      <c r="N724" s="263">
        <v>240.236</v>
      </c>
      <c r="O724" s="138">
        <f t="shared" si="104"/>
        <v>4.97662058253486</v>
      </c>
      <c r="P724" s="138">
        <f t="shared" si="105"/>
        <v>1242.9329282542649</v>
      </c>
      <c r="Q724" s="168">
        <f t="shared" si="106"/>
        <v>298.5972349520916</v>
      </c>
      <c r="S724" s="87"/>
      <c r="T724" s="87"/>
    </row>
    <row r="725" spans="1:20" ht="12" customHeight="1">
      <c r="A725" s="1044"/>
      <c r="B725" s="35">
        <v>8</v>
      </c>
      <c r="C725" s="34" t="s">
        <v>256</v>
      </c>
      <c r="D725" s="35">
        <v>60</v>
      </c>
      <c r="E725" s="35">
        <v>1968</v>
      </c>
      <c r="F725" s="263">
        <v>72.8</v>
      </c>
      <c r="G725" s="263">
        <v>4.25175</v>
      </c>
      <c r="H725" s="263">
        <v>9.6</v>
      </c>
      <c r="I725" s="263">
        <v>58.94825</v>
      </c>
      <c r="J725" s="118">
        <v>2726.22</v>
      </c>
      <c r="K725" s="263">
        <v>58.9483</v>
      </c>
      <c r="L725" s="118">
        <v>2726.22</v>
      </c>
      <c r="M725" s="139">
        <f t="shared" si="103"/>
        <v>0.021622723037759244</v>
      </c>
      <c r="N725" s="263">
        <v>240.236</v>
      </c>
      <c r="O725" s="138">
        <f t="shared" si="104"/>
        <v>5.19455649169913</v>
      </c>
      <c r="P725" s="138">
        <f t="shared" si="105"/>
        <v>1297.3633822655547</v>
      </c>
      <c r="Q725" s="168">
        <f t="shared" si="106"/>
        <v>311.6733895019478</v>
      </c>
      <c r="S725" s="87"/>
      <c r="T725" s="87"/>
    </row>
    <row r="726" spans="1:20" ht="12.75" customHeight="1" thickBot="1">
      <c r="A726" s="1045"/>
      <c r="B726" s="38">
        <v>9</v>
      </c>
      <c r="C726" s="83" t="s">
        <v>258</v>
      </c>
      <c r="D726" s="38">
        <v>30</v>
      </c>
      <c r="E726" s="38">
        <v>1985</v>
      </c>
      <c r="F726" s="265">
        <v>42.9</v>
      </c>
      <c r="G726" s="265">
        <v>2.7211</v>
      </c>
      <c r="H726" s="265">
        <v>4.8</v>
      </c>
      <c r="I726" s="265">
        <v>35.37888</v>
      </c>
      <c r="J726" s="184">
        <v>1566.56</v>
      </c>
      <c r="K726" s="265">
        <v>35.3789</v>
      </c>
      <c r="L726" s="184">
        <v>1566.56</v>
      </c>
      <c r="M726" s="218">
        <f t="shared" si="103"/>
        <v>0.02258381421713819</v>
      </c>
      <c r="N726" s="265">
        <v>240.236</v>
      </c>
      <c r="O726" s="171">
        <f t="shared" si="104"/>
        <v>5.42544519226841</v>
      </c>
      <c r="P726" s="171">
        <f t="shared" si="105"/>
        <v>1355.0288530282915</v>
      </c>
      <c r="Q726" s="172">
        <f t="shared" si="106"/>
        <v>325.5267115361046</v>
      </c>
      <c r="S726" s="87"/>
      <c r="T726" s="87"/>
    </row>
    <row r="727" spans="1:20" ht="12.75">
      <c r="A727" s="941" t="s">
        <v>49</v>
      </c>
      <c r="B727" s="319">
        <v>1</v>
      </c>
      <c r="C727" s="300" t="s">
        <v>260</v>
      </c>
      <c r="D727" s="280">
        <v>60</v>
      </c>
      <c r="E727" s="280">
        <v>1981</v>
      </c>
      <c r="F727" s="348">
        <v>88.1</v>
      </c>
      <c r="G727" s="348">
        <v>6.576</v>
      </c>
      <c r="H727" s="348">
        <v>9.6</v>
      </c>
      <c r="I727" s="348">
        <v>71.92395</v>
      </c>
      <c r="J727" s="356">
        <v>3123.05</v>
      </c>
      <c r="K727" s="348">
        <v>71.924</v>
      </c>
      <c r="L727" s="356">
        <v>3123.05</v>
      </c>
      <c r="M727" s="286">
        <f t="shared" si="103"/>
        <v>0.023030050751669043</v>
      </c>
      <c r="N727" s="348">
        <v>240.236</v>
      </c>
      <c r="O727" s="285">
        <f t="shared" si="104"/>
        <v>5.532647272377964</v>
      </c>
      <c r="P727" s="285">
        <f t="shared" si="105"/>
        <v>1381.8030451001428</v>
      </c>
      <c r="Q727" s="287">
        <f t="shared" si="106"/>
        <v>331.95883634267784</v>
      </c>
      <c r="S727" s="87"/>
      <c r="T727" s="87"/>
    </row>
    <row r="728" spans="1:20" ht="12.75">
      <c r="A728" s="922"/>
      <c r="B728" s="283">
        <v>2</v>
      </c>
      <c r="C728" s="272" t="s">
        <v>261</v>
      </c>
      <c r="D728" s="232">
        <v>30</v>
      </c>
      <c r="E728" s="232">
        <v>1992</v>
      </c>
      <c r="F728" s="288">
        <v>45.1</v>
      </c>
      <c r="G728" s="288">
        <v>3.00457</v>
      </c>
      <c r="H728" s="288">
        <v>4.8</v>
      </c>
      <c r="I728" s="288">
        <v>37.2954</v>
      </c>
      <c r="J728" s="279">
        <v>1576.72</v>
      </c>
      <c r="K728" s="288">
        <v>37.2954</v>
      </c>
      <c r="L728" s="279">
        <v>1576.72</v>
      </c>
      <c r="M728" s="290">
        <f t="shared" si="103"/>
        <v>0.023653787609721446</v>
      </c>
      <c r="N728" s="288">
        <v>240.236</v>
      </c>
      <c r="O728" s="289">
        <f t="shared" si="104"/>
        <v>5.682491320209041</v>
      </c>
      <c r="P728" s="289">
        <f t="shared" si="105"/>
        <v>1419.2272565832866</v>
      </c>
      <c r="Q728" s="291">
        <f t="shared" si="106"/>
        <v>340.9494792125425</v>
      </c>
      <c r="S728" s="87"/>
      <c r="T728" s="87"/>
    </row>
    <row r="729" spans="1:20" ht="12.75">
      <c r="A729" s="922"/>
      <c r="B729" s="283">
        <v>3</v>
      </c>
      <c r="C729" s="272" t="s">
        <v>263</v>
      </c>
      <c r="D729" s="232">
        <v>85</v>
      </c>
      <c r="E729" s="232">
        <v>1970</v>
      </c>
      <c r="F729" s="288">
        <v>116</v>
      </c>
      <c r="G729" s="288">
        <v>6.85949</v>
      </c>
      <c r="H729" s="288">
        <v>13.6</v>
      </c>
      <c r="I729" s="288">
        <v>95.5405</v>
      </c>
      <c r="J729" s="279">
        <v>3839.76</v>
      </c>
      <c r="K729" s="288">
        <v>95.5405</v>
      </c>
      <c r="L729" s="279">
        <v>3839.76</v>
      </c>
      <c r="M729" s="290">
        <f t="shared" si="103"/>
        <v>0.024881893660020415</v>
      </c>
      <c r="N729" s="288">
        <v>240.236</v>
      </c>
      <c r="O729" s="289">
        <f t="shared" si="104"/>
        <v>5.977526605308665</v>
      </c>
      <c r="P729" s="289">
        <f t="shared" si="105"/>
        <v>1492.913619601225</v>
      </c>
      <c r="Q729" s="291">
        <f t="shared" si="106"/>
        <v>358.65159631851986</v>
      </c>
      <c r="S729" s="87"/>
      <c r="T729" s="87"/>
    </row>
    <row r="730" spans="1:20" ht="12.75">
      <c r="A730" s="922"/>
      <c r="B730" s="283">
        <v>4</v>
      </c>
      <c r="C730" s="272" t="s">
        <v>262</v>
      </c>
      <c r="D730" s="232">
        <v>85</v>
      </c>
      <c r="E730" s="232">
        <v>1970</v>
      </c>
      <c r="F730" s="288">
        <v>116.8</v>
      </c>
      <c r="G730" s="288">
        <v>6.91618</v>
      </c>
      <c r="H730" s="288">
        <v>13.6</v>
      </c>
      <c r="I730" s="288">
        <v>96.2838</v>
      </c>
      <c r="J730" s="279">
        <v>3789.83</v>
      </c>
      <c r="K730" s="288">
        <v>96.2838</v>
      </c>
      <c r="L730" s="279">
        <v>3789.83</v>
      </c>
      <c r="M730" s="290">
        <f t="shared" si="103"/>
        <v>0.025405836145684636</v>
      </c>
      <c r="N730" s="288">
        <v>240.236</v>
      </c>
      <c r="O730" s="289">
        <f t="shared" si="104"/>
        <v>6.103396452294694</v>
      </c>
      <c r="P730" s="289">
        <f t="shared" si="105"/>
        <v>1524.350168741078</v>
      </c>
      <c r="Q730" s="291">
        <f t="shared" si="106"/>
        <v>366.2037871376817</v>
      </c>
      <c r="S730" s="87"/>
      <c r="T730" s="87"/>
    </row>
    <row r="731" spans="1:20" ht="13.5" customHeight="1">
      <c r="A731" s="922"/>
      <c r="B731" s="283">
        <v>5</v>
      </c>
      <c r="C731" s="272" t="s">
        <v>257</v>
      </c>
      <c r="D731" s="232">
        <v>50</v>
      </c>
      <c r="E731" s="232">
        <v>1988</v>
      </c>
      <c r="F731" s="288">
        <v>73.8</v>
      </c>
      <c r="G731" s="288">
        <v>3.9683</v>
      </c>
      <c r="H731" s="288">
        <v>7.84</v>
      </c>
      <c r="I731" s="288">
        <v>61.9917</v>
      </c>
      <c r="J731" s="279">
        <v>2389.81</v>
      </c>
      <c r="K731" s="288">
        <v>61.9917</v>
      </c>
      <c r="L731" s="279">
        <v>2389.81</v>
      </c>
      <c r="M731" s="290">
        <f t="shared" si="103"/>
        <v>0.025940011967478586</v>
      </c>
      <c r="N731" s="288">
        <v>240.236</v>
      </c>
      <c r="O731" s="289">
        <f t="shared" si="104"/>
        <v>6.231724715019185</v>
      </c>
      <c r="P731" s="289">
        <f t="shared" si="105"/>
        <v>1556.4007180487151</v>
      </c>
      <c r="Q731" s="291">
        <f t="shared" si="106"/>
        <v>373.9034829011511</v>
      </c>
      <c r="S731" s="87"/>
      <c r="T731" s="87"/>
    </row>
    <row r="732" spans="1:20" ht="12" customHeight="1">
      <c r="A732" s="922"/>
      <c r="B732" s="283">
        <v>6</v>
      </c>
      <c r="C732" s="272" t="s">
        <v>393</v>
      </c>
      <c r="D732" s="232">
        <v>15</v>
      </c>
      <c r="E732" s="232">
        <v>1992</v>
      </c>
      <c r="F732" s="288">
        <v>27.3</v>
      </c>
      <c r="G732" s="288">
        <v>2.09753</v>
      </c>
      <c r="H732" s="288">
        <v>2.32</v>
      </c>
      <c r="I732" s="288">
        <v>22.88247</v>
      </c>
      <c r="J732" s="279">
        <v>861.65</v>
      </c>
      <c r="K732" s="288">
        <v>22.8825</v>
      </c>
      <c r="L732" s="279">
        <v>861.65</v>
      </c>
      <c r="M732" s="290">
        <f t="shared" si="103"/>
        <v>0.026556606510764233</v>
      </c>
      <c r="N732" s="288">
        <v>240.236</v>
      </c>
      <c r="O732" s="289">
        <f t="shared" si="104"/>
        <v>6.379852921719956</v>
      </c>
      <c r="P732" s="289">
        <f t="shared" si="105"/>
        <v>1593.396390645854</v>
      </c>
      <c r="Q732" s="291">
        <f t="shared" si="106"/>
        <v>382.79117530319735</v>
      </c>
      <c r="S732" s="87"/>
      <c r="T732" s="87"/>
    </row>
    <row r="733" spans="1:20" ht="12.75">
      <c r="A733" s="922"/>
      <c r="B733" s="283">
        <v>7</v>
      </c>
      <c r="C733" s="272" t="s">
        <v>391</v>
      </c>
      <c r="D733" s="232">
        <v>20</v>
      </c>
      <c r="E733" s="232">
        <v>1994</v>
      </c>
      <c r="F733" s="288">
        <v>35.43</v>
      </c>
      <c r="G733" s="288">
        <v>1.5873</v>
      </c>
      <c r="H733" s="288">
        <v>2.72</v>
      </c>
      <c r="I733" s="288">
        <v>31.12268</v>
      </c>
      <c r="J733" s="279">
        <v>1127.46</v>
      </c>
      <c r="K733" s="288">
        <v>31.1227</v>
      </c>
      <c r="L733" s="279">
        <v>1127.46</v>
      </c>
      <c r="M733" s="290">
        <f t="shared" si="103"/>
        <v>0.02760426090504319</v>
      </c>
      <c r="N733" s="288">
        <v>240.236</v>
      </c>
      <c r="O733" s="289">
        <f t="shared" si="104"/>
        <v>6.6315372227839555</v>
      </c>
      <c r="P733" s="289">
        <f t="shared" si="105"/>
        <v>1656.2556543025914</v>
      </c>
      <c r="Q733" s="291">
        <f t="shared" si="106"/>
        <v>397.8922333670373</v>
      </c>
      <c r="S733" s="87"/>
      <c r="T733" s="87"/>
    </row>
    <row r="734" spans="1:20" ht="12.75">
      <c r="A734" s="922"/>
      <c r="B734" s="283">
        <v>8</v>
      </c>
      <c r="C734" s="272" t="s">
        <v>392</v>
      </c>
      <c r="D734" s="232">
        <v>60</v>
      </c>
      <c r="E734" s="232">
        <v>1985</v>
      </c>
      <c r="F734" s="288">
        <v>127.7</v>
      </c>
      <c r="G734" s="288">
        <v>6.46266</v>
      </c>
      <c r="H734" s="288">
        <v>9.36</v>
      </c>
      <c r="I734" s="288">
        <v>111.8773</v>
      </c>
      <c r="J734" s="279">
        <v>3842.05</v>
      </c>
      <c r="K734" s="288">
        <v>111.8773</v>
      </c>
      <c r="L734" s="279">
        <v>3842.05</v>
      </c>
      <c r="M734" s="290">
        <f t="shared" si="103"/>
        <v>0.02911916815241863</v>
      </c>
      <c r="N734" s="288">
        <v>240.236</v>
      </c>
      <c r="O734" s="289">
        <f t="shared" si="104"/>
        <v>6.995472480264442</v>
      </c>
      <c r="P734" s="289">
        <f t="shared" si="105"/>
        <v>1747.1500891451178</v>
      </c>
      <c r="Q734" s="291">
        <f t="shared" si="106"/>
        <v>419.7283488158665</v>
      </c>
      <c r="S734" s="87"/>
      <c r="T734" s="87"/>
    </row>
    <row r="735" spans="1:20" ht="13.5" thickBot="1">
      <c r="A735" s="924"/>
      <c r="B735" s="284">
        <v>9</v>
      </c>
      <c r="C735" s="276"/>
      <c r="D735" s="246"/>
      <c r="E735" s="246"/>
      <c r="F735" s="426"/>
      <c r="G735" s="292"/>
      <c r="H735" s="292"/>
      <c r="I735" s="292"/>
      <c r="J735" s="281"/>
      <c r="K735" s="292"/>
      <c r="L735" s="281"/>
      <c r="M735" s="294"/>
      <c r="N735" s="293"/>
      <c r="O735" s="246"/>
      <c r="P735" s="246"/>
      <c r="Q735" s="399"/>
      <c r="S735" s="87"/>
      <c r="T735" s="87"/>
    </row>
    <row r="736" spans="1:20" ht="12.75">
      <c r="A736" s="932" t="s">
        <v>34</v>
      </c>
      <c r="B736" s="320">
        <v>1</v>
      </c>
      <c r="C736" s="313" t="s">
        <v>394</v>
      </c>
      <c r="D736" s="80">
        <v>7</v>
      </c>
      <c r="E736" s="80">
        <v>1955</v>
      </c>
      <c r="F736" s="314">
        <v>10.85</v>
      </c>
      <c r="G736" s="314"/>
      <c r="H736" s="314"/>
      <c r="I736" s="314">
        <v>10.85</v>
      </c>
      <c r="J736" s="357">
        <v>326.22</v>
      </c>
      <c r="K736" s="314">
        <v>10.85</v>
      </c>
      <c r="L736" s="357">
        <v>326.22</v>
      </c>
      <c r="M736" s="303">
        <f aca="true" t="shared" si="107" ref="M736:M742">K736/L736</f>
        <v>0.033259763349886576</v>
      </c>
      <c r="N736" s="314">
        <v>240.236</v>
      </c>
      <c r="O736" s="304">
        <f aca="true" t="shared" si="108" ref="O736:O742">M736*N736</f>
        <v>7.990192508123351</v>
      </c>
      <c r="P736" s="304">
        <f aca="true" t="shared" si="109" ref="P736:P742">M736*1000*60</f>
        <v>1995.5858009931947</v>
      </c>
      <c r="Q736" s="305">
        <f aca="true" t="shared" si="110" ref="Q736:Q742">O736*60</f>
        <v>479.41155048740103</v>
      </c>
      <c r="S736" s="87"/>
      <c r="T736" s="87"/>
    </row>
    <row r="737" spans="1:20" ht="12.75">
      <c r="A737" s="933"/>
      <c r="B737" s="40">
        <v>2</v>
      </c>
      <c r="C737" s="49" t="s">
        <v>264</v>
      </c>
      <c r="D737" s="41">
        <v>8</v>
      </c>
      <c r="E737" s="41">
        <v>1976</v>
      </c>
      <c r="F737" s="315">
        <v>14.1</v>
      </c>
      <c r="G737" s="315"/>
      <c r="H737" s="315"/>
      <c r="I737" s="315">
        <v>14.1</v>
      </c>
      <c r="J737" s="317">
        <v>404.24</v>
      </c>
      <c r="K737" s="315">
        <v>14.1</v>
      </c>
      <c r="L737" s="317">
        <v>404.24</v>
      </c>
      <c r="M737" s="309">
        <f t="shared" si="107"/>
        <v>0.03488026914704136</v>
      </c>
      <c r="N737" s="315">
        <v>240.236</v>
      </c>
      <c r="O737" s="310">
        <f t="shared" si="108"/>
        <v>8.379496338808627</v>
      </c>
      <c r="P737" s="310">
        <f t="shared" si="109"/>
        <v>2092.8161488224814</v>
      </c>
      <c r="Q737" s="311">
        <f t="shared" si="110"/>
        <v>502.76978032851764</v>
      </c>
      <c r="S737" s="87"/>
      <c r="T737" s="87"/>
    </row>
    <row r="738" spans="1:20" ht="12.75">
      <c r="A738" s="933"/>
      <c r="B738" s="40">
        <v>3</v>
      </c>
      <c r="C738" s="49" t="s">
        <v>267</v>
      </c>
      <c r="D738" s="41">
        <v>24</v>
      </c>
      <c r="E738" s="41">
        <v>1960</v>
      </c>
      <c r="F738" s="315">
        <v>32.4</v>
      </c>
      <c r="G738" s="315"/>
      <c r="H738" s="315"/>
      <c r="I738" s="315">
        <v>32.4</v>
      </c>
      <c r="J738" s="317">
        <v>914.41</v>
      </c>
      <c r="K738" s="315">
        <v>32.4</v>
      </c>
      <c r="L738" s="317">
        <v>914.41</v>
      </c>
      <c r="M738" s="309">
        <f t="shared" si="107"/>
        <v>0.035432683369604444</v>
      </c>
      <c r="N738" s="315">
        <v>240.236</v>
      </c>
      <c r="O738" s="310">
        <f t="shared" si="108"/>
        <v>8.512206121980293</v>
      </c>
      <c r="P738" s="310">
        <f t="shared" si="109"/>
        <v>2125.9610021762664</v>
      </c>
      <c r="Q738" s="311">
        <f t="shared" si="110"/>
        <v>510.7323673188176</v>
      </c>
      <c r="S738" s="87"/>
      <c r="T738" s="87"/>
    </row>
    <row r="739" spans="1:20" ht="12.75">
      <c r="A739" s="933"/>
      <c r="B739" s="40">
        <v>4</v>
      </c>
      <c r="C739" s="49" t="s">
        <v>395</v>
      </c>
      <c r="D739" s="41">
        <v>24</v>
      </c>
      <c r="E739" s="41">
        <v>1961</v>
      </c>
      <c r="F739" s="315">
        <v>33.7</v>
      </c>
      <c r="G739" s="315"/>
      <c r="H739" s="315"/>
      <c r="I739" s="315">
        <v>33.7</v>
      </c>
      <c r="J739" s="317">
        <v>909.58</v>
      </c>
      <c r="K739" s="315">
        <v>33.7</v>
      </c>
      <c r="L739" s="317">
        <v>909.58</v>
      </c>
      <c r="M739" s="309">
        <f t="shared" si="107"/>
        <v>0.03705006706391961</v>
      </c>
      <c r="N739" s="315">
        <v>240.236</v>
      </c>
      <c r="O739" s="310">
        <f t="shared" si="108"/>
        <v>8.90075991116779</v>
      </c>
      <c r="P739" s="310">
        <f t="shared" si="109"/>
        <v>2223.0040238351767</v>
      </c>
      <c r="Q739" s="311">
        <f t="shared" si="110"/>
        <v>534.0455946700674</v>
      </c>
      <c r="S739" s="87"/>
      <c r="T739" s="87"/>
    </row>
    <row r="740" spans="1:20" ht="12.75">
      <c r="A740" s="933"/>
      <c r="B740" s="40">
        <v>5</v>
      </c>
      <c r="C740" s="49" t="s">
        <v>265</v>
      </c>
      <c r="D740" s="41">
        <v>9</v>
      </c>
      <c r="E740" s="41">
        <v>1961</v>
      </c>
      <c r="F740" s="315">
        <v>15.03</v>
      </c>
      <c r="G740" s="315"/>
      <c r="H740" s="315"/>
      <c r="I740" s="315">
        <v>15.03</v>
      </c>
      <c r="J740" s="317">
        <v>391.38</v>
      </c>
      <c r="K740" s="315">
        <v>15.03</v>
      </c>
      <c r="L740" s="317">
        <v>391.38</v>
      </c>
      <c r="M740" s="309">
        <f t="shared" si="107"/>
        <v>0.038402575502069596</v>
      </c>
      <c r="N740" s="315">
        <v>240.236</v>
      </c>
      <c r="O740" s="310">
        <f t="shared" si="108"/>
        <v>9.225681128315191</v>
      </c>
      <c r="P740" s="310">
        <f t="shared" si="109"/>
        <v>2304.154530124176</v>
      </c>
      <c r="Q740" s="311">
        <f t="shared" si="110"/>
        <v>553.5408676989115</v>
      </c>
      <c r="S740" s="87"/>
      <c r="T740" s="87"/>
    </row>
    <row r="741" spans="1:20" ht="12" customHeight="1">
      <c r="A741" s="933"/>
      <c r="B741" s="40">
        <v>6</v>
      </c>
      <c r="C741" s="49" t="s">
        <v>268</v>
      </c>
      <c r="D741" s="41">
        <v>16</v>
      </c>
      <c r="E741" s="41">
        <v>1964</v>
      </c>
      <c r="F741" s="315">
        <v>24</v>
      </c>
      <c r="G741" s="315"/>
      <c r="H741" s="315"/>
      <c r="I741" s="315">
        <v>24</v>
      </c>
      <c r="J741" s="317">
        <v>606.77</v>
      </c>
      <c r="K741" s="315">
        <v>24</v>
      </c>
      <c r="L741" s="317">
        <v>606.77</v>
      </c>
      <c r="M741" s="309">
        <f t="shared" si="107"/>
        <v>0.03955370239135093</v>
      </c>
      <c r="N741" s="315">
        <v>240.236</v>
      </c>
      <c r="O741" s="310">
        <f t="shared" si="108"/>
        <v>9.502223247688582</v>
      </c>
      <c r="P741" s="310">
        <f t="shared" si="109"/>
        <v>2373.2221434810554</v>
      </c>
      <c r="Q741" s="311">
        <f t="shared" si="110"/>
        <v>570.1333948613149</v>
      </c>
      <c r="S741" s="87"/>
      <c r="T741" s="87"/>
    </row>
    <row r="742" spans="1:20" ht="12.75">
      <c r="A742" s="933"/>
      <c r="B742" s="40">
        <v>7</v>
      </c>
      <c r="C742" s="49" t="s">
        <v>266</v>
      </c>
      <c r="D742" s="41">
        <v>10</v>
      </c>
      <c r="E742" s="41">
        <v>1938</v>
      </c>
      <c r="F742" s="315">
        <v>12.66</v>
      </c>
      <c r="G742" s="315"/>
      <c r="H742" s="315"/>
      <c r="I742" s="315">
        <v>12.66</v>
      </c>
      <c r="J742" s="317">
        <v>304.82</v>
      </c>
      <c r="K742" s="315">
        <v>12.66</v>
      </c>
      <c r="L742" s="317">
        <v>304.82</v>
      </c>
      <c r="M742" s="309">
        <f t="shared" si="107"/>
        <v>0.04153270782757037</v>
      </c>
      <c r="N742" s="315">
        <v>240.236</v>
      </c>
      <c r="O742" s="310">
        <f t="shared" si="108"/>
        <v>9.977651597664195</v>
      </c>
      <c r="P742" s="310">
        <f t="shared" si="109"/>
        <v>2491.9624696542223</v>
      </c>
      <c r="Q742" s="311">
        <f t="shared" si="110"/>
        <v>598.6590958598517</v>
      </c>
      <c r="S742" s="87"/>
      <c r="T742" s="87"/>
    </row>
    <row r="743" spans="1:20" ht="12.75">
      <c r="A743" s="933"/>
      <c r="B743" s="41">
        <v>8</v>
      </c>
      <c r="C743" s="646"/>
      <c r="D743" s="80"/>
      <c r="E743" s="80"/>
      <c r="F743" s="647"/>
      <c r="G743" s="314"/>
      <c r="H743" s="314"/>
      <c r="I743" s="314"/>
      <c r="J743" s="357"/>
      <c r="K743" s="304"/>
      <c r="L743" s="357"/>
      <c r="M743" s="303"/>
      <c r="N743" s="304"/>
      <c r="O743" s="304"/>
      <c r="P743" s="304"/>
      <c r="Q743" s="305"/>
      <c r="S743" s="87"/>
      <c r="T743" s="87"/>
    </row>
    <row r="744" spans="1:20" ht="13.5" thickBot="1">
      <c r="A744" s="934"/>
      <c r="B744" s="46">
        <v>9</v>
      </c>
      <c r="C744" s="119"/>
      <c r="D744" s="46"/>
      <c r="E744" s="46"/>
      <c r="F744" s="52"/>
      <c r="G744" s="52"/>
      <c r="H744" s="52"/>
      <c r="I744" s="52"/>
      <c r="J744" s="86"/>
      <c r="K744" s="52"/>
      <c r="L744" s="117"/>
      <c r="M744" s="53"/>
      <c r="N744" s="52"/>
      <c r="O744" s="52"/>
      <c r="P744" s="52"/>
      <c r="Q744" s="85"/>
      <c r="S744" s="87"/>
      <c r="T744" s="87"/>
    </row>
    <row r="745" spans="19:20" ht="12.75">
      <c r="S745" s="87"/>
      <c r="T745" s="87"/>
    </row>
    <row r="746" spans="19:20" ht="12.75">
      <c r="S746" s="87"/>
      <c r="T746" s="87"/>
    </row>
    <row r="747" spans="19:20" ht="12.75">
      <c r="S747" s="87"/>
      <c r="T747" s="87"/>
    </row>
    <row r="748" spans="19:20" ht="12.75">
      <c r="S748" s="87"/>
      <c r="T748" s="87"/>
    </row>
    <row r="749" spans="19:20" ht="12.75">
      <c r="S749" s="87"/>
      <c r="T749" s="87"/>
    </row>
    <row r="750" spans="19:20" ht="12.75">
      <c r="S750" s="87"/>
      <c r="T750" s="87"/>
    </row>
    <row r="751" spans="19:20" ht="12.75">
      <c r="S751" s="87"/>
      <c r="T751" s="87"/>
    </row>
    <row r="752" spans="1:20" ht="15">
      <c r="A752" s="906" t="s">
        <v>43</v>
      </c>
      <c r="B752" s="906"/>
      <c r="C752" s="906"/>
      <c r="D752" s="906"/>
      <c r="E752" s="906"/>
      <c r="F752" s="906"/>
      <c r="G752" s="906"/>
      <c r="H752" s="906"/>
      <c r="I752" s="906"/>
      <c r="J752" s="906"/>
      <c r="K752" s="906"/>
      <c r="L752" s="906"/>
      <c r="M752" s="906"/>
      <c r="N752" s="906"/>
      <c r="O752" s="906"/>
      <c r="P752" s="906"/>
      <c r="Q752" s="906"/>
      <c r="S752" s="87"/>
      <c r="T752" s="87"/>
    </row>
    <row r="753" spans="1:20" ht="13.5" thickBot="1">
      <c r="A753" s="907" t="s">
        <v>709</v>
      </c>
      <c r="B753" s="907"/>
      <c r="C753" s="907"/>
      <c r="D753" s="907"/>
      <c r="E753" s="907"/>
      <c r="F753" s="907"/>
      <c r="G753" s="907"/>
      <c r="H753" s="907"/>
      <c r="I753" s="907"/>
      <c r="J753" s="907"/>
      <c r="K753" s="907"/>
      <c r="L753" s="907"/>
      <c r="M753" s="907"/>
      <c r="N753" s="907"/>
      <c r="O753" s="907"/>
      <c r="P753" s="907"/>
      <c r="Q753" s="907"/>
      <c r="S753" s="87"/>
      <c r="T753" s="87"/>
    </row>
    <row r="754" spans="1:20" ht="12.75" customHeight="1">
      <c r="A754" s="890" t="s">
        <v>1</v>
      </c>
      <c r="B754" s="892" t="s">
        <v>0</v>
      </c>
      <c r="C754" s="888" t="s">
        <v>2</v>
      </c>
      <c r="D754" s="888" t="s">
        <v>3</v>
      </c>
      <c r="E754" s="888" t="s">
        <v>13</v>
      </c>
      <c r="F754" s="896" t="s">
        <v>14</v>
      </c>
      <c r="G754" s="897"/>
      <c r="H754" s="897"/>
      <c r="I754" s="898"/>
      <c r="J754" s="888" t="s">
        <v>4</v>
      </c>
      <c r="K754" s="888" t="s">
        <v>15</v>
      </c>
      <c r="L754" s="888" t="s">
        <v>5</v>
      </c>
      <c r="M754" s="888" t="s">
        <v>6</v>
      </c>
      <c r="N754" s="888" t="s">
        <v>16</v>
      </c>
      <c r="O754" s="888" t="s">
        <v>17</v>
      </c>
      <c r="P754" s="876" t="s">
        <v>25</v>
      </c>
      <c r="Q754" s="878" t="s">
        <v>26</v>
      </c>
      <c r="S754" s="87"/>
      <c r="T754" s="87"/>
    </row>
    <row r="755" spans="1:20" s="2" customFormat="1" ht="33.75">
      <c r="A755" s="891"/>
      <c r="B755" s="893"/>
      <c r="C755" s="894"/>
      <c r="D755" s="889"/>
      <c r="E755" s="889"/>
      <c r="F755" s="36" t="s">
        <v>18</v>
      </c>
      <c r="G755" s="36" t="s">
        <v>19</v>
      </c>
      <c r="H755" s="36" t="s">
        <v>20</v>
      </c>
      <c r="I755" s="36" t="s">
        <v>21</v>
      </c>
      <c r="J755" s="889"/>
      <c r="K755" s="889"/>
      <c r="L755" s="889"/>
      <c r="M755" s="889"/>
      <c r="N755" s="889"/>
      <c r="O755" s="889"/>
      <c r="P755" s="877"/>
      <c r="Q755" s="879"/>
      <c r="S755" s="87"/>
      <c r="T755" s="87"/>
    </row>
    <row r="756" spans="1:20" s="3" customFormat="1" ht="13.5" customHeight="1" thickBot="1">
      <c r="A756" s="945"/>
      <c r="B756" s="946"/>
      <c r="C756" s="895"/>
      <c r="D756" s="59" t="s">
        <v>7</v>
      </c>
      <c r="E756" s="59" t="s">
        <v>8</v>
      </c>
      <c r="F756" s="59" t="s">
        <v>9</v>
      </c>
      <c r="G756" s="59" t="s">
        <v>9</v>
      </c>
      <c r="H756" s="59" t="s">
        <v>9</v>
      </c>
      <c r="I756" s="59" t="s">
        <v>9</v>
      </c>
      <c r="J756" s="59" t="s">
        <v>22</v>
      </c>
      <c r="K756" s="59" t="s">
        <v>9</v>
      </c>
      <c r="L756" s="59" t="s">
        <v>22</v>
      </c>
      <c r="M756" s="59" t="s">
        <v>128</v>
      </c>
      <c r="N756" s="59" t="s">
        <v>10</v>
      </c>
      <c r="O756" s="59" t="s">
        <v>129</v>
      </c>
      <c r="P756" s="59" t="s">
        <v>27</v>
      </c>
      <c r="Q756" s="61" t="s">
        <v>28</v>
      </c>
      <c r="S756" s="87"/>
      <c r="T756" s="87"/>
    </row>
    <row r="757" spans="1:20" ht="11.25" customHeight="1">
      <c r="A757" s="1002" t="s">
        <v>11</v>
      </c>
      <c r="B757" s="30">
        <v>1</v>
      </c>
      <c r="C757" s="63" t="s">
        <v>500</v>
      </c>
      <c r="D757" s="62">
        <v>45</v>
      </c>
      <c r="E757" s="62">
        <v>1990</v>
      </c>
      <c r="F757" s="249">
        <f>SUM(G757:I757)</f>
        <v>33.322</v>
      </c>
      <c r="G757" s="249">
        <v>4.815</v>
      </c>
      <c r="H757" s="249">
        <v>7.2</v>
      </c>
      <c r="I757" s="249">
        <v>21.307</v>
      </c>
      <c r="J757" s="93">
        <v>2333.65</v>
      </c>
      <c r="K757" s="249">
        <f aca="true" t="shared" si="111" ref="K757:L760">I757</f>
        <v>21.307</v>
      </c>
      <c r="L757" s="93">
        <f t="shared" si="111"/>
        <v>2333.65</v>
      </c>
      <c r="M757" s="251">
        <f>K757/L757</f>
        <v>0.009130332312043365</v>
      </c>
      <c r="N757" s="250">
        <v>217.35</v>
      </c>
      <c r="O757" s="252">
        <f>M757*N757</f>
        <v>1.9844777280226253</v>
      </c>
      <c r="P757" s="252">
        <f>M757*60*1000</f>
        <v>547.8199387226019</v>
      </c>
      <c r="Q757" s="253">
        <f>P757*N757/1000</f>
        <v>119.06866368135753</v>
      </c>
      <c r="S757" s="87"/>
      <c r="T757" s="87"/>
    </row>
    <row r="758" spans="1:20" ht="12.75">
      <c r="A758" s="1003"/>
      <c r="B758" s="31">
        <v>2</v>
      </c>
      <c r="C758" s="16" t="s">
        <v>501</v>
      </c>
      <c r="D758" s="31">
        <v>40</v>
      </c>
      <c r="E758" s="31">
        <v>1992</v>
      </c>
      <c r="F758" s="146">
        <f>SUM(G758:I758)</f>
        <v>31.648</v>
      </c>
      <c r="G758" s="146">
        <v>3.804</v>
      </c>
      <c r="H758" s="146">
        <v>6.4</v>
      </c>
      <c r="I758" s="146">
        <v>21.444</v>
      </c>
      <c r="J758" s="176">
        <v>2286.95</v>
      </c>
      <c r="K758" s="146">
        <f t="shared" si="111"/>
        <v>21.444</v>
      </c>
      <c r="L758" s="176">
        <f t="shared" si="111"/>
        <v>2286.95</v>
      </c>
      <c r="M758" s="133">
        <f>K758/L758</f>
        <v>0.009376680731979274</v>
      </c>
      <c r="N758" s="132">
        <v>217.35</v>
      </c>
      <c r="O758" s="132">
        <f>M758*N758</f>
        <v>2.038021557095695</v>
      </c>
      <c r="P758" s="252">
        <f>M758*60*1000</f>
        <v>562.6008439187564</v>
      </c>
      <c r="Q758" s="134">
        <f>P758*N758/1000</f>
        <v>122.2812934257417</v>
      </c>
      <c r="S758" s="87"/>
      <c r="T758" s="87"/>
    </row>
    <row r="759" spans="1:20" ht="12.75">
      <c r="A759" s="1003"/>
      <c r="B759" s="31">
        <v>3</v>
      </c>
      <c r="C759" s="16" t="s">
        <v>710</v>
      </c>
      <c r="D759" s="31">
        <v>45</v>
      </c>
      <c r="E759" s="31">
        <v>1974</v>
      </c>
      <c r="F759" s="146">
        <f>SUM(G759:I759)</f>
        <v>37.7</v>
      </c>
      <c r="G759" s="146">
        <v>5.782</v>
      </c>
      <c r="H759" s="146">
        <v>7.2</v>
      </c>
      <c r="I759" s="146">
        <v>24.718</v>
      </c>
      <c r="J759" s="176">
        <v>2307.02</v>
      </c>
      <c r="K759" s="146">
        <f t="shared" si="111"/>
        <v>24.718</v>
      </c>
      <c r="L759" s="176">
        <f t="shared" si="111"/>
        <v>2307.02</v>
      </c>
      <c r="M759" s="133">
        <f>K759/L759</f>
        <v>0.010714254752884674</v>
      </c>
      <c r="N759" s="132">
        <v>217.35</v>
      </c>
      <c r="O759" s="132">
        <f>M759*N759</f>
        <v>2.328743270539484</v>
      </c>
      <c r="P759" s="252">
        <f>M759*60*1000</f>
        <v>642.8552851730805</v>
      </c>
      <c r="Q759" s="134">
        <f>P759*N759/1000</f>
        <v>139.72459623236904</v>
      </c>
      <c r="S759" s="87"/>
      <c r="T759" s="87"/>
    </row>
    <row r="760" spans="1:20" ht="12.75">
      <c r="A760" s="1003"/>
      <c r="B760" s="31">
        <v>4</v>
      </c>
      <c r="C760" s="16" t="s">
        <v>711</v>
      </c>
      <c r="D760" s="31">
        <v>40</v>
      </c>
      <c r="E760" s="31">
        <v>1982</v>
      </c>
      <c r="F760" s="146">
        <f>SUM(G760:I760)</f>
        <v>48.077999999999996</v>
      </c>
      <c r="G760" s="146">
        <v>3.695</v>
      </c>
      <c r="H760" s="146">
        <v>6.4</v>
      </c>
      <c r="I760" s="146">
        <v>37.983</v>
      </c>
      <c r="J760" s="176">
        <v>2259.52</v>
      </c>
      <c r="K760" s="146">
        <f t="shared" si="111"/>
        <v>37.983</v>
      </c>
      <c r="L760" s="176">
        <f t="shared" si="111"/>
        <v>2259.52</v>
      </c>
      <c r="M760" s="133">
        <f>K760/L760</f>
        <v>0.016810207477694378</v>
      </c>
      <c r="N760" s="132">
        <v>217.35</v>
      </c>
      <c r="O760" s="132">
        <f>M760*N760</f>
        <v>3.653698595276873</v>
      </c>
      <c r="P760" s="252">
        <f>M760*60*1000</f>
        <v>1008.6124486616628</v>
      </c>
      <c r="Q760" s="134">
        <f>P760*N760/1000</f>
        <v>219.22191571661241</v>
      </c>
      <c r="S760" s="87"/>
      <c r="T760" s="87"/>
    </row>
    <row r="761" spans="1:20" ht="12.75">
      <c r="A761" s="1003"/>
      <c r="B761" s="31">
        <v>5</v>
      </c>
      <c r="C761" s="16"/>
      <c r="D761" s="31"/>
      <c r="E761" s="31"/>
      <c r="F761" s="254"/>
      <c r="G761" s="254"/>
      <c r="H761" s="254"/>
      <c r="I761" s="254"/>
      <c r="J761" s="176"/>
      <c r="K761" s="254"/>
      <c r="L761" s="176"/>
      <c r="M761" s="133"/>
      <c r="N761" s="132"/>
      <c r="O761" s="132"/>
      <c r="P761" s="132"/>
      <c r="Q761" s="134"/>
      <c r="S761" s="87"/>
      <c r="T761" s="87"/>
    </row>
    <row r="762" spans="1:20" ht="12.75">
      <c r="A762" s="1003"/>
      <c r="B762" s="31">
        <v>6</v>
      </c>
      <c r="C762" s="16"/>
      <c r="D762" s="31"/>
      <c r="E762" s="31"/>
      <c r="F762" s="254"/>
      <c r="G762" s="254"/>
      <c r="H762" s="254"/>
      <c r="I762" s="254"/>
      <c r="J762" s="176"/>
      <c r="K762" s="254"/>
      <c r="L762" s="176"/>
      <c r="M762" s="133"/>
      <c r="N762" s="31"/>
      <c r="O762" s="31"/>
      <c r="P762" s="132"/>
      <c r="Q762" s="134"/>
      <c r="S762" s="87"/>
      <c r="T762" s="87"/>
    </row>
    <row r="763" spans="1:20" ht="12.75">
      <c r="A763" s="1003"/>
      <c r="B763" s="31">
        <v>7</v>
      </c>
      <c r="C763" s="16"/>
      <c r="D763" s="31"/>
      <c r="E763" s="31"/>
      <c r="F763" s="254"/>
      <c r="G763" s="254"/>
      <c r="H763" s="254"/>
      <c r="I763" s="254"/>
      <c r="J763" s="176"/>
      <c r="K763" s="254"/>
      <c r="L763" s="176"/>
      <c r="M763" s="133"/>
      <c r="N763" s="132"/>
      <c r="O763" s="132"/>
      <c r="P763" s="132"/>
      <c r="Q763" s="134"/>
      <c r="S763" s="87"/>
      <c r="T763" s="87"/>
    </row>
    <row r="764" spans="1:20" ht="12.75">
      <c r="A764" s="1003"/>
      <c r="B764" s="31">
        <v>8</v>
      </c>
      <c r="C764" s="16"/>
      <c r="D764" s="31"/>
      <c r="E764" s="31"/>
      <c r="F764" s="254"/>
      <c r="G764" s="254"/>
      <c r="H764" s="254"/>
      <c r="I764" s="254"/>
      <c r="J764" s="176"/>
      <c r="K764" s="254"/>
      <c r="L764" s="176"/>
      <c r="M764" s="133"/>
      <c r="N764" s="132"/>
      <c r="O764" s="132"/>
      <c r="P764" s="132"/>
      <c r="Q764" s="134"/>
      <c r="S764" s="87"/>
      <c r="T764" s="87"/>
    </row>
    <row r="765" spans="1:20" ht="12.75">
      <c r="A765" s="1003"/>
      <c r="B765" s="31">
        <v>9</v>
      </c>
      <c r="C765" s="16"/>
      <c r="D765" s="31"/>
      <c r="E765" s="31"/>
      <c r="F765" s="254"/>
      <c r="G765" s="254"/>
      <c r="H765" s="254"/>
      <c r="I765" s="254"/>
      <c r="J765" s="176"/>
      <c r="K765" s="254"/>
      <c r="L765" s="176"/>
      <c r="M765" s="133"/>
      <c r="N765" s="132"/>
      <c r="O765" s="132"/>
      <c r="P765" s="132"/>
      <c r="Q765" s="134"/>
      <c r="S765" s="87"/>
      <c r="T765" s="87"/>
    </row>
    <row r="766" spans="1:20" ht="13.5" thickBot="1">
      <c r="A766" s="1003"/>
      <c r="B766" s="91" t="s">
        <v>44</v>
      </c>
      <c r="C766" s="65"/>
      <c r="D766" s="64"/>
      <c r="E766" s="64"/>
      <c r="F766" s="216"/>
      <c r="G766" s="216"/>
      <c r="H766" s="216"/>
      <c r="I766" s="216"/>
      <c r="J766" s="334"/>
      <c r="K766" s="216"/>
      <c r="L766" s="334"/>
      <c r="M766" s="136"/>
      <c r="N766" s="135"/>
      <c r="O766" s="135"/>
      <c r="P766" s="135"/>
      <c r="Q766" s="137"/>
      <c r="S766" s="87"/>
      <c r="T766" s="87"/>
    </row>
    <row r="767" spans="1:20" ht="12.75">
      <c r="A767" s="993" t="s">
        <v>29</v>
      </c>
      <c r="B767" s="33">
        <v>1</v>
      </c>
      <c r="C767" s="34" t="s">
        <v>712</v>
      </c>
      <c r="D767" s="35">
        <v>25</v>
      </c>
      <c r="E767" s="35">
        <v>1982</v>
      </c>
      <c r="F767" s="262">
        <f>SUM(G767:I767)</f>
        <v>34.704</v>
      </c>
      <c r="G767" s="262">
        <v>2.972</v>
      </c>
      <c r="H767" s="262">
        <v>4</v>
      </c>
      <c r="I767" s="263">
        <v>27.732</v>
      </c>
      <c r="J767" s="432">
        <v>1307.01</v>
      </c>
      <c r="K767" s="262">
        <f aca="true" t="shared" si="112" ref="K767:L770">I767</f>
        <v>27.732</v>
      </c>
      <c r="L767" s="432">
        <f t="shared" si="112"/>
        <v>1307.01</v>
      </c>
      <c r="M767" s="147">
        <f>K767/L767</f>
        <v>0.021217894277779054</v>
      </c>
      <c r="N767" s="148">
        <v>217.35</v>
      </c>
      <c r="O767" s="148">
        <f>M767*N767</f>
        <v>4.611709321275277</v>
      </c>
      <c r="P767" s="148">
        <f>M767*60*1000</f>
        <v>1273.0736566667433</v>
      </c>
      <c r="Q767" s="170">
        <f>P767*N767/1000</f>
        <v>276.70255927651664</v>
      </c>
      <c r="S767" s="87"/>
      <c r="T767" s="87"/>
    </row>
    <row r="768" spans="1:20" ht="12.75">
      <c r="A768" s="903"/>
      <c r="B768" s="35">
        <v>2</v>
      </c>
      <c r="C768" s="34" t="s">
        <v>713</v>
      </c>
      <c r="D768" s="35">
        <v>50</v>
      </c>
      <c r="E768" s="35">
        <v>1979</v>
      </c>
      <c r="F768" s="263">
        <f>SUM(G768:I768)</f>
        <v>75.433</v>
      </c>
      <c r="G768" s="263">
        <v>4.285</v>
      </c>
      <c r="H768" s="263">
        <v>8</v>
      </c>
      <c r="I768" s="263">
        <v>63.148</v>
      </c>
      <c r="J768" s="118">
        <v>2964.27</v>
      </c>
      <c r="K768" s="263">
        <f t="shared" si="112"/>
        <v>63.148</v>
      </c>
      <c r="L768" s="118">
        <f t="shared" si="112"/>
        <v>2964.27</v>
      </c>
      <c r="M768" s="147">
        <f>K768/L768</f>
        <v>0.021303052690881737</v>
      </c>
      <c r="N768" s="138">
        <v>217.35</v>
      </c>
      <c r="O768" s="148">
        <f>M768*N768</f>
        <v>4.630218502363145</v>
      </c>
      <c r="P768" s="148">
        <f>M768*60*1000</f>
        <v>1278.1831614529042</v>
      </c>
      <c r="Q768" s="170">
        <f>P768*N768/1000</f>
        <v>277.81311014178874</v>
      </c>
      <c r="S768" s="87"/>
      <c r="T768" s="87"/>
    </row>
    <row r="769" spans="1:20" ht="12.75">
      <c r="A769" s="903"/>
      <c r="B769" s="35">
        <v>3</v>
      </c>
      <c r="C769" s="34" t="s">
        <v>714</v>
      </c>
      <c r="D769" s="35">
        <v>14</v>
      </c>
      <c r="E769" s="35">
        <v>1992</v>
      </c>
      <c r="F769" s="263">
        <f>SUM(G769:I769)</f>
        <v>18.758000000000003</v>
      </c>
      <c r="G769" s="263">
        <v>1.304</v>
      </c>
      <c r="H769" s="263">
        <v>2.013</v>
      </c>
      <c r="I769" s="263">
        <v>15.441</v>
      </c>
      <c r="J769" s="118">
        <v>723.9</v>
      </c>
      <c r="K769" s="263">
        <f t="shared" si="112"/>
        <v>15.441</v>
      </c>
      <c r="L769" s="118">
        <f t="shared" si="112"/>
        <v>723.9</v>
      </c>
      <c r="M769" s="139">
        <f>K769/L769</f>
        <v>0.02133029423953585</v>
      </c>
      <c r="N769" s="138">
        <v>217.35</v>
      </c>
      <c r="O769" s="148">
        <f>M769*N769</f>
        <v>4.636139452963117</v>
      </c>
      <c r="P769" s="148">
        <f>M769*60*1000</f>
        <v>1279.8176543721509</v>
      </c>
      <c r="Q769" s="168">
        <f>P769*N769/1000</f>
        <v>278.168367177787</v>
      </c>
      <c r="S769" s="87"/>
      <c r="T769" s="87"/>
    </row>
    <row r="770" spans="1:20" ht="12.75">
      <c r="A770" s="903"/>
      <c r="B770" s="35">
        <v>4</v>
      </c>
      <c r="C770" s="34" t="s">
        <v>715</v>
      </c>
      <c r="D770" s="35">
        <v>48</v>
      </c>
      <c r="E770" s="35">
        <v>1973</v>
      </c>
      <c r="F770" s="263">
        <f>SUM(G770:I770)</f>
        <v>54.119</v>
      </c>
      <c r="G770" s="263">
        <v>4.239</v>
      </c>
      <c r="H770" s="263">
        <v>7.02</v>
      </c>
      <c r="I770" s="263">
        <v>42.86</v>
      </c>
      <c r="J770" s="118">
        <v>2002.97</v>
      </c>
      <c r="K770" s="263">
        <f t="shared" si="112"/>
        <v>42.86</v>
      </c>
      <c r="L770" s="118">
        <f t="shared" si="112"/>
        <v>2002.97</v>
      </c>
      <c r="M770" s="139">
        <f>K770/L770</f>
        <v>0.02139822363789772</v>
      </c>
      <c r="N770" s="138">
        <v>217.35</v>
      </c>
      <c r="O770" s="138">
        <f>M770*N770</f>
        <v>4.65090390769707</v>
      </c>
      <c r="P770" s="148">
        <f>M770*60*1000</f>
        <v>1283.8934182738633</v>
      </c>
      <c r="Q770" s="168">
        <f>P770*N770/1000</f>
        <v>279.0542344618242</v>
      </c>
      <c r="S770" s="87"/>
      <c r="T770" s="87"/>
    </row>
    <row r="771" spans="1:20" ht="12.75">
      <c r="A771" s="903"/>
      <c r="B771" s="35">
        <v>5</v>
      </c>
      <c r="C771" s="34"/>
      <c r="D771" s="140"/>
      <c r="E771" s="140"/>
      <c r="F771" s="351"/>
      <c r="G771" s="351"/>
      <c r="H771" s="263"/>
      <c r="I771" s="263"/>
      <c r="J771" s="118"/>
      <c r="K771" s="263"/>
      <c r="L771" s="118"/>
      <c r="M771" s="139"/>
      <c r="N771" s="138"/>
      <c r="O771" s="138"/>
      <c r="P771" s="138"/>
      <c r="Q771" s="168"/>
      <c r="S771" s="87"/>
      <c r="T771" s="87"/>
    </row>
    <row r="772" spans="1:20" ht="12.75">
      <c r="A772" s="903"/>
      <c r="B772" s="35">
        <v>6</v>
      </c>
      <c r="C772" s="34"/>
      <c r="D772" s="35"/>
      <c r="E772" s="35"/>
      <c r="F772" s="263"/>
      <c r="G772" s="263"/>
      <c r="H772" s="263"/>
      <c r="I772" s="263"/>
      <c r="J772" s="118"/>
      <c r="K772" s="263"/>
      <c r="L772" s="118"/>
      <c r="M772" s="139"/>
      <c r="N772" s="139"/>
      <c r="O772" s="138"/>
      <c r="P772" s="138"/>
      <c r="Q772" s="168"/>
      <c r="S772" s="87"/>
      <c r="T772" s="87"/>
    </row>
    <row r="773" spans="1:20" ht="12.75">
      <c r="A773" s="903"/>
      <c r="B773" s="35">
        <v>7</v>
      </c>
      <c r="C773" s="34"/>
      <c r="D773" s="35"/>
      <c r="E773" s="35"/>
      <c r="F773" s="263"/>
      <c r="G773" s="263"/>
      <c r="H773" s="263"/>
      <c r="I773" s="263"/>
      <c r="J773" s="118"/>
      <c r="K773" s="263"/>
      <c r="L773" s="118"/>
      <c r="M773" s="139"/>
      <c r="N773" s="138"/>
      <c r="O773" s="138"/>
      <c r="P773" s="138"/>
      <c r="Q773" s="168"/>
      <c r="S773" s="87"/>
      <c r="T773" s="87"/>
    </row>
    <row r="774" spans="1:20" ht="12.75">
      <c r="A774" s="903"/>
      <c r="B774" s="35">
        <v>8</v>
      </c>
      <c r="C774" s="34"/>
      <c r="D774" s="35"/>
      <c r="E774" s="35"/>
      <c r="F774" s="263"/>
      <c r="G774" s="263"/>
      <c r="H774" s="263"/>
      <c r="I774" s="263"/>
      <c r="J774" s="118"/>
      <c r="K774" s="263"/>
      <c r="L774" s="118"/>
      <c r="M774" s="139"/>
      <c r="N774" s="138"/>
      <c r="O774" s="138"/>
      <c r="P774" s="138"/>
      <c r="Q774" s="168"/>
      <c r="S774" s="87"/>
      <c r="T774" s="87"/>
    </row>
    <row r="775" spans="1:20" ht="12.75">
      <c r="A775" s="903"/>
      <c r="B775" s="35">
        <v>9</v>
      </c>
      <c r="C775" s="34"/>
      <c r="D775" s="35"/>
      <c r="E775" s="35"/>
      <c r="F775" s="263"/>
      <c r="G775" s="263"/>
      <c r="H775" s="263"/>
      <c r="I775" s="263"/>
      <c r="J775" s="118"/>
      <c r="K775" s="263"/>
      <c r="L775" s="118"/>
      <c r="M775" s="139"/>
      <c r="N775" s="138"/>
      <c r="O775" s="138"/>
      <c r="P775" s="138"/>
      <c r="Q775" s="168"/>
      <c r="S775" s="87"/>
      <c r="T775" s="87"/>
    </row>
    <row r="776" spans="1:20" ht="13.5" customHeight="1" thickBot="1">
      <c r="A776" s="905"/>
      <c r="B776" s="38" t="s">
        <v>40</v>
      </c>
      <c r="C776" s="83"/>
      <c r="D776" s="38"/>
      <c r="E776" s="38"/>
      <c r="F776" s="265"/>
      <c r="G776" s="265"/>
      <c r="H776" s="265"/>
      <c r="I776" s="265"/>
      <c r="J776" s="184"/>
      <c r="K776" s="265"/>
      <c r="L776" s="184"/>
      <c r="M776" s="218"/>
      <c r="N776" s="171"/>
      <c r="O776" s="171"/>
      <c r="P776" s="171"/>
      <c r="Q776" s="172"/>
      <c r="S776" s="87"/>
      <c r="T776" s="87"/>
    </row>
    <row r="777" spans="1:20" ht="12.75">
      <c r="A777" s="880" t="s">
        <v>30</v>
      </c>
      <c r="B777" s="231">
        <v>1</v>
      </c>
      <c r="C777" s="270" t="s">
        <v>180</v>
      </c>
      <c r="D777" s="231">
        <v>15</v>
      </c>
      <c r="E777" s="231">
        <v>1971</v>
      </c>
      <c r="F777" s="423">
        <f>SUM(G777:I777)</f>
        <v>22.176</v>
      </c>
      <c r="G777" s="423">
        <v>1.579</v>
      </c>
      <c r="H777" s="423">
        <v>2.33</v>
      </c>
      <c r="I777" s="423">
        <v>18.267</v>
      </c>
      <c r="J777" s="434">
        <v>759.48</v>
      </c>
      <c r="K777" s="423">
        <f aca="true" t="shared" si="113" ref="K777:L780">I777</f>
        <v>18.267</v>
      </c>
      <c r="L777" s="356">
        <f t="shared" si="113"/>
        <v>759.48</v>
      </c>
      <c r="M777" s="286">
        <f>K777/L777</f>
        <v>0.024051982935692842</v>
      </c>
      <c r="N777" s="285">
        <v>217.35</v>
      </c>
      <c r="O777" s="285">
        <f>M777*N777</f>
        <v>5.2276984910728395</v>
      </c>
      <c r="P777" s="285">
        <f>M777*60*1000</f>
        <v>1443.1189761415706</v>
      </c>
      <c r="Q777" s="287">
        <f>P777*N777/1000</f>
        <v>313.66190946437035</v>
      </c>
      <c r="S777" s="87"/>
      <c r="T777" s="87"/>
    </row>
    <row r="778" spans="1:20" ht="12.75">
      <c r="A778" s="881"/>
      <c r="B778" s="232">
        <v>2</v>
      </c>
      <c r="C778" s="272" t="s">
        <v>716</v>
      </c>
      <c r="D778" s="232">
        <v>45</v>
      </c>
      <c r="E778" s="232">
        <v>1973</v>
      </c>
      <c r="F778" s="288">
        <f>SUM(G778:I778)</f>
        <v>66.97800000000001</v>
      </c>
      <c r="G778" s="288">
        <v>4.157</v>
      </c>
      <c r="H778" s="288">
        <v>7.2</v>
      </c>
      <c r="I778" s="288">
        <v>55.621</v>
      </c>
      <c r="J778" s="279">
        <v>2303.2</v>
      </c>
      <c r="K778" s="288">
        <f t="shared" si="113"/>
        <v>55.621</v>
      </c>
      <c r="L778" s="279">
        <f t="shared" si="113"/>
        <v>2303.2</v>
      </c>
      <c r="M778" s="290">
        <f>K778/L778</f>
        <v>0.02414944425147621</v>
      </c>
      <c r="N778" s="289">
        <v>217.35</v>
      </c>
      <c r="O778" s="289">
        <f>M778*N778</f>
        <v>5.248881708058354</v>
      </c>
      <c r="P778" s="285">
        <f>M778*60*1000</f>
        <v>1448.9666550885727</v>
      </c>
      <c r="Q778" s="291">
        <f>P778*N778/1000</f>
        <v>314.93290248350127</v>
      </c>
      <c r="S778" s="87"/>
      <c r="T778" s="87"/>
    </row>
    <row r="779" spans="1:20" ht="12.75">
      <c r="A779" s="881"/>
      <c r="B779" s="232">
        <v>3</v>
      </c>
      <c r="C779" s="272" t="s">
        <v>717</v>
      </c>
      <c r="D779" s="232">
        <v>45</v>
      </c>
      <c r="E779" s="232">
        <v>1973</v>
      </c>
      <c r="F779" s="288">
        <f>SUM(G779:I779)</f>
        <v>56.744</v>
      </c>
      <c r="G779" s="288">
        <v>4.28</v>
      </c>
      <c r="H779" s="288">
        <v>7.2</v>
      </c>
      <c r="I779" s="288">
        <v>45.264</v>
      </c>
      <c r="J779" s="279">
        <v>1873.1</v>
      </c>
      <c r="K779" s="288">
        <f t="shared" si="113"/>
        <v>45.264</v>
      </c>
      <c r="L779" s="279">
        <f t="shared" si="113"/>
        <v>1873.1</v>
      </c>
      <c r="M779" s="290">
        <f>K779/L779</f>
        <v>0.024165287491324544</v>
      </c>
      <c r="N779" s="289">
        <v>217.35</v>
      </c>
      <c r="O779" s="289">
        <f>M779*N779</f>
        <v>5.25232523623939</v>
      </c>
      <c r="P779" s="285">
        <f>M779*60*1000</f>
        <v>1449.9172494794727</v>
      </c>
      <c r="Q779" s="291">
        <f>P779*N779/1000</f>
        <v>315.1395141743634</v>
      </c>
      <c r="S779" s="87"/>
      <c r="T779" s="87"/>
    </row>
    <row r="780" spans="1:20" ht="12.75">
      <c r="A780" s="881"/>
      <c r="B780" s="232">
        <v>4</v>
      </c>
      <c r="C780" s="272" t="s">
        <v>396</v>
      </c>
      <c r="D780" s="232">
        <v>45</v>
      </c>
      <c r="E780" s="232">
        <v>1970</v>
      </c>
      <c r="F780" s="288">
        <f>SUM(G780:I780)</f>
        <v>56.79</v>
      </c>
      <c r="G780" s="288">
        <v>2.88</v>
      </c>
      <c r="H780" s="288">
        <v>7.2</v>
      </c>
      <c r="I780" s="288">
        <v>46.71</v>
      </c>
      <c r="J780" s="279">
        <v>1913.38</v>
      </c>
      <c r="K780" s="288">
        <f t="shared" si="113"/>
        <v>46.71</v>
      </c>
      <c r="L780" s="279">
        <f t="shared" si="113"/>
        <v>1913.38</v>
      </c>
      <c r="M780" s="290">
        <f>K780/L780</f>
        <v>0.024412296564195298</v>
      </c>
      <c r="N780" s="289">
        <v>217.35</v>
      </c>
      <c r="O780" s="289">
        <f>M780*N780</f>
        <v>5.306012658227848</v>
      </c>
      <c r="P780" s="285">
        <f>M780*60*1000</f>
        <v>1464.737793851718</v>
      </c>
      <c r="Q780" s="291">
        <f>P780*N780/1000</f>
        <v>318.3607594936709</v>
      </c>
      <c r="S780" s="87"/>
      <c r="T780" s="87"/>
    </row>
    <row r="781" spans="1:20" ht="12.75">
      <c r="A781" s="881"/>
      <c r="B781" s="232">
        <v>5</v>
      </c>
      <c r="C781" s="332"/>
      <c r="D781" s="232"/>
      <c r="E781" s="232"/>
      <c r="F781" s="288"/>
      <c r="G781" s="288"/>
      <c r="H781" s="288"/>
      <c r="I781" s="288"/>
      <c r="J781" s="279"/>
      <c r="K781" s="288"/>
      <c r="L781" s="279"/>
      <c r="M781" s="290"/>
      <c r="N781" s="289"/>
      <c r="O781" s="289"/>
      <c r="P781" s="289"/>
      <c r="Q781" s="291"/>
      <c r="S781" s="87"/>
      <c r="T781" s="87"/>
    </row>
    <row r="782" spans="1:20" ht="12.75">
      <c r="A782" s="881"/>
      <c r="B782" s="232">
        <v>6</v>
      </c>
      <c r="C782" s="272"/>
      <c r="D782" s="232"/>
      <c r="E782" s="232"/>
      <c r="F782" s="288"/>
      <c r="G782" s="288"/>
      <c r="H782" s="288"/>
      <c r="I782" s="288"/>
      <c r="J782" s="279"/>
      <c r="K782" s="288"/>
      <c r="L782" s="279"/>
      <c r="M782" s="290"/>
      <c r="N782" s="289"/>
      <c r="O782" s="289"/>
      <c r="P782" s="289"/>
      <c r="Q782" s="291"/>
      <c r="S782" s="87"/>
      <c r="T782" s="87"/>
    </row>
    <row r="783" spans="1:20" ht="12.75">
      <c r="A783" s="881"/>
      <c r="B783" s="232">
        <v>7</v>
      </c>
      <c r="C783" s="332"/>
      <c r="D783" s="232"/>
      <c r="E783" s="232"/>
      <c r="F783" s="288"/>
      <c r="G783" s="288"/>
      <c r="H783" s="288"/>
      <c r="I783" s="288"/>
      <c r="J783" s="279"/>
      <c r="K783" s="288"/>
      <c r="L783" s="279"/>
      <c r="M783" s="290"/>
      <c r="N783" s="289"/>
      <c r="O783" s="289"/>
      <c r="P783" s="289"/>
      <c r="Q783" s="291"/>
      <c r="S783" s="87"/>
      <c r="T783" s="87"/>
    </row>
    <row r="784" spans="1:20" ht="12.75">
      <c r="A784" s="881"/>
      <c r="B784" s="232">
        <v>8</v>
      </c>
      <c r="C784" s="332"/>
      <c r="D784" s="232"/>
      <c r="E784" s="232"/>
      <c r="F784" s="288"/>
      <c r="G784" s="288"/>
      <c r="H784" s="288"/>
      <c r="I784" s="288"/>
      <c r="J784" s="279"/>
      <c r="K784" s="288"/>
      <c r="L784" s="279"/>
      <c r="M784" s="290"/>
      <c r="N784" s="289"/>
      <c r="O784" s="289"/>
      <c r="P784" s="289"/>
      <c r="Q784" s="291"/>
      <c r="S784" s="87"/>
      <c r="T784" s="87"/>
    </row>
    <row r="785" spans="1:20" ht="12.75">
      <c r="A785" s="881"/>
      <c r="B785" s="232">
        <v>9</v>
      </c>
      <c r="C785" s="332"/>
      <c r="D785" s="232"/>
      <c r="E785" s="232"/>
      <c r="F785" s="288"/>
      <c r="G785" s="288"/>
      <c r="H785" s="288"/>
      <c r="I785" s="288"/>
      <c r="J785" s="279"/>
      <c r="K785" s="288"/>
      <c r="L785" s="279"/>
      <c r="M785" s="290"/>
      <c r="N785" s="289"/>
      <c r="O785" s="289"/>
      <c r="P785" s="289"/>
      <c r="Q785" s="291"/>
      <c r="S785" s="87"/>
      <c r="T785" s="87"/>
    </row>
    <row r="786" spans="1:20" ht="13.5" thickBot="1">
      <c r="A786" s="883"/>
      <c r="B786" s="246" t="s">
        <v>40</v>
      </c>
      <c r="C786" s="349"/>
      <c r="D786" s="246"/>
      <c r="E786" s="246"/>
      <c r="F786" s="292"/>
      <c r="G786" s="292"/>
      <c r="H786" s="292"/>
      <c r="I786" s="292"/>
      <c r="J786" s="281"/>
      <c r="K786" s="292"/>
      <c r="L786" s="281"/>
      <c r="M786" s="294"/>
      <c r="N786" s="293"/>
      <c r="O786" s="293"/>
      <c r="P786" s="293"/>
      <c r="Q786" s="295"/>
      <c r="S786" s="87"/>
      <c r="T786" s="87"/>
    </row>
    <row r="787" spans="1:20" ht="12.75">
      <c r="A787" s="884" t="s">
        <v>12</v>
      </c>
      <c r="B787" s="39">
        <v>1</v>
      </c>
      <c r="C787" s="238" t="s">
        <v>718</v>
      </c>
      <c r="D787" s="39">
        <v>9</v>
      </c>
      <c r="E787" s="39">
        <v>1959</v>
      </c>
      <c r="F787" s="429">
        <f>SUM(G787:I787)</f>
        <v>13.949</v>
      </c>
      <c r="G787" s="429">
        <v>0.326</v>
      </c>
      <c r="H787" s="429">
        <v>1.28</v>
      </c>
      <c r="I787" s="429">
        <v>12.343</v>
      </c>
      <c r="J787" s="360">
        <v>363.07</v>
      </c>
      <c r="K787" s="429">
        <f aca="true" t="shared" si="114" ref="K787:L790">I787</f>
        <v>12.343</v>
      </c>
      <c r="L787" s="357">
        <f t="shared" si="114"/>
        <v>363.07</v>
      </c>
      <c r="M787" s="226">
        <f>K787/L787</f>
        <v>0.03399619908006721</v>
      </c>
      <c r="N787" s="177">
        <v>217.35</v>
      </c>
      <c r="O787" s="177">
        <f>M787*N787</f>
        <v>7.3890738700526075</v>
      </c>
      <c r="P787" s="177">
        <f>M787*60*1000</f>
        <v>2039.7719448040323</v>
      </c>
      <c r="Q787" s="305">
        <f>P787*N787/1000</f>
        <v>443.34443220315643</v>
      </c>
      <c r="S787" s="87"/>
      <c r="T787" s="87"/>
    </row>
    <row r="788" spans="1:20" ht="12.75">
      <c r="A788" s="886"/>
      <c r="B788" s="41">
        <v>2</v>
      </c>
      <c r="C788" s="49" t="s">
        <v>719</v>
      </c>
      <c r="D788" s="41">
        <v>6</v>
      </c>
      <c r="E788" s="41">
        <v>1936</v>
      </c>
      <c r="F788" s="185">
        <f>SUM(G788:I788)</f>
        <v>10.067</v>
      </c>
      <c r="G788" s="185">
        <v>0.924</v>
      </c>
      <c r="H788" s="185">
        <v>0.06</v>
      </c>
      <c r="I788" s="185">
        <v>9.083</v>
      </c>
      <c r="J788" s="317">
        <v>266.57</v>
      </c>
      <c r="K788" s="185">
        <f t="shared" si="114"/>
        <v>9.083</v>
      </c>
      <c r="L788" s="317">
        <f t="shared" si="114"/>
        <v>266.57</v>
      </c>
      <c r="M788" s="227">
        <f>K788/L788</f>
        <v>0.034073601680609224</v>
      </c>
      <c r="N788" s="310">
        <v>217.35</v>
      </c>
      <c r="O788" s="310">
        <f>M788*N788</f>
        <v>7.405897325280415</v>
      </c>
      <c r="P788" s="177">
        <f>M788*60*1000</f>
        <v>2044.4161008365534</v>
      </c>
      <c r="Q788" s="311">
        <f>P788*N788/1000</f>
        <v>444.35383951682485</v>
      </c>
      <c r="S788" s="87"/>
      <c r="T788" s="87"/>
    </row>
    <row r="789" spans="1:20" ht="12.75">
      <c r="A789" s="886"/>
      <c r="B789" s="41">
        <v>3</v>
      </c>
      <c r="C789" s="49" t="s">
        <v>720</v>
      </c>
      <c r="D789" s="41">
        <v>12</v>
      </c>
      <c r="E789" s="41">
        <v>1958</v>
      </c>
      <c r="F789" s="185">
        <f>SUM(G789:I789)</f>
        <v>25.134</v>
      </c>
      <c r="G789" s="185">
        <v>1.032</v>
      </c>
      <c r="H789" s="185">
        <v>1.853</v>
      </c>
      <c r="I789" s="185">
        <v>22.249</v>
      </c>
      <c r="J789" s="317">
        <v>641.11</v>
      </c>
      <c r="K789" s="185">
        <f t="shared" si="114"/>
        <v>22.249</v>
      </c>
      <c r="L789" s="317">
        <f t="shared" si="114"/>
        <v>641.11</v>
      </c>
      <c r="M789" s="227">
        <f>K789/L789</f>
        <v>0.0347038729703171</v>
      </c>
      <c r="N789" s="310">
        <v>217.35</v>
      </c>
      <c r="O789" s="310">
        <f>M789*N789</f>
        <v>7.542886790098422</v>
      </c>
      <c r="P789" s="177">
        <f>M789*60*1000</f>
        <v>2082.232378219026</v>
      </c>
      <c r="Q789" s="311">
        <f>P789*N789/1000</f>
        <v>452.5732074059053</v>
      </c>
      <c r="S789" s="87"/>
      <c r="T789" s="87"/>
    </row>
    <row r="790" spans="1:20" ht="12.75">
      <c r="A790" s="886"/>
      <c r="B790" s="41">
        <v>4</v>
      </c>
      <c r="C790" s="49" t="s">
        <v>721</v>
      </c>
      <c r="D790" s="41">
        <v>24</v>
      </c>
      <c r="E790" s="41">
        <v>1966</v>
      </c>
      <c r="F790" s="185">
        <f>SUM(G790:I790)</f>
        <v>46.469</v>
      </c>
      <c r="G790" s="185">
        <v>1.576</v>
      </c>
      <c r="H790" s="185">
        <v>0.29</v>
      </c>
      <c r="I790" s="185">
        <v>44.603</v>
      </c>
      <c r="J790" s="317">
        <v>1267.43</v>
      </c>
      <c r="K790" s="185">
        <f t="shared" si="114"/>
        <v>44.603</v>
      </c>
      <c r="L790" s="317">
        <f t="shared" si="114"/>
        <v>1267.43</v>
      </c>
      <c r="M790" s="227">
        <f>K790/L790</f>
        <v>0.03519168711487025</v>
      </c>
      <c r="N790" s="310">
        <v>217.35</v>
      </c>
      <c r="O790" s="310">
        <f>M790*N790</f>
        <v>7.648913194417049</v>
      </c>
      <c r="P790" s="177">
        <f>M790*60*1000</f>
        <v>2111.501226892215</v>
      </c>
      <c r="Q790" s="311">
        <f>P790*N790/1000</f>
        <v>458.93479166502294</v>
      </c>
      <c r="S790" s="87"/>
      <c r="T790" s="87"/>
    </row>
    <row r="791" spans="1:20" ht="12.75">
      <c r="A791" s="886"/>
      <c r="B791" s="41">
        <v>5</v>
      </c>
      <c r="C791" s="107"/>
      <c r="D791" s="143"/>
      <c r="E791" s="143"/>
      <c r="F791" s="649"/>
      <c r="G791" s="315"/>
      <c r="H791" s="315"/>
      <c r="I791" s="315"/>
      <c r="J791" s="317"/>
      <c r="K791" s="315"/>
      <c r="L791" s="317"/>
      <c r="M791" s="650"/>
      <c r="N791" s="310"/>
      <c r="O791" s="310"/>
      <c r="P791" s="651"/>
      <c r="Q791" s="311"/>
      <c r="S791" s="87"/>
      <c r="T791" s="87"/>
    </row>
    <row r="792" spans="1:20" ht="12.75">
      <c r="A792" s="886"/>
      <c r="B792" s="41">
        <v>6</v>
      </c>
      <c r="C792" s="107"/>
      <c r="D792" s="41"/>
      <c r="E792" s="41"/>
      <c r="F792" s="54"/>
      <c r="G792" s="54"/>
      <c r="H792" s="54"/>
      <c r="I792" s="54"/>
      <c r="J792" s="54"/>
      <c r="K792" s="42"/>
      <c r="L792" s="54"/>
      <c r="M792" s="69"/>
      <c r="N792" s="54"/>
      <c r="O792" s="70"/>
      <c r="P792" s="71"/>
      <c r="Q792" s="72"/>
      <c r="S792" s="87"/>
      <c r="T792" s="87"/>
    </row>
    <row r="793" spans="1:20" ht="12.75">
      <c r="A793" s="886"/>
      <c r="B793" s="41">
        <v>7</v>
      </c>
      <c r="C793" s="107"/>
      <c r="D793" s="41"/>
      <c r="E793" s="41"/>
      <c r="F793" s="54"/>
      <c r="G793" s="54"/>
      <c r="H793" s="54"/>
      <c r="I793" s="54"/>
      <c r="J793" s="54"/>
      <c r="K793" s="42"/>
      <c r="L793" s="54"/>
      <c r="M793" s="69"/>
      <c r="N793" s="54"/>
      <c r="O793" s="70"/>
      <c r="P793" s="71"/>
      <c r="Q793" s="72"/>
      <c r="S793" s="87"/>
      <c r="T793" s="87"/>
    </row>
    <row r="794" spans="1:20" ht="12.75">
      <c r="A794" s="886"/>
      <c r="B794" s="41">
        <v>8</v>
      </c>
      <c r="C794" s="107"/>
      <c r="D794" s="41"/>
      <c r="E794" s="41"/>
      <c r="F794" s="54"/>
      <c r="G794" s="54"/>
      <c r="H794" s="54"/>
      <c r="I794" s="54"/>
      <c r="J794" s="54"/>
      <c r="K794" s="42"/>
      <c r="L794" s="54"/>
      <c r="M794" s="69"/>
      <c r="N794" s="54"/>
      <c r="O794" s="70"/>
      <c r="P794" s="71"/>
      <c r="Q794" s="72"/>
      <c r="S794" s="87"/>
      <c r="T794" s="87"/>
    </row>
    <row r="795" spans="1:20" ht="12.75">
      <c r="A795" s="886"/>
      <c r="B795" s="41">
        <v>9</v>
      </c>
      <c r="C795" s="107"/>
      <c r="D795" s="41"/>
      <c r="E795" s="41"/>
      <c r="F795" s="54"/>
      <c r="G795" s="54"/>
      <c r="H795" s="54"/>
      <c r="I795" s="54"/>
      <c r="J795" s="54"/>
      <c r="K795" s="42"/>
      <c r="L795" s="54"/>
      <c r="M795" s="69"/>
      <c r="N795" s="54"/>
      <c r="O795" s="70"/>
      <c r="P795" s="73"/>
      <c r="Q795" s="74"/>
      <c r="S795" s="87"/>
      <c r="T795" s="87"/>
    </row>
    <row r="796" spans="1:20" ht="13.5" thickBot="1">
      <c r="A796" s="887"/>
      <c r="B796" s="46" t="s">
        <v>40</v>
      </c>
      <c r="C796" s="108"/>
      <c r="D796" s="46"/>
      <c r="E796" s="46"/>
      <c r="F796" s="57"/>
      <c r="G796" s="57"/>
      <c r="H796" s="57"/>
      <c r="I796" s="57"/>
      <c r="J796" s="57"/>
      <c r="K796" s="47"/>
      <c r="L796" s="57"/>
      <c r="M796" s="75"/>
      <c r="N796" s="57"/>
      <c r="O796" s="76"/>
      <c r="P796" s="77"/>
      <c r="Q796" s="78"/>
      <c r="S796" s="87"/>
      <c r="T796" s="87"/>
    </row>
    <row r="797" spans="19:20" ht="12.75">
      <c r="S797" s="87"/>
      <c r="T797" s="87"/>
    </row>
    <row r="798" spans="19:20" ht="12.75">
      <c r="S798" s="87"/>
      <c r="T798" s="87"/>
    </row>
    <row r="799" spans="19:20" ht="12.75">
      <c r="S799" s="87"/>
      <c r="T799" s="87"/>
    </row>
    <row r="800" spans="19:20" ht="12.75">
      <c r="S800" s="87"/>
      <c r="T800" s="87"/>
    </row>
    <row r="801" spans="19:20" ht="12.75">
      <c r="S801" s="87"/>
      <c r="T801" s="87"/>
    </row>
    <row r="802" spans="19:20" ht="12.75">
      <c r="S802" s="87"/>
      <c r="T802" s="87"/>
    </row>
    <row r="803" spans="19:20" ht="12.75">
      <c r="S803" s="87"/>
      <c r="T803" s="87"/>
    </row>
    <row r="804" spans="19:20" ht="12.75">
      <c r="S804" s="87"/>
      <c r="T804" s="87"/>
    </row>
    <row r="805" spans="19:20" ht="12.75">
      <c r="S805" s="87"/>
      <c r="T805" s="87"/>
    </row>
    <row r="806" spans="1:20" ht="14.25" customHeight="1">
      <c r="A806" s="906" t="s">
        <v>999</v>
      </c>
      <c r="B806" s="906"/>
      <c r="C806" s="906"/>
      <c r="D806" s="906"/>
      <c r="E806" s="906"/>
      <c r="F806" s="906"/>
      <c r="G806" s="906"/>
      <c r="H806" s="906"/>
      <c r="I806" s="906"/>
      <c r="J806" s="906"/>
      <c r="K806" s="906"/>
      <c r="L806" s="906"/>
      <c r="M806" s="906"/>
      <c r="N806" s="906"/>
      <c r="O806" s="906"/>
      <c r="P806" s="906"/>
      <c r="Q806" s="906"/>
      <c r="S806" s="87"/>
      <c r="T806" s="87"/>
    </row>
    <row r="807" spans="1:20" ht="13.5" thickBot="1">
      <c r="A807" s="907" t="s">
        <v>848</v>
      </c>
      <c r="B807" s="907"/>
      <c r="C807" s="907"/>
      <c r="D807" s="907"/>
      <c r="E807" s="907"/>
      <c r="F807" s="907"/>
      <c r="G807" s="907"/>
      <c r="H807" s="907"/>
      <c r="I807" s="907"/>
      <c r="J807" s="907"/>
      <c r="K807" s="907"/>
      <c r="L807" s="907"/>
      <c r="M807" s="907"/>
      <c r="N807" s="907"/>
      <c r="O807" s="907"/>
      <c r="P807" s="907"/>
      <c r="Q807" s="907"/>
      <c r="S807" s="87"/>
      <c r="T807" s="87"/>
    </row>
    <row r="808" spans="1:20" ht="12.75" customHeight="1">
      <c r="A808" s="890" t="s">
        <v>1</v>
      </c>
      <c r="B808" s="892" t="s">
        <v>0</v>
      </c>
      <c r="C808" s="888" t="s">
        <v>2</v>
      </c>
      <c r="D808" s="888" t="s">
        <v>3</v>
      </c>
      <c r="E808" s="888" t="s">
        <v>13</v>
      </c>
      <c r="F808" s="896" t="s">
        <v>14</v>
      </c>
      <c r="G808" s="897"/>
      <c r="H808" s="897"/>
      <c r="I808" s="898"/>
      <c r="J808" s="888" t="s">
        <v>4</v>
      </c>
      <c r="K808" s="888" t="s">
        <v>15</v>
      </c>
      <c r="L808" s="888" t="s">
        <v>5</v>
      </c>
      <c r="M808" s="888" t="s">
        <v>6</v>
      </c>
      <c r="N808" s="888" t="s">
        <v>16</v>
      </c>
      <c r="O808" s="888" t="s">
        <v>17</v>
      </c>
      <c r="P808" s="876" t="s">
        <v>25</v>
      </c>
      <c r="Q808" s="878" t="s">
        <v>26</v>
      </c>
      <c r="S808" s="87"/>
      <c r="T808" s="87"/>
    </row>
    <row r="809" spans="1:20" s="2" customFormat="1" ht="33.75">
      <c r="A809" s="891"/>
      <c r="B809" s="893"/>
      <c r="C809" s="894"/>
      <c r="D809" s="889"/>
      <c r="E809" s="889"/>
      <c r="F809" s="36" t="s">
        <v>18</v>
      </c>
      <c r="G809" s="36" t="s">
        <v>19</v>
      </c>
      <c r="H809" s="36" t="s">
        <v>20</v>
      </c>
      <c r="I809" s="36" t="s">
        <v>21</v>
      </c>
      <c r="J809" s="889"/>
      <c r="K809" s="889"/>
      <c r="L809" s="889"/>
      <c r="M809" s="889"/>
      <c r="N809" s="889"/>
      <c r="O809" s="889"/>
      <c r="P809" s="877"/>
      <c r="Q809" s="879"/>
      <c r="S809" s="87"/>
      <c r="T809" s="87"/>
    </row>
    <row r="810" spans="1:20" s="3" customFormat="1" ht="13.5" customHeight="1" thickBot="1">
      <c r="A810" s="891"/>
      <c r="B810" s="893"/>
      <c r="C810" s="895"/>
      <c r="D810" s="59" t="s">
        <v>7</v>
      </c>
      <c r="E810" s="59" t="s">
        <v>8</v>
      </c>
      <c r="F810" s="59" t="s">
        <v>9</v>
      </c>
      <c r="G810" s="59" t="s">
        <v>9</v>
      </c>
      <c r="H810" s="59" t="s">
        <v>9</v>
      </c>
      <c r="I810" s="59" t="s">
        <v>9</v>
      </c>
      <c r="J810" s="59" t="s">
        <v>22</v>
      </c>
      <c r="K810" s="59" t="s">
        <v>9</v>
      </c>
      <c r="L810" s="59" t="s">
        <v>22</v>
      </c>
      <c r="M810" s="59" t="s">
        <v>23</v>
      </c>
      <c r="N810" s="59" t="s">
        <v>10</v>
      </c>
      <c r="O810" s="59" t="s">
        <v>24</v>
      </c>
      <c r="P810" s="60" t="s">
        <v>27</v>
      </c>
      <c r="Q810" s="61" t="s">
        <v>28</v>
      </c>
      <c r="S810" s="87"/>
      <c r="T810" s="87"/>
    </row>
    <row r="811" spans="1:20" s="96" customFormat="1" ht="12.75" customHeight="1">
      <c r="A811" s="1002" t="s">
        <v>11</v>
      </c>
      <c r="B811" s="98">
        <v>1</v>
      </c>
      <c r="C811" s="29"/>
      <c r="D811" s="30"/>
      <c r="E811" s="30"/>
      <c r="F811" s="509"/>
      <c r="G811" s="509"/>
      <c r="H811" s="509"/>
      <c r="I811" s="509"/>
      <c r="J811" s="430"/>
      <c r="K811" s="509"/>
      <c r="L811" s="430"/>
      <c r="M811" s="485"/>
      <c r="N811" s="486"/>
      <c r="O811" s="487"/>
      <c r="P811" s="487"/>
      <c r="Q811" s="488"/>
      <c r="S811" s="87"/>
      <c r="T811" s="87"/>
    </row>
    <row r="812" spans="1:20" s="96" customFormat="1" ht="12.75" customHeight="1">
      <c r="A812" s="1003"/>
      <c r="B812" s="95">
        <v>2</v>
      </c>
      <c r="C812" s="16"/>
      <c r="D812" s="31"/>
      <c r="E812" s="31"/>
      <c r="F812" s="374"/>
      <c r="G812" s="374"/>
      <c r="H812" s="374"/>
      <c r="I812" s="374"/>
      <c r="J812" s="176"/>
      <c r="K812" s="374"/>
      <c r="L812" s="176"/>
      <c r="M812" s="156"/>
      <c r="N812" s="157"/>
      <c r="O812" s="474"/>
      <c r="P812" s="474"/>
      <c r="Q812" s="158"/>
      <c r="S812" s="87"/>
      <c r="T812" s="87"/>
    </row>
    <row r="813" spans="1:20" s="96" customFormat="1" ht="12.75">
      <c r="A813" s="1003"/>
      <c r="B813" s="95">
        <v>3</v>
      </c>
      <c r="C813" s="16"/>
      <c r="D813" s="31"/>
      <c r="E813" s="31"/>
      <c r="F813" s="374"/>
      <c r="G813" s="374"/>
      <c r="H813" s="374"/>
      <c r="I813" s="374"/>
      <c r="J813" s="176"/>
      <c r="K813" s="374"/>
      <c r="L813" s="176"/>
      <c r="M813" s="156"/>
      <c r="N813" s="157"/>
      <c r="O813" s="474"/>
      <c r="P813" s="474"/>
      <c r="Q813" s="158"/>
      <c r="S813" s="87"/>
      <c r="T813" s="87"/>
    </row>
    <row r="814" spans="1:20" s="96" customFormat="1" ht="12.75">
      <c r="A814" s="1003"/>
      <c r="B814" s="95">
        <v>4</v>
      </c>
      <c r="C814" s="16"/>
      <c r="D814" s="31"/>
      <c r="E814" s="31"/>
      <c r="F814" s="374"/>
      <c r="G814" s="374"/>
      <c r="H814" s="374"/>
      <c r="I814" s="374"/>
      <c r="J814" s="176"/>
      <c r="K814" s="374"/>
      <c r="L814" s="176"/>
      <c r="M814" s="156"/>
      <c r="N814" s="157"/>
      <c r="O814" s="474"/>
      <c r="P814" s="474"/>
      <c r="Q814" s="158"/>
      <c r="S814" s="87"/>
      <c r="T814" s="87"/>
    </row>
    <row r="815" spans="1:20" s="96" customFormat="1" ht="12.75">
      <c r="A815" s="1003"/>
      <c r="B815" s="95">
        <v>5</v>
      </c>
      <c r="C815" s="16"/>
      <c r="D815" s="31"/>
      <c r="E815" s="31"/>
      <c r="F815" s="374"/>
      <c r="G815" s="374"/>
      <c r="H815" s="374"/>
      <c r="I815" s="374"/>
      <c r="J815" s="176"/>
      <c r="K815" s="374"/>
      <c r="L815" s="176"/>
      <c r="M815" s="156"/>
      <c r="N815" s="157"/>
      <c r="O815" s="474"/>
      <c r="P815" s="474"/>
      <c r="Q815" s="158"/>
      <c r="S815" s="87"/>
      <c r="T815" s="87"/>
    </row>
    <row r="816" spans="1:20" s="96" customFormat="1" ht="12.75">
      <c r="A816" s="1003"/>
      <c r="B816" s="95">
        <v>6</v>
      </c>
      <c r="C816" s="16"/>
      <c r="D816" s="31"/>
      <c r="E816" s="31"/>
      <c r="F816" s="374"/>
      <c r="G816" s="374"/>
      <c r="H816" s="374"/>
      <c r="I816" s="374"/>
      <c r="J816" s="176"/>
      <c r="K816" s="374"/>
      <c r="L816" s="176"/>
      <c r="M816" s="156"/>
      <c r="N816" s="157"/>
      <c r="O816" s="474"/>
      <c r="P816" s="474"/>
      <c r="Q816" s="158"/>
      <c r="S816" s="87"/>
      <c r="T816" s="87"/>
    </row>
    <row r="817" spans="1:20" s="96" customFormat="1" ht="12.75">
      <c r="A817" s="1003"/>
      <c r="B817" s="95">
        <v>7</v>
      </c>
      <c r="C817" s="16"/>
      <c r="D817" s="31"/>
      <c r="E817" s="31"/>
      <c r="F817" s="374"/>
      <c r="G817" s="374"/>
      <c r="H817" s="374"/>
      <c r="I817" s="374"/>
      <c r="J817" s="176"/>
      <c r="K817" s="374"/>
      <c r="L817" s="176"/>
      <c r="M817" s="156"/>
      <c r="N817" s="157"/>
      <c r="O817" s="474"/>
      <c r="P817" s="474"/>
      <c r="Q817" s="158"/>
      <c r="S817" s="87"/>
      <c r="T817" s="87"/>
    </row>
    <row r="818" spans="1:20" s="96" customFormat="1" ht="12.75">
      <c r="A818" s="1003"/>
      <c r="B818" s="95">
        <v>8</v>
      </c>
      <c r="C818" s="16"/>
      <c r="D818" s="31"/>
      <c r="E818" s="31"/>
      <c r="F818" s="374"/>
      <c r="G818" s="374"/>
      <c r="H818" s="374"/>
      <c r="I818" s="374"/>
      <c r="J818" s="176"/>
      <c r="K818" s="374"/>
      <c r="L818" s="176"/>
      <c r="M818" s="156"/>
      <c r="N818" s="157"/>
      <c r="O818" s="474"/>
      <c r="P818" s="474"/>
      <c r="Q818" s="158"/>
      <c r="S818" s="87"/>
      <c r="T818" s="87"/>
    </row>
    <row r="819" spans="1:20" s="96" customFormat="1" ht="12.75" customHeight="1">
      <c r="A819" s="1003"/>
      <c r="B819" s="95">
        <v>9</v>
      </c>
      <c r="C819" s="400"/>
      <c r="D819" s="91"/>
      <c r="E819" s="91"/>
      <c r="F819" s="572"/>
      <c r="G819" s="572"/>
      <c r="H819" s="572"/>
      <c r="I819" s="572"/>
      <c r="J819" s="418"/>
      <c r="K819" s="572"/>
      <c r="L819" s="418"/>
      <c r="M819" s="568"/>
      <c r="N819" s="571"/>
      <c r="O819" s="569"/>
      <c r="P819" s="569"/>
      <c r="Q819" s="570"/>
      <c r="S819" s="87"/>
      <c r="T819" s="87"/>
    </row>
    <row r="820" spans="1:20" s="96" customFormat="1" ht="13.5" thickBot="1">
      <c r="A820" s="1047"/>
      <c r="B820" s="99">
        <v>10</v>
      </c>
      <c r="C820" s="65"/>
      <c r="D820" s="64"/>
      <c r="E820" s="64"/>
      <c r="F820" s="375"/>
      <c r="G820" s="375"/>
      <c r="H820" s="375"/>
      <c r="I820" s="375"/>
      <c r="J820" s="334"/>
      <c r="K820" s="375"/>
      <c r="L820" s="334"/>
      <c r="M820" s="386"/>
      <c r="N820" s="369"/>
      <c r="O820" s="370"/>
      <c r="P820" s="370"/>
      <c r="Q820" s="371"/>
      <c r="S820" s="87"/>
      <c r="T820" s="87"/>
    </row>
    <row r="821" spans="1:20" ht="12.75">
      <c r="A821" s="993" t="s">
        <v>29</v>
      </c>
      <c r="B821" s="67">
        <v>1</v>
      </c>
      <c r="C821" s="88" t="s">
        <v>849</v>
      </c>
      <c r="D821" s="67">
        <v>12</v>
      </c>
      <c r="E821" s="67">
        <v>1986</v>
      </c>
      <c r="F821" s="267">
        <v>10.64</v>
      </c>
      <c r="G821" s="267">
        <v>0.3398</v>
      </c>
      <c r="H821" s="267">
        <v>1.28</v>
      </c>
      <c r="I821" s="267">
        <v>9.02</v>
      </c>
      <c r="J821" s="268" t="s">
        <v>850</v>
      </c>
      <c r="K821" s="267">
        <v>9.02</v>
      </c>
      <c r="L821" s="121">
        <v>682.9</v>
      </c>
      <c r="M821" s="147">
        <f aca="true" t="shared" si="115" ref="M821:M850">K821/L821</f>
        <v>0.01320837604334456</v>
      </c>
      <c r="N821" s="148">
        <v>349.78</v>
      </c>
      <c r="O821" s="148">
        <f aca="true" t="shared" si="116" ref="O821:O850">M821*N821</f>
        <v>4.62002577244106</v>
      </c>
      <c r="P821" s="148">
        <f aca="true" t="shared" si="117" ref="P821:P850">M821*60*1000</f>
        <v>792.5025626006735</v>
      </c>
      <c r="Q821" s="441">
        <f aca="true" t="shared" si="118" ref="Q821:Q850">P821*N821/1000</f>
        <v>277.20154634646354</v>
      </c>
      <c r="S821" s="87"/>
      <c r="T821" s="87"/>
    </row>
    <row r="822" spans="1:20" ht="12.75">
      <c r="A822" s="903"/>
      <c r="B822" s="35">
        <v>2</v>
      </c>
      <c r="C822" s="34" t="s">
        <v>851</v>
      </c>
      <c r="D822" s="35">
        <v>20</v>
      </c>
      <c r="E822" s="35" t="s">
        <v>71</v>
      </c>
      <c r="F822" s="263">
        <v>23.554</v>
      </c>
      <c r="G822" s="263">
        <v>2.095</v>
      </c>
      <c r="H822" s="263">
        <v>3.2</v>
      </c>
      <c r="I822" s="263">
        <v>18.258</v>
      </c>
      <c r="J822" s="266" t="s">
        <v>850</v>
      </c>
      <c r="K822" s="263">
        <v>18.258</v>
      </c>
      <c r="L822" s="118">
        <v>1055.76</v>
      </c>
      <c r="M822" s="139">
        <f t="shared" si="115"/>
        <v>0.01729370311434417</v>
      </c>
      <c r="N822" s="138">
        <v>349.78</v>
      </c>
      <c r="O822" s="138">
        <f t="shared" si="116"/>
        <v>6.048991475335304</v>
      </c>
      <c r="P822" s="138">
        <f t="shared" si="117"/>
        <v>1037.6221868606501</v>
      </c>
      <c r="Q822" s="168">
        <f t="shared" si="118"/>
        <v>362.9394885201182</v>
      </c>
      <c r="S822" s="87"/>
      <c r="T822" s="87"/>
    </row>
    <row r="823" spans="1:20" ht="12.75">
      <c r="A823" s="903"/>
      <c r="B823" s="35">
        <v>3</v>
      </c>
      <c r="C823" s="34" t="s">
        <v>852</v>
      </c>
      <c r="D823" s="35">
        <v>12</v>
      </c>
      <c r="E823" s="35">
        <v>1985</v>
      </c>
      <c r="F823" s="263">
        <v>14.534</v>
      </c>
      <c r="G823" s="263">
        <v>0.453</v>
      </c>
      <c r="H823" s="263">
        <v>1.92</v>
      </c>
      <c r="I823" s="263">
        <v>12.161</v>
      </c>
      <c r="J823" s="266" t="s">
        <v>850</v>
      </c>
      <c r="K823" s="263">
        <v>12.161</v>
      </c>
      <c r="L823" s="118">
        <v>686.25</v>
      </c>
      <c r="M823" s="139">
        <f t="shared" si="115"/>
        <v>0.01772094717668488</v>
      </c>
      <c r="N823" s="138">
        <v>349.78</v>
      </c>
      <c r="O823" s="138">
        <f t="shared" si="116"/>
        <v>6.198432903460836</v>
      </c>
      <c r="P823" s="138">
        <f t="shared" si="117"/>
        <v>1063.2568306010928</v>
      </c>
      <c r="Q823" s="168">
        <f t="shared" si="118"/>
        <v>371.9059742076502</v>
      </c>
      <c r="S823" s="87"/>
      <c r="T823" s="87"/>
    </row>
    <row r="824" spans="1:20" ht="12.75">
      <c r="A824" s="903"/>
      <c r="B824" s="35">
        <v>4</v>
      </c>
      <c r="C824" s="34" t="s">
        <v>853</v>
      </c>
      <c r="D824" s="35">
        <v>44</v>
      </c>
      <c r="E824" s="35">
        <v>1994</v>
      </c>
      <c r="F824" s="263">
        <v>54.1</v>
      </c>
      <c r="G824" s="263">
        <v>4.417</v>
      </c>
      <c r="H824" s="263">
        <v>6.72</v>
      </c>
      <c r="I824" s="263">
        <v>42.962</v>
      </c>
      <c r="J824" s="266" t="s">
        <v>850</v>
      </c>
      <c r="K824" s="263">
        <v>42.962</v>
      </c>
      <c r="L824" s="118">
        <v>2415.47</v>
      </c>
      <c r="M824" s="139">
        <f t="shared" si="115"/>
        <v>0.017786186539265652</v>
      </c>
      <c r="N824" s="138">
        <v>349.78</v>
      </c>
      <c r="O824" s="138">
        <f t="shared" si="116"/>
        <v>6.221252327704339</v>
      </c>
      <c r="P824" s="138">
        <f t="shared" si="117"/>
        <v>1067.171192355939</v>
      </c>
      <c r="Q824" s="168">
        <f t="shared" si="118"/>
        <v>373.2751396622603</v>
      </c>
      <c r="S824" s="87"/>
      <c r="T824" s="87"/>
    </row>
    <row r="825" spans="1:20" ht="12.75">
      <c r="A825" s="903"/>
      <c r="B825" s="35">
        <v>5</v>
      </c>
      <c r="C825" s="34" t="s">
        <v>854</v>
      </c>
      <c r="D825" s="35">
        <v>30</v>
      </c>
      <c r="E825" s="35">
        <v>1973</v>
      </c>
      <c r="F825" s="263">
        <v>37.8</v>
      </c>
      <c r="G825" s="263">
        <v>2.492</v>
      </c>
      <c r="H825" s="263">
        <v>4.8</v>
      </c>
      <c r="I825" s="263">
        <v>30.508</v>
      </c>
      <c r="J825" s="266" t="s">
        <v>850</v>
      </c>
      <c r="K825" s="263">
        <v>30.508</v>
      </c>
      <c r="L825" s="118">
        <v>1702.83</v>
      </c>
      <c r="M825" s="139">
        <f t="shared" si="115"/>
        <v>0.017916057386820762</v>
      </c>
      <c r="N825" s="138">
        <v>349.78</v>
      </c>
      <c r="O825" s="138">
        <f t="shared" si="116"/>
        <v>6.266678552762166</v>
      </c>
      <c r="P825" s="138">
        <f t="shared" si="117"/>
        <v>1074.9634432092457</v>
      </c>
      <c r="Q825" s="168">
        <f t="shared" si="118"/>
        <v>376.00071316572996</v>
      </c>
      <c r="S825" s="87"/>
      <c r="T825" s="87"/>
    </row>
    <row r="826" spans="1:20" ht="12.75">
      <c r="A826" s="903"/>
      <c r="B826" s="35">
        <v>6</v>
      </c>
      <c r="C826" s="34" t="s">
        <v>855</v>
      </c>
      <c r="D826" s="35">
        <v>40</v>
      </c>
      <c r="E826" s="35">
        <v>1992</v>
      </c>
      <c r="F826" s="263">
        <v>51.8</v>
      </c>
      <c r="G826" s="263">
        <v>4.474</v>
      </c>
      <c r="H826" s="263">
        <v>6.4</v>
      </c>
      <c r="I826" s="263">
        <v>40.925</v>
      </c>
      <c r="J826" s="266" t="s">
        <v>850</v>
      </c>
      <c r="K826" s="263">
        <v>40.925</v>
      </c>
      <c r="L826" s="118">
        <v>2264.86</v>
      </c>
      <c r="M826" s="139">
        <f t="shared" si="115"/>
        <v>0.018069549552731733</v>
      </c>
      <c r="N826" s="138">
        <v>349.78</v>
      </c>
      <c r="O826" s="138">
        <f t="shared" si="116"/>
        <v>6.320367042554505</v>
      </c>
      <c r="P826" s="138">
        <f t="shared" si="117"/>
        <v>1084.172973163904</v>
      </c>
      <c r="Q826" s="168">
        <f t="shared" si="118"/>
        <v>379.22202255327034</v>
      </c>
      <c r="S826" s="87"/>
      <c r="T826" s="87"/>
    </row>
    <row r="827" spans="1:20" ht="12.75">
      <c r="A827" s="903"/>
      <c r="B827" s="35">
        <v>7</v>
      </c>
      <c r="C827" s="34" t="s">
        <v>856</v>
      </c>
      <c r="D827" s="35">
        <v>22</v>
      </c>
      <c r="E827" s="35">
        <v>1983</v>
      </c>
      <c r="F827" s="263">
        <v>27.63</v>
      </c>
      <c r="G827" s="263">
        <v>2.322</v>
      </c>
      <c r="H827" s="263">
        <v>3.52</v>
      </c>
      <c r="I827" s="263">
        <v>21.787</v>
      </c>
      <c r="J827" s="266" t="s">
        <v>850</v>
      </c>
      <c r="K827" s="263">
        <v>21.787</v>
      </c>
      <c r="L827" s="118">
        <v>1202.98</v>
      </c>
      <c r="M827" s="139">
        <f t="shared" si="115"/>
        <v>0.01811085803587757</v>
      </c>
      <c r="N827" s="138">
        <v>349.78</v>
      </c>
      <c r="O827" s="138">
        <f t="shared" si="116"/>
        <v>6.334815923789256</v>
      </c>
      <c r="P827" s="138">
        <f t="shared" si="117"/>
        <v>1086.6514821526541</v>
      </c>
      <c r="Q827" s="168">
        <f t="shared" si="118"/>
        <v>380.0889554273553</v>
      </c>
      <c r="S827" s="87"/>
      <c r="T827" s="87"/>
    </row>
    <row r="828" spans="1:20" ht="12.75">
      <c r="A828" s="903"/>
      <c r="B828" s="35">
        <v>8</v>
      </c>
      <c r="C828" s="34" t="s">
        <v>857</v>
      </c>
      <c r="D828" s="35">
        <v>10</v>
      </c>
      <c r="E828" s="35">
        <v>1978</v>
      </c>
      <c r="F828" s="263">
        <v>12.861</v>
      </c>
      <c r="G828" s="263">
        <v>1.047</v>
      </c>
      <c r="H828" s="263">
        <v>1.6</v>
      </c>
      <c r="I828" s="263">
        <v>10.213</v>
      </c>
      <c r="J828" s="266" t="s">
        <v>850</v>
      </c>
      <c r="K828" s="263">
        <v>10.213</v>
      </c>
      <c r="L828" s="118">
        <v>556.73</v>
      </c>
      <c r="M828" s="139">
        <f t="shared" si="115"/>
        <v>0.01834461947443105</v>
      </c>
      <c r="N828" s="138">
        <v>349.78</v>
      </c>
      <c r="O828" s="138">
        <f t="shared" si="116"/>
        <v>6.416580999766492</v>
      </c>
      <c r="P828" s="138">
        <f t="shared" si="117"/>
        <v>1100.677168465863</v>
      </c>
      <c r="Q828" s="168">
        <f t="shared" si="118"/>
        <v>384.99485998598954</v>
      </c>
      <c r="S828" s="87"/>
      <c r="T828" s="87"/>
    </row>
    <row r="829" spans="1:20" ht="12.75">
      <c r="A829" s="903"/>
      <c r="B829" s="35">
        <v>9</v>
      </c>
      <c r="C829" s="34" t="s">
        <v>858</v>
      </c>
      <c r="D829" s="35">
        <v>20</v>
      </c>
      <c r="E829" s="35">
        <v>1995</v>
      </c>
      <c r="F829" s="263">
        <v>25.8</v>
      </c>
      <c r="G829" s="263">
        <v>2.265</v>
      </c>
      <c r="H829" s="263">
        <v>3.2</v>
      </c>
      <c r="I829" s="263">
        <v>20.334</v>
      </c>
      <c r="J829" s="266" t="s">
        <v>850</v>
      </c>
      <c r="K829" s="263">
        <v>20.334</v>
      </c>
      <c r="L829" s="118">
        <v>1108.2</v>
      </c>
      <c r="M829" s="139">
        <f t="shared" si="115"/>
        <v>0.01834867352463454</v>
      </c>
      <c r="N829" s="138">
        <v>349.78</v>
      </c>
      <c r="O829" s="138">
        <f t="shared" si="116"/>
        <v>6.417999025446669</v>
      </c>
      <c r="P829" s="138">
        <f t="shared" si="117"/>
        <v>1100.9204114780723</v>
      </c>
      <c r="Q829" s="168">
        <f t="shared" si="118"/>
        <v>385.0799415268001</v>
      </c>
      <c r="S829" s="87"/>
      <c r="T829" s="87"/>
    </row>
    <row r="830" spans="1:20" ht="13.5" customHeight="1" thickBot="1">
      <c r="A830" s="905"/>
      <c r="B830" s="38">
        <v>10</v>
      </c>
      <c r="C830" s="83" t="s">
        <v>859</v>
      </c>
      <c r="D830" s="38">
        <v>20</v>
      </c>
      <c r="E830" s="38">
        <v>1976</v>
      </c>
      <c r="F830" s="265">
        <v>24</v>
      </c>
      <c r="G830" s="265">
        <v>1.767</v>
      </c>
      <c r="H830" s="265">
        <v>2.56</v>
      </c>
      <c r="I830" s="265">
        <v>19.672</v>
      </c>
      <c r="J830" s="417" t="s">
        <v>850</v>
      </c>
      <c r="K830" s="265">
        <v>19.672</v>
      </c>
      <c r="L830" s="184">
        <v>1064.72</v>
      </c>
      <c r="M830" s="218">
        <f t="shared" si="115"/>
        <v>0.01847621909985724</v>
      </c>
      <c r="N830" s="171">
        <v>349.78</v>
      </c>
      <c r="O830" s="171">
        <f t="shared" si="116"/>
        <v>6.462611916748065</v>
      </c>
      <c r="P830" s="171">
        <f t="shared" si="117"/>
        <v>1108.5731459914343</v>
      </c>
      <c r="Q830" s="172">
        <f t="shared" si="118"/>
        <v>387.75671500488386</v>
      </c>
      <c r="S830" s="87"/>
      <c r="T830" s="87"/>
    </row>
    <row r="831" spans="1:20" ht="12.75">
      <c r="A831" s="880" t="s">
        <v>30</v>
      </c>
      <c r="B831" s="280">
        <v>1</v>
      </c>
      <c r="C831" s="300" t="s">
        <v>860</v>
      </c>
      <c r="D831" s="280">
        <v>32</v>
      </c>
      <c r="E831" s="280">
        <v>1988</v>
      </c>
      <c r="F831" s="348">
        <v>38.5</v>
      </c>
      <c r="G831" s="348">
        <v>4.649</v>
      </c>
      <c r="H831" s="348">
        <v>4.35</v>
      </c>
      <c r="I831" s="348">
        <v>29.343</v>
      </c>
      <c r="J831" s="872" t="s">
        <v>861</v>
      </c>
      <c r="K831" s="348">
        <v>29.343</v>
      </c>
      <c r="L831" s="356">
        <v>1574.8</v>
      </c>
      <c r="M831" s="286">
        <f t="shared" si="115"/>
        <v>0.018632842265684534</v>
      </c>
      <c r="N831" s="285">
        <v>349.78</v>
      </c>
      <c r="O831" s="285">
        <f t="shared" si="116"/>
        <v>6.5173955676911355</v>
      </c>
      <c r="P831" s="285">
        <f t="shared" si="117"/>
        <v>1117.970535941072</v>
      </c>
      <c r="Q831" s="287">
        <f t="shared" si="118"/>
        <v>391.0437340614682</v>
      </c>
      <c r="S831" s="87"/>
      <c r="T831" s="87"/>
    </row>
    <row r="832" spans="1:20" ht="12.75">
      <c r="A832" s="881"/>
      <c r="B832" s="232">
        <v>2</v>
      </c>
      <c r="C832" s="272" t="s">
        <v>862</v>
      </c>
      <c r="D832" s="232">
        <v>45</v>
      </c>
      <c r="E832" s="232">
        <v>1984</v>
      </c>
      <c r="F832" s="288">
        <v>55</v>
      </c>
      <c r="G832" s="288">
        <v>4.474</v>
      </c>
      <c r="H832" s="288">
        <v>7.12</v>
      </c>
      <c r="I832" s="288">
        <v>43.405</v>
      </c>
      <c r="J832" s="873" t="s">
        <v>861</v>
      </c>
      <c r="K832" s="288">
        <v>43.405</v>
      </c>
      <c r="L832" s="279">
        <v>2323</v>
      </c>
      <c r="M832" s="290">
        <f t="shared" si="115"/>
        <v>0.01868489022815325</v>
      </c>
      <c r="N832" s="289">
        <v>349.78</v>
      </c>
      <c r="O832" s="289">
        <f t="shared" si="116"/>
        <v>6.535600904003443</v>
      </c>
      <c r="P832" s="289">
        <f t="shared" si="117"/>
        <v>1121.0934136891951</v>
      </c>
      <c r="Q832" s="291">
        <f t="shared" si="118"/>
        <v>392.13605424020665</v>
      </c>
      <c r="S832" s="87"/>
      <c r="T832" s="87"/>
    </row>
    <row r="833" spans="1:20" ht="12.75">
      <c r="A833" s="881"/>
      <c r="B833" s="232">
        <v>3</v>
      </c>
      <c r="C833" s="272" t="s">
        <v>863</v>
      </c>
      <c r="D833" s="232">
        <v>22</v>
      </c>
      <c r="E833" s="232">
        <v>1991</v>
      </c>
      <c r="F833" s="288">
        <v>27.2</v>
      </c>
      <c r="G833" s="288">
        <v>1.416</v>
      </c>
      <c r="H833" s="288">
        <v>3.52</v>
      </c>
      <c r="I833" s="288">
        <v>22.264</v>
      </c>
      <c r="J833" s="873" t="s">
        <v>861</v>
      </c>
      <c r="K833" s="288">
        <v>22.264</v>
      </c>
      <c r="L833" s="279">
        <v>1170.17</v>
      </c>
      <c r="M833" s="290">
        <f t="shared" si="115"/>
        <v>0.01902629532461095</v>
      </c>
      <c r="N833" s="289">
        <v>349.78</v>
      </c>
      <c r="O833" s="289">
        <f t="shared" si="116"/>
        <v>6.655017578642418</v>
      </c>
      <c r="P833" s="289">
        <f t="shared" si="117"/>
        <v>1141.577719476657</v>
      </c>
      <c r="Q833" s="291">
        <f t="shared" si="118"/>
        <v>399.30105471854506</v>
      </c>
      <c r="S833" s="87"/>
      <c r="T833" s="87"/>
    </row>
    <row r="834" spans="1:20" ht="12.75">
      <c r="A834" s="881"/>
      <c r="B834" s="232">
        <v>4</v>
      </c>
      <c r="C834" s="272" t="s">
        <v>864</v>
      </c>
      <c r="D834" s="232">
        <v>40</v>
      </c>
      <c r="E834" s="232">
        <v>1976</v>
      </c>
      <c r="F834" s="288">
        <v>54</v>
      </c>
      <c r="G834" s="288">
        <v>3.511</v>
      </c>
      <c r="H834" s="288">
        <v>6.4</v>
      </c>
      <c r="I834" s="288">
        <v>44.088</v>
      </c>
      <c r="J834" s="873" t="s">
        <v>861</v>
      </c>
      <c r="K834" s="288">
        <v>44.088</v>
      </c>
      <c r="L834" s="279">
        <v>2272.19</v>
      </c>
      <c r="M834" s="290">
        <f t="shared" si="115"/>
        <v>0.019403306941761032</v>
      </c>
      <c r="N834" s="289">
        <v>349.78</v>
      </c>
      <c r="O834" s="289">
        <f t="shared" si="116"/>
        <v>6.786888702089174</v>
      </c>
      <c r="P834" s="289">
        <f t="shared" si="117"/>
        <v>1164.198416505662</v>
      </c>
      <c r="Q834" s="291">
        <f t="shared" si="118"/>
        <v>407.21332212535043</v>
      </c>
      <c r="S834" s="87"/>
      <c r="T834" s="87"/>
    </row>
    <row r="835" spans="1:20" ht="12.75">
      <c r="A835" s="881"/>
      <c r="B835" s="232">
        <v>5</v>
      </c>
      <c r="C835" s="272" t="s">
        <v>865</v>
      </c>
      <c r="D835" s="232">
        <v>40</v>
      </c>
      <c r="E835" s="232">
        <v>1980</v>
      </c>
      <c r="F835" s="288">
        <v>57</v>
      </c>
      <c r="G835" s="288">
        <v>4.701</v>
      </c>
      <c r="H835" s="288">
        <v>6.4</v>
      </c>
      <c r="I835" s="288">
        <v>45.898</v>
      </c>
      <c r="J835" s="873" t="s">
        <v>861</v>
      </c>
      <c r="K835" s="288">
        <v>45.898</v>
      </c>
      <c r="L835" s="279">
        <v>2251.11</v>
      </c>
      <c r="M835" s="290">
        <f t="shared" si="115"/>
        <v>0.02038905251187192</v>
      </c>
      <c r="N835" s="289">
        <v>349.78</v>
      </c>
      <c r="O835" s="289">
        <f t="shared" si="116"/>
        <v>7.13168278760256</v>
      </c>
      <c r="P835" s="289">
        <f t="shared" si="117"/>
        <v>1223.3431507123153</v>
      </c>
      <c r="Q835" s="291">
        <f t="shared" si="118"/>
        <v>427.9009672561536</v>
      </c>
      <c r="S835" s="87"/>
      <c r="T835" s="87"/>
    </row>
    <row r="836" spans="1:20" ht="12.75">
      <c r="A836" s="881"/>
      <c r="B836" s="232">
        <v>6</v>
      </c>
      <c r="C836" s="272" t="s">
        <v>866</v>
      </c>
      <c r="D836" s="232">
        <v>12</v>
      </c>
      <c r="E836" s="232">
        <v>1959</v>
      </c>
      <c r="F836" s="288">
        <v>12.1</v>
      </c>
      <c r="G836" s="288">
        <v>0.623</v>
      </c>
      <c r="H836" s="288">
        <v>0.61</v>
      </c>
      <c r="I836" s="288">
        <v>10.866</v>
      </c>
      <c r="J836" s="873" t="s">
        <v>861</v>
      </c>
      <c r="K836" s="288">
        <v>10.866</v>
      </c>
      <c r="L836" s="279">
        <v>527.71</v>
      </c>
      <c r="M836" s="290">
        <f t="shared" si="115"/>
        <v>0.020590854825567072</v>
      </c>
      <c r="N836" s="289">
        <v>349.78</v>
      </c>
      <c r="O836" s="289">
        <f t="shared" si="116"/>
        <v>7.20226920088685</v>
      </c>
      <c r="P836" s="289">
        <f t="shared" si="117"/>
        <v>1235.4512895340245</v>
      </c>
      <c r="Q836" s="291">
        <f t="shared" si="118"/>
        <v>432.13615205321105</v>
      </c>
      <c r="S836" s="87"/>
      <c r="T836" s="87"/>
    </row>
    <row r="837" spans="1:20" ht="12.75">
      <c r="A837" s="881"/>
      <c r="B837" s="232">
        <v>7</v>
      </c>
      <c r="C837" s="272" t="s">
        <v>867</v>
      </c>
      <c r="D837" s="232">
        <v>22</v>
      </c>
      <c r="E837" s="232">
        <v>1979</v>
      </c>
      <c r="F837" s="288">
        <v>30.277</v>
      </c>
      <c r="G837" s="288">
        <v>2.832</v>
      </c>
      <c r="H837" s="288">
        <v>3.44</v>
      </c>
      <c r="I837" s="288">
        <v>24.005</v>
      </c>
      <c r="J837" s="873" t="s">
        <v>861</v>
      </c>
      <c r="K837" s="288">
        <v>24.005</v>
      </c>
      <c r="L837" s="279">
        <v>1164.87</v>
      </c>
      <c r="M837" s="290">
        <f t="shared" si="115"/>
        <v>0.020607449758342132</v>
      </c>
      <c r="N837" s="289">
        <v>349.78</v>
      </c>
      <c r="O837" s="289">
        <f t="shared" si="116"/>
        <v>7.208073776472911</v>
      </c>
      <c r="P837" s="289">
        <f t="shared" si="117"/>
        <v>1236.446985500528</v>
      </c>
      <c r="Q837" s="291">
        <f t="shared" si="118"/>
        <v>432.4844265883747</v>
      </c>
      <c r="S837" s="87"/>
      <c r="T837" s="87"/>
    </row>
    <row r="838" spans="1:20" ht="12.75">
      <c r="A838" s="881"/>
      <c r="B838" s="232">
        <v>8</v>
      </c>
      <c r="C838" s="272" t="s">
        <v>868</v>
      </c>
      <c r="D838" s="232">
        <v>12</v>
      </c>
      <c r="E838" s="232">
        <v>1985</v>
      </c>
      <c r="F838" s="288">
        <v>17.679</v>
      </c>
      <c r="G838" s="288">
        <v>1.189</v>
      </c>
      <c r="H838" s="288">
        <v>1.92</v>
      </c>
      <c r="I838" s="288">
        <v>14.569</v>
      </c>
      <c r="J838" s="873" t="s">
        <v>861</v>
      </c>
      <c r="K838" s="288">
        <v>14.569</v>
      </c>
      <c r="L838" s="279">
        <v>684.9</v>
      </c>
      <c r="M838" s="290">
        <f t="shared" si="115"/>
        <v>0.02127171849905096</v>
      </c>
      <c r="N838" s="289">
        <v>349.78</v>
      </c>
      <c r="O838" s="289">
        <f t="shared" si="116"/>
        <v>7.440421696598044</v>
      </c>
      <c r="P838" s="289">
        <f t="shared" si="117"/>
        <v>1276.3031099430575</v>
      </c>
      <c r="Q838" s="291">
        <f t="shared" si="118"/>
        <v>446.42530179588266</v>
      </c>
      <c r="S838" s="87"/>
      <c r="T838" s="87"/>
    </row>
    <row r="839" spans="1:20" ht="12.75">
      <c r="A839" s="881"/>
      <c r="B839" s="232">
        <v>9</v>
      </c>
      <c r="C839" s="272" t="s">
        <v>869</v>
      </c>
      <c r="D839" s="232">
        <v>40</v>
      </c>
      <c r="E839" s="232">
        <v>1994</v>
      </c>
      <c r="F839" s="288">
        <v>56.7</v>
      </c>
      <c r="G839" s="288">
        <v>2.37</v>
      </c>
      <c r="H839" s="288">
        <v>6.4</v>
      </c>
      <c r="I839" s="288">
        <v>47.929</v>
      </c>
      <c r="J839" s="873" t="s">
        <v>861</v>
      </c>
      <c r="K839" s="288">
        <v>47.929</v>
      </c>
      <c r="L839" s="279">
        <v>2209.95</v>
      </c>
      <c r="M839" s="290">
        <f t="shared" si="115"/>
        <v>0.021687820991425147</v>
      </c>
      <c r="N839" s="289">
        <v>349.78</v>
      </c>
      <c r="O839" s="289">
        <f t="shared" si="116"/>
        <v>7.585966026380687</v>
      </c>
      <c r="P839" s="289">
        <f t="shared" si="117"/>
        <v>1301.2692594855089</v>
      </c>
      <c r="Q839" s="291">
        <f t="shared" si="118"/>
        <v>455.1579615828412</v>
      </c>
      <c r="S839" s="87"/>
      <c r="T839" s="87"/>
    </row>
    <row r="840" spans="1:20" ht="13.5" thickBot="1">
      <c r="A840" s="883"/>
      <c r="B840" s="246">
        <v>10</v>
      </c>
      <c r="C840" s="276" t="s">
        <v>870</v>
      </c>
      <c r="D840" s="246">
        <v>12</v>
      </c>
      <c r="E840" s="246" t="s">
        <v>71</v>
      </c>
      <c r="F840" s="292">
        <v>19.59</v>
      </c>
      <c r="G840" s="292">
        <v>1.925</v>
      </c>
      <c r="H840" s="292">
        <v>1.92</v>
      </c>
      <c r="I840" s="292">
        <v>15.744</v>
      </c>
      <c r="J840" s="874" t="s">
        <v>861</v>
      </c>
      <c r="K840" s="292">
        <v>15.744</v>
      </c>
      <c r="L840" s="281">
        <v>711.3</v>
      </c>
      <c r="M840" s="294">
        <f t="shared" si="115"/>
        <v>0.022134120624209195</v>
      </c>
      <c r="N840" s="293">
        <v>349.78</v>
      </c>
      <c r="O840" s="293">
        <f t="shared" si="116"/>
        <v>7.742072711935892</v>
      </c>
      <c r="P840" s="293">
        <f t="shared" si="117"/>
        <v>1328.0472374525516</v>
      </c>
      <c r="Q840" s="295">
        <f t="shared" si="118"/>
        <v>464.52436271615346</v>
      </c>
      <c r="S840" s="87"/>
      <c r="T840" s="87"/>
    </row>
    <row r="841" spans="1:20" ht="12.75">
      <c r="A841" s="884" t="s">
        <v>12</v>
      </c>
      <c r="B841" s="80">
        <v>1</v>
      </c>
      <c r="C841" s="194" t="s">
        <v>871</v>
      </c>
      <c r="D841" s="80">
        <v>7</v>
      </c>
      <c r="E841" s="80" t="s">
        <v>71</v>
      </c>
      <c r="F841" s="217">
        <v>8.27</v>
      </c>
      <c r="G841" s="217">
        <v>0.169</v>
      </c>
      <c r="H841" s="217">
        <v>0.07</v>
      </c>
      <c r="I841" s="217">
        <v>8.03</v>
      </c>
      <c r="J841" s="633" t="s">
        <v>872</v>
      </c>
      <c r="K841" s="217">
        <v>8.03</v>
      </c>
      <c r="L841" s="357">
        <v>282.1</v>
      </c>
      <c r="M841" s="226">
        <f t="shared" si="115"/>
        <v>0.028465083303792976</v>
      </c>
      <c r="N841" s="177">
        <v>349.78</v>
      </c>
      <c r="O841" s="177">
        <f t="shared" si="116"/>
        <v>9.956516838000706</v>
      </c>
      <c r="P841" s="177">
        <f t="shared" si="117"/>
        <v>1707.9049982275785</v>
      </c>
      <c r="Q841" s="305">
        <f t="shared" si="118"/>
        <v>597.3910102800425</v>
      </c>
      <c r="S841" s="87"/>
      <c r="T841" s="87"/>
    </row>
    <row r="842" spans="1:20" ht="12.75">
      <c r="A842" s="886"/>
      <c r="B842" s="41">
        <v>2</v>
      </c>
      <c r="C842" s="49" t="s">
        <v>873</v>
      </c>
      <c r="D842" s="41">
        <v>9</v>
      </c>
      <c r="E842" s="41">
        <v>1979</v>
      </c>
      <c r="F842" s="185">
        <v>17.4</v>
      </c>
      <c r="G842" s="185">
        <v>1.321</v>
      </c>
      <c r="H842" s="185">
        <v>1.44</v>
      </c>
      <c r="I842" s="185">
        <v>14.639</v>
      </c>
      <c r="J842" s="401" t="s">
        <v>872</v>
      </c>
      <c r="K842" s="185">
        <v>14.639</v>
      </c>
      <c r="L842" s="317">
        <v>513.1</v>
      </c>
      <c r="M842" s="227">
        <f t="shared" si="115"/>
        <v>0.02853050087702202</v>
      </c>
      <c r="N842" s="310">
        <v>349.78</v>
      </c>
      <c r="O842" s="310">
        <f t="shared" si="116"/>
        <v>9.979398596764762</v>
      </c>
      <c r="P842" s="310">
        <f t="shared" si="117"/>
        <v>1711.8300526213213</v>
      </c>
      <c r="Q842" s="311">
        <f t="shared" si="118"/>
        <v>598.7639158058856</v>
      </c>
      <c r="S842" s="87"/>
      <c r="T842" s="87"/>
    </row>
    <row r="843" spans="1:20" ht="12.75">
      <c r="A843" s="886"/>
      <c r="B843" s="41">
        <v>3</v>
      </c>
      <c r="C843" s="49" t="s">
        <v>874</v>
      </c>
      <c r="D843" s="41">
        <v>24</v>
      </c>
      <c r="E843" s="41">
        <v>1963</v>
      </c>
      <c r="F843" s="185">
        <v>32.2</v>
      </c>
      <c r="G843" s="185">
        <v>1.133</v>
      </c>
      <c r="H843" s="185">
        <v>0.24</v>
      </c>
      <c r="I843" s="185">
        <v>30.827</v>
      </c>
      <c r="J843" s="401" t="s">
        <v>872</v>
      </c>
      <c r="K843" s="185">
        <v>30.827</v>
      </c>
      <c r="L843" s="317">
        <v>1066.6</v>
      </c>
      <c r="M843" s="227">
        <f t="shared" si="115"/>
        <v>0.028902118882430158</v>
      </c>
      <c r="N843" s="310">
        <v>349.78</v>
      </c>
      <c r="O843" s="310">
        <f t="shared" si="116"/>
        <v>10.10938314269642</v>
      </c>
      <c r="P843" s="310">
        <f t="shared" si="117"/>
        <v>1734.1271329458095</v>
      </c>
      <c r="Q843" s="311">
        <f t="shared" si="118"/>
        <v>606.5629885617852</v>
      </c>
      <c r="S843" s="87"/>
      <c r="T843" s="87"/>
    </row>
    <row r="844" spans="1:20" ht="12.75">
      <c r="A844" s="886"/>
      <c r="B844" s="41">
        <v>4</v>
      </c>
      <c r="C844" s="49" t="s">
        <v>875</v>
      </c>
      <c r="D844" s="41">
        <v>8</v>
      </c>
      <c r="E844" s="41" t="s">
        <v>71</v>
      </c>
      <c r="F844" s="185">
        <v>11.326</v>
      </c>
      <c r="G844" s="185">
        <v>0.698</v>
      </c>
      <c r="H844" s="185">
        <v>0.08</v>
      </c>
      <c r="I844" s="185">
        <v>10.547</v>
      </c>
      <c r="J844" s="401" t="s">
        <v>872</v>
      </c>
      <c r="K844" s="185">
        <v>10.547</v>
      </c>
      <c r="L844" s="317">
        <v>354.58</v>
      </c>
      <c r="M844" s="227">
        <f t="shared" si="115"/>
        <v>0.029745050482260706</v>
      </c>
      <c r="N844" s="310">
        <v>349.78</v>
      </c>
      <c r="O844" s="310">
        <f t="shared" si="116"/>
        <v>10.404223757685148</v>
      </c>
      <c r="P844" s="310">
        <f t="shared" si="117"/>
        <v>1784.7030289356424</v>
      </c>
      <c r="Q844" s="311">
        <f t="shared" si="118"/>
        <v>624.2534254611089</v>
      </c>
      <c r="S844" s="87"/>
      <c r="T844" s="87"/>
    </row>
    <row r="845" spans="1:20" ht="12.75">
      <c r="A845" s="886"/>
      <c r="B845" s="41">
        <v>5</v>
      </c>
      <c r="C845" s="49" t="s">
        <v>876</v>
      </c>
      <c r="D845" s="41">
        <v>12</v>
      </c>
      <c r="E845" s="41">
        <v>1961</v>
      </c>
      <c r="F845" s="185">
        <v>20.031</v>
      </c>
      <c r="G845" s="185">
        <v>1.416</v>
      </c>
      <c r="H845" s="185">
        <v>1.77</v>
      </c>
      <c r="I845" s="185">
        <v>16.845</v>
      </c>
      <c r="J845" s="401" t="s">
        <v>872</v>
      </c>
      <c r="K845" s="185">
        <v>16.845</v>
      </c>
      <c r="L845" s="317">
        <v>554.42</v>
      </c>
      <c r="M845" s="227">
        <f t="shared" si="115"/>
        <v>0.030383103062660077</v>
      </c>
      <c r="N845" s="310">
        <v>349.78</v>
      </c>
      <c r="O845" s="310">
        <f t="shared" si="116"/>
        <v>10.627401789257242</v>
      </c>
      <c r="P845" s="310">
        <f t="shared" si="117"/>
        <v>1822.9861837596047</v>
      </c>
      <c r="Q845" s="311">
        <f t="shared" si="118"/>
        <v>637.6441073554345</v>
      </c>
      <c r="S845" s="87"/>
      <c r="T845" s="87"/>
    </row>
    <row r="846" spans="1:20" ht="12.75">
      <c r="A846" s="886"/>
      <c r="B846" s="41">
        <v>6</v>
      </c>
      <c r="C846" s="49" t="s">
        <v>877</v>
      </c>
      <c r="D846" s="41">
        <v>10</v>
      </c>
      <c r="E846" s="41">
        <v>1958</v>
      </c>
      <c r="F846" s="185">
        <v>12.56</v>
      </c>
      <c r="G846" s="185">
        <v>0.793</v>
      </c>
      <c r="H846" s="185">
        <v>0.1</v>
      </c>
      <c r="I846" s="185">
        <v>11.667</v>
      </c>
      <c r="J846" s="401" t="s">
        <v>872</v>
      </c>
      <c r="K846" s="185">
        <v>11.667</v>
      </c>
      <c r="L846" s="317">
        <v>381.36</v>
      </c>
      <c r="M846" s="227">
        <f t="shared" si="115"/>
        <v>0.030593140339836372</v>
      </c>
      <c r="N846" s="310">
        <v>349.78</v>
      </c>
      <c r="O846" s="310">
        <f t="shared" si="116"/>
        <v>10.700868628067965</v>
      </c>
      <c r="P846" s="310">
        <f t="shared" si="117"/>
        <v>1835.5884203901821</v>
      </c>
      <c r="Q846" s="311">
        <f t="shared" si="118"/>
        <v>642.0521176840779</v>
      </c>
      <c r="S846" s="87"/>
      <c r="T846" s="87"/>
    </row>
    <row r="847" spans="1:20" ht="12.75">
      <c r="A847" s="886"/>
      <c r="B847" s="41">
        <v>7</v>
      </c>
      <c r="C847" s="49" t="s">
        <v>878</v>
      </c>
      <c r="D847" s="41">
        <v>12</v>
      </c>
      <c r="E847" s="41">
        <v>1965</v>
      </c>
      <c r="F847" s="185">
        <v>15.8</v>
      </c>
      <c r="G847" s="185">
        <v>1.529</v>
      </c>
      <c r="H847" s="185">
        <v>0.11</v>
      </c>
      <c r="I847" s="185">
        <v>14.161</v>
      </c>
      <c r="J847" s="401" t="s">
        <v>872</v>
      </c>
      <c r="K847" s="185">
        <v>14.161</v>
      </c>
      <c r="L847" s="317">
        <v>461.73</v>
      </c>
      <c r="M847" s="227">
        <f t="shared" si="115"/>
        <v>0.030669438849544105</v>
      </c>
      <c r="N847" s="310">
        <v>349.78</v>
      </c>
      <c r="O847" s="310">
        <f t="shared" si="116"/>
        <v>10.727556320793536</v>
      </c>
      <c r="P847" s="310">
        <f t="shared" si="117"/>
        <v>1840.1663309726464</v>
      </c>
      <c r="Q847" s="311">
        <f t="shared" si="118"/>
        <v>643.6533792476122</v>
      </c>
      <c r="S847" s="87"/>
      <c r="T847" s="87"/>
    </row>
    <row r="848" spans="1:20" ht="12.75">
      <c r="A848" s="886"/>
      <c r="B848" s="41">
        <v>8</v>
      </c>
      <c r="C848" s="49" t="s">
        <v>879</v>
      </c>
      <c r="D848" s="41">
        <v>14</v>
      </c>
      <c r="E848" s="41" t="s">
        <v>71</v>
      </c>
      <c r="F848" s="185">
        <v>21.594</v>
      </c>
      <c r="G848" s="185">
        <v>1.334</v>
      </c>
      <c r="H848" s="185">
        <v>0.14</v>
      </c>
      <c r="I848" s="185">
        <v>20.119</v>
      </c>
      <c r="J848" s="401" t="s">
        <v>872</v>
      </c>
      <c r="K848" s="185">
        <v>20.119</v>
      </c>
      <c r="L848" s="317">
        <v>613.9</v>
      </c>
      <c r="M848" s="227">
        <f t="shared" si="115"/>
        <v>0.03277243850790031</v>
      </c>
      <c r="N848" s="310">
        <v>349.78</v>
      </c>
      <c r="O848" s="310">
        <f t="shared" si="116"/>
        <v>11.46314354129337</v>
      </c>
      <c r="P848" s="310">
        <f t="shared" si="117"/>
        <v>1966.3463104740188</v>
      </c>
      <c r="Q848" s="311">
        <f t="shared" si="118"/>
        <v>687.7886124776022</v>
      </c>
      <c r="S848" s="87"/>
      <c r="T848" s="87"/>
    </row>
    <row r="849" spans="1:20" ht="12.75">
      <c r="A849" s="886"/>
      <c r="B849" s="41">
        <v>9</v>
      </c>
      <c r="C849" s="82" t="s">
        <v>880</v>
      </c>
      <c r="D849" s="41">
        <v>8</v>
      </c>
      <c r="E849" s="41">
        <v>1955</v>
      </c>
      <c r="F849" s="185">
        <v>15.9</v>
      </c>
      <c r="G849" s="185">
        <v>1.397</v>
      </c>
      <c r="H849" s="185">
        <v>1.2</v>
      </c>
      <c r="I849" s="185">
        <v>13.303</v>
      </c>
      <c r="J849" s="401" t="s">
        <v>872</v>
      </c>
      <c r="K849" s="185">
        <v>13.303</v>
      </c>
      <c r="L849" s="317">
        <v>390.37</v>
      </c>
      <c r="M849" s="227">
        <f t="shared" si="115"/>
        <v>0.03407792607013859</v>
      </c>
      <c r="N849" s="41">
        <v>349.78</v>
      </c>
      <c r="O849" s="310">
        <f t="shared" si="116"/>
        <v>11.919776980813076</v>
      </c>
      <c r="P849" s="310">
        <f t="shared" si="117"/>
        <v>2044.6755642083153</v>
      </c>
      <c r="Q849" s="311">
        <f t="shared" si="118"/>
        <v>715.1866188487845</v>
      </c>
      <c r="S849" s="87"/>
      <c r="T849" s="87"/>
    </row>
    <row r="850" spans="1:20" ht="13.5" thickBot="1">
      <c r="A850" s="887"/>
      <c r="B850" s="46">
        <v>10</v>
      </c>
      <c r="C850" s="79" t="s">
        <v>881</v>
      </c>
      <c r="D850" s="46">
        <v>12</v>
      </c>
      <c r="E850" s="46">
        <v>1960</v>
      </c>
      <c r="F850" s="228">
        <v>21.5</v>
      </c>
      <c r="G850" s="228">
        <v>0.453</v>
      </c>
      <c r="H850" s="228">
        <v>0.09</v>
      </c>
      <c r="I850" s="228">
        <v>20.957</v>
      </c>
      <c r="J850" s="626" t="s">
        <v>872</v>
      </c>
      <c r="K850" s="228">
        <v>20.957</v>
      </c>
      <c r="L850" s="358">
        <v>550.28</v>
      </c>
      <c r="M850" s="230">
        <f t="shared" si="115"/>
        <v>0.038084248019190234</v>
      </c>
      <c r="N850" s="46">
        <v>349.78</v>
      </c>
      <c r="O850" s="229">
        <f t="shared" si="116"/>
        <v>13.321108272152358</v>
      </c>
      <c r="P850" s="229">
        <f t="shared" si="117"/>
        <v>2285.054881151414</v>
      </c>
      <c r="Q850" s="308">
        <f t="shared" si="118"/>
        <v>799.2664963291415</v>
      </c>
      <c r="S850" s="87"/>
      <c r="T850" s="87"/>
    </row>
    <row r="851" spans="19:20" ht="12.75">
      <c r="S851" s="87"/>
      <c r="T851" s="87"/>
    </row>
    <row r="852" spans="19:20" ht="12.75">
      <c r="S852" s="87"/>
      <c r="T852" s="87"/>
    </row>
    <row r="853" spans="1:20" ht="15">
      <c r="A853" s="906" t="s">
        <v>57</v>
      </c>
      <c r="B853" s="906"/>
      <c r="C853" s="906"/>
      <c r="D853" s="906"/>
      <c r="E853" s="906"/>
      <c r="F853" s="906"/>
      <c r="G853" s="906"/>
      <c r="H853" s="906"/>
      <c r="I853" s="906"/>
      <c r="J853" s="906"/>
      <c r="K853" s="906"/>
      <c r="L853" s="906"/>
      <c r="M853" s="906"/>
      <c r="N853" s="906"/>
      <c r="O853" s="906"/>
      <c r="P853" s="906"/>
      <c r="Q853" s="906"/>
      <c r="S853" s="87"/>
      <c r="T853" s="87"/>
    </row>
    <row r="854" spans="1:20" ht="13.5" thickBot="1">
      <c r="A854" s="907" t="s">
        <v>722</v>
      </c>
      <c r="B854" s="907"/>
      <c r="C854" s="907"/>
      <c r="D854" s="907"/>
      <c r="E854" s="907"/>
      <c r="F854" s="907"/>
      <c r="G854" s="907"/>
      <c r="H854" s="907"/>
      <c r="I854" s="907"/>
      <c r="J854" s="907"/>
      <c r="K854" s="907"/>
      <c r="L854" s="907"/>
      <c r="M854" s="907"/>
      <c r="N854" s="907"/>
      <c r="O854" s="907"/>
      <c r="P854" s="907"/>
      <c r="Q854" s="907"/>
      <c r="S854" s="87"/>
      <c r="T854" s="87"/>
    </row>
    <row r="855" spans="1:20" ht="12.75" customHeight="1">
      <c r="A855" s="890" t="s">
        <v>1</v>
      </c>
      <c r="B855" s="892" t="s">
        <v>0</v>
      </c>
      <c r="C855" s="888" t="s">
        <v>2</v>
      </c>
      <c r="D855" s="888" t="s">
        <v>3</v>
      </c>
      <c r="E855" s="888" t="s">
        <v>13</v>
      </c>
      <c r="F855" s="896" t="s">
        <v>14</v>
      </c>
      <c r="G855" s="897"/>
      <c r="H855" s="897"/>
      <c r="I855" s="898"/>
      <c r="J855" s="888" t="s">
        <v>4</v>
      </c>
      <c r="K855" s="888" t="s">
        <v>15</v>
      </c>
      <c r="L855" s="888" t="s">
        <v>5</v>
      </c>
      <c r="M855" s="888" t="s">
        <v>6</v>
      </c>
      <c r="N855" s="888" t="s">
        <v>16</v>
      </c>
      <c r="O855" s="888" t="s">
        <v>17</v>
      </c>
      <c r="P855" s="876" t="s">
        <v>25</v>
      </c>
      <c r="Q855" s="878" t="s">
        <v>26</v>
      </c>
      <c r="S855" s="87"/>
      <c r="T855" s="87"/>
    </row>
    <row r="856" spans="1:20" s="2" customFormat="1" ht="33.75">
      <c r="A856" s="891"/>
      <c r="B856" s="893"/>
      <c r="C856" s="894"/>
      <c r="D856" s="889"/>
      <c r="E856" s="889"/>
      <c r="F856" s="36" t="s">
        <v>18</v>
      </c>
      <c r="G856" s="36" t="s">
        <v>19</v>
      </c>
      <c r="H856" s="36" t="s">
        <v>20</v>
      </c>
      <c r="I856" s="36" t="s">
        <v>21</v>
      </c>
      <c r="J856" s="889"/>
      <c r="K856" s="889"/>
      <c r="L856" s="889"/>
      <c r="M856" s="889"/>
      <c r="N856" s="889"/>
      <c r="O856" s="889"/>
      <c r="P856" s="877"/>
      <c r="Q856" s="879"/>
      <c r="S856" s="87"/>
      <c r="T856" s="87"/>
    </row>
    <row r="857" spans="1:20" s="3" customFormat="1" ht="13.5" customHeight="1" thickBot="1">
      <c r="A857" s="891"/>
      <c r="B857" s="893"/>
      <c r="C857" s="895"/>
      <c r="D857" s="59" t="s">
        <v>7</v>
      </c>
      <c r="E857" s="59" t="s">
        <v>8</v>
      </c>
      <c r="F857" s="59" t="s">
        <v>9</v>
      </c>
      <c r="G857" s="59" t="s">
        <v>9</v>
      </c>
      <c r="H857" s="59" t="s">
        <v>9</v>
      </c>
      <c r="I857" s="59" t="s">
        <v>9</v>
      </c>
      <c r="J857" s="59" t="s">
        <v>22</v>
      </c>
      <c r="K857" s="59" t="s">
        <v>9</v>
      </c>
      <c r="L857" s="59" t="s">
        <v>22</v>
      </c>
      <c r="M857" s="59" t="s">
        <v>23</v>
      </c>
      <c r="N857" s="59" t="s">
        <v>10</v>
      </c>
      <c r="O857" s="59" t="s">
        <v>24</v>
      </c>
      <c r="P857" s="66" t="s">
        <v>27</v>
      </c>
      <c r="Q857" s="61" t="s">
        <v>28</v>
      </c>
      <c r="S857" s="87"/>
      <c r="T857" s="87"/>
    </row>
    <row r="858" spans="1:20" s="96" customFormat="1" ht="12.75" customHeight="1">
      <c r="A858" s="899" t="s">
        <v>11</v>
      </c>
      <c r="B858" s="98">
        <v>1</v>
      </c>
      <c r="C858" s="63" t="s">
        <v>723</v>
      </c>
      <c r="D858" s="62">
        <v>51</v>
      </c>
      <c r="E858" s="62" t="s">
        <v>270</v>
      </c>
      <c r="F858" s="249">
        <v>34</v>
      </c>
      <c r="G858" s="249">
        <v>3.426</v>
      </c>
      <c r="H858" s="249">
        <v>7.84</v>
      </c>
      <c r="I858" s="249">
        <v>22.734</v>
      </c>
      <c r="J858" s="93">
        <v>2586.98</v>
      </c>
      <c r="K858" s="249">
        <v>34</v>
      </c>
      <c r="L858" s="93">
        <v>2587</v>
      </c>
      <c r="M858" s="251">
        <f>K858/L858</f>
        <v>0.013142636258214147</v>
      </c>
      <c r="N858" s="250">
        <v>221.5</v>
      </c>
      <c r="O858" s="252">
        <f>M858*N858</f>
        <v>2.9110939311944337</v>
      </c>
      <c r="P858" s="252">
        <f>M858*60*1000</f>
        <v>788.5581754928488</v>
      </c>
      <c r="Q858" s="253">
        <f>P858*N858/1000</f>
        <v>174.665635871666</v>
      </c>
      <c r="S858" s="87"/>
      <c r="T858" s="87"/>
    </row>
    <row r="859" spans="1:20" s="96" customFormat="1" ht="13.5" customHeight="1">
      <c r="A859" s="900"/>
      <c r="B859" s="95">
        <v>2</v>
      </c>
      <c r="C859" s="16" t="s">
        <v>724</v>
      </c>
      <c r="D859" s="31">
        <v>40</v>
      </c>
      <c r="E859" s="31"/>
      <c r="F859" s="146">
        <v>30.84</v>
      </c>
      <c r="G859" s="146">
        <v>3.78</v>
      </c>
      <c r="H859" s="146">
        <v>6.4</v>
      </c>
      <c r="I859" s="146">
        <v>20.66</v>
      </c>
      <c r="J859" s="176">
        <v>2254.53</v>
      </c>
      <c r="K859" s="146">
        <v>30.8</v>
      </c>
      <c r="L859" s="176">
        <v>2254.5</v>
      </c>
      <c r="M859" s="133">
        <f>K859/L859</f>
        <v>0.013661565757374141</v>
      </c>
      <c r="N859" s="132">
        <v>221.5</v>
      </c>
      <c r="O859" s="132">
        <f>M859*N859</f>
        <v>3.0260368152583723</v>
      </c>
      <c r="P859" s="252">
        <f>M859*60*1000</f>
        <v>819.6939454424485</v>
      </c>
      <c r="Q859" s="134">
        <f>P859*N859/1000</f>
        <v>181.56220891550234</v>
      </c>
      <c r="S859" s="87"/>
      <c r="T859" s="87"/>
    </row>
    <row r="860" spans="1:20" s="96" customFormat="1" ht="12.75" customHeight="1">
      <c r="A860" s="900"/>
      <c r="B860" s="95">
        <v>3</v>
      </c>
      <c r="C860" s="16"/>
      <c r="D860" s="31"/>
      <c r="E860" s="31"/>
      <c r="F860" s="254"/>
      <c r="G860" s="254"/>
      <c r="H860" s="254"/>
      <c r="I860" s="254"/>
      <c r="J860" s="176"/>
      <c r="K860" s="254"/>
      <c r="L860" s="176"/>
      <c r="M860" s="133"/>
      <c r="N860" s="132"/>
      <c r="O860" s="132"/>
      <c r="P860" s="252"/>
      <c r="Q860" s="134"/>
      <c r="S860" s="87"/>
      <c r="T860" s="87"/>
    </row>
    <row r="861" spans="1:20" ht="12.75" customHeight="1">
      <c r="A861" s="900"/>
      <c r="B861" s="31">
        <v>4</v>
      </c>
      <c r="C861" s="16"/>
      <c r="D861" s="31"/>
      <c r="E861" s="31"/>
      <c r="F861" s="254"/>
      <c r="G861" s="254"/>
      <c r="H861" s="254"/>
      <c r="I861" s="254"/>
      <c r="J861" s="176"/>
      <c r="K861" s="254"/>
      <c r="L861" s="176"/>
      <c r="M861" s="133"/>
      <c r="N861" s="132"/>
      <c r="O861" s="132"/>
      <c r="P861" s="252"/>
      <c r="Q861" s="134"/>
      <c r="S861" s="87"/>
      <c r="T861" s="87"/>
    </row>
    <row r="862" spans="1:20" ht="12.75" customHeight="1">
      <c r="A862" s="900"/>
      <c r="B862" s="31">
        <v>5</v>
      </c>
      <c r="C862" s="16"/>
      <c r="D862" s="31"/>
      <c r="E862" s="31"/>
      <c r="F862" s="254"/>
      <c r="G862" s="254"/>
      <c r="H862" s="254"/>
      <c r="I862" s="254"/>
      <c r="J862" s="176"/>
      <c r="K862" s="254"/>
      <c r="L862" s="176"/>
      <c r="M862" s="133"/>
      <c r="N862" s="132"/>
      <c r="O862" s="132"/>
      <c r="P862" s="252"/>
      <c r="Q862" s="134"/>
      <c r="S862" s="87"/>
      <c r="T862" s="87"/>
    </row>
    <row r="863" spans="1:20" ht="12.75" customHeight="1">
      <c r="A863" s="900"/>
      <c r="B863" s="31">
        <v>6</v>
      </c>
      <c r="C863" s="16"/>
      <c r="D863" s="31"/>
      <c r="E863" s="31"/>
      <c r="F863" s="254"/>
      <c r="G863" s="254"/>
      <c r="H863" s="254"/>
      <c r="I863" s="254"/>
      <c r="J863" s="176"/>
      <c r="K863" s="254"/>
      <c r="L863" s="176"/>
      <c r="M863" s="133"/>
      <c r="N863" s="250"/>
      <c r="O863" s="132"/>
      <c r="P863" s="252"/>
      <c r="Q863" s="134"/>
      <c r="S863" s="87"/>
      <c r="T863" s="87"/>
    </row>
    <row r="864" spans="1:20" ht="12.75" customHeight="1">
      <c r="A864" s="900"/>
      <c r="B864" s="31">
        <v>7</v>
      </c>
      <c r="C864" s="16"/>
      <c r="D864" s="31"/>
      <c r="E864" s="31"/>
      <c r="F864" s="254"/>
      <c r="G864" s="254"/>
      <c r="H864" s="254"/>
      <c r="I864" s="254"/>
      <c r="J864" s="176"/>
      <c r="K864" s="254"/>
      <c r="L864" s="176"/>
      <c r="M864" s="133"/>
      <c r="N864" s="132"/>
      <c r="O864" s="132"/>
      <c r="P864" s="252"/>
      <c r="Q864" s="134"/>
      <c r="S864" s="87"/>
      <c r="T864" s="87"/>
    </row>
    <row r="865" spans="1:20" ht="13.5" customHeight="1">
      <c r="A865" s="900"/>
      <c r="B865" s="31">
        <v>8</v>
      </c>
      <c r="C865" s="16"/>
      <c r="D865" s="31"/>
      <c r="E865" s="31"/>
      <c r="F865" s="254"/>
      <c r="G865" s="254"/>
      <c r="H865" s="254"/>
      <c r="I865" s="254"/>
      <c r="J865" s="176"/>
      <c r="K865" s="254"/>
      <c r="L865" s="176"/>
      <c r="M865" s="133"/>
      <c r="N865" s="132"/>
      <c r="O865" s="132"/>
      <c r="P865" s="252"/>
      <c r="Q865" s="134"/>
      <c r="S865" s="87"/>
      <c r="T865" s="87"/>
    </row>
    <row r="866" spans="1:20" ht="12.75" customHeight="1">
      <c r="A866" s="900"/>
      <c r="B866" s="31">
        <v>9</v>
      </c>
      <c r="C866" s="16"/>
      <c r="D866" s="31"/>
      <c r="E866" s="31"/>
      <c r="F866" s="254"/>
      <c r="G866" s="254"/>
      <c r="H866" s="254"/>
      <c r="I866" s="254"/>
      <c r="J866" s="176"/>
      <c r="K866" s="254"/>
      <c r="L866" s="176"/>
      <c r="M866" s="133"/>
      <c r="N866" s="132"/>
      <c r="O866" s="132"/>
      <c r="P866" s="252"/>
      <c r="Q866" s="134"/>
      <c r="S866" s="87"/>
      <c r="T866" s="87"/>
    </row>
    <row r="867" spans="1:20" ht="13.5" customHeight="1" thickBot="1">
      <c r="A867" s="901"/>
      <c r="B867" s="64">
        <v>10</v>
      </c>
      <c r="C867" s="65"/>
      <c r="D867" s="64"/>
      <c r="E867" s="64"/>
      <c r="F867" s="216"/>
      <c r="G867" s="216"/>
      <c r="H867" s="216"/>
      <c r="I867" s="216"/>
      <c r="J867" s="334"/>
      <c r="K867" s="216"/>
      <c r="L867" s="334"/>
      <c r="M867" s="136"/>
      <c r="N867" s="135"/>
      <c r="O867" s="461"/>
      <c r="P867" s="135"/>
      <c r="Q867" s="137"/>
      <c r="S867" s="87"/>
      <c r="T867" s="87"/>
    </row>
    <row r="868" spans="1:20" ht="12.75">
      <c r="A868" s="902" t="s">
        <v>29</v>
      </c>
      <c r="B868" s="67">
        <v>1</v>
      </c>
      <c r="C868" s="34" t="s">
        <v>269</v>
      </c>
      <c r="D868" s="35">
        <v>48</v>
      </c>
      <c r="E868" s="35" t="s">
        <v>270</v>
      </c>
      <c r="F868" s="262">
        <v>49.2</v>
      </c>
      <c r="G868" s="262">
        <v>3.864</v>
      </c>
      <c r="H868" s="262">
        <v>7.36</v>
      </c>
      <c r="I868" s="263">
        <v>37.976</v>
      </c>
      <c r="J868" s="432">
        <v>2591.49</v>
      </c>
      <c r="K868" s="262">
        <v>49.2</v>
      </c>
      <c r="L868" s="432">
        <v>2591.5</v>
      </c>
      <c r="M868" s="147">
        <f>K868/L868</f>
        <v>0.01898514373914721</v>
      </c>
      <c r="N868" s="148">
        <v>221.5</v>
      </c>
      <c r="O868" s="148">
        <f>M868*N868</f>
        <v>4.205209338221107</v>
      </c>
      <c r="P868" s="148">
        <f>M868*60*1000</f>
        <v>1139.1086243488326</v>
      </c>
      <c r="Q868" s="170">
        <f>P868*N868/1000</f>
        <v>252.31256029326642</v>
      </c>
      <c r="S868" s="87"/>
      <c r="T868" s="87"/>
    </row>
    <row r="869" spans="1:20" s="96" customFormat="1" ht="12.75">
      <c r="A869" s="903"/>
      <c r="B869" s="103">
        <v>2</v>
      </c>
      <c r="C869" s="34" t="s">
        <v>725</v>
      </c>
      <c r="D869" s="35">
        <v>50</v>
      </c>
      <c r="E869" s="35">
        <v>1969</v>
      </c>
      <c r="F869" s="263">
        <v>54.7</v>
      </c>
      <c r="G869" s="263">
        <v>5.532</v>
      </c>
      <c r="H869" s="263">
        <v>6.85</v>
      </c>
      <c r="I869" s="263">
        <v>42.318</v>
      </c>
      <c r="J869" s="118">
        <v>2594.32</v>
      </c>
      <c r="K869" s="263">
        <v>54.7</v>
      </c>
      <c r="L869" s="118">
        <v>2594.3</v>
      </c>
      <c r="M869" s="147">
        <f>K869/L869</f>
        <v>0.021084685657017307</v>
      </c>
      <c r="N869" s="138">
        <v>221.5</v>
      </c>
      <c r="O869" s="148">
        <f>M869*N869</f>
        <v>4.670257873029334</v>
      </c>
      <c r="P869" s="148">
        <f>M869*60*1000</f>
        <v>1265.0811394210384</v>
      </c>
      <c r="Q869" s="170">
        <f>P869*N869/1000</f>
        <v>280.21547238176004</v>
      </c>
      <c r="S869" s="97"/>
      <c r="T869" s="97"/>
    </row>
    <row r="870" spans="1:20" ht="12.75">
      <c r="A870" s="903"/>
      <c r="B870" s="35">
        <v>3</v>
      </c>
      <c r="C870" s="34" t="s">
        <v>502</v>
      </c>
      <c r="D870" s="35">
        <v>36</v>
      </c>
      <c r="E870" s="35" t="s">
        <v>726</v>
      </c>
      <c r="F870" s="263">
        <v>33.8</v>
      </c>
      <c r="G870" s="263">
        <v>3.041</v>
      </c>
      <c r="H870" s="263">
        <v>5.76</v>
      </c>
      <c r="I870" s="263">
        <v>24.999</v>
      </c>
      <c r="J870" s="118">
        <v>1500.89</v>
      </c>
      <c r="K870" s="263">
        <v>33.8</v>
      </c>
      <c r="L870" s="118">
        <v>1500.9</v>
      </c>
      <c r="M870" s="139">
        <f>K870/L870</f>
        <v>0.02251982144046905</v>
      </c>
      <c r="N870" s="138">
        <v>221.5</v>
      </c>
      <c r="O870" s="148">
        <f>M870*N870</f>
        <v>4.988140449063894</v>
      </c>
      <c r="P870" s="148">
        <f>M870*60*1000</f>
        <v>1351.1892864281429</v>
      </c>
      <c r="Q870" s="168">
        <f>P870*N870/1000</f>
        <v>299.28842694383366</v>
      </c>
      <c r="S870" s="87"/>
      <c r="T870" s="87"/>
    </row>
    <row r="871" spans="1:20" ht="12.75">
      <c r="A871" s="903"/>
      <c r="B871" s="35">
        <v>4</v>
      </c>
      <c r="C871" s="34"/>
      <c r="D871" s="35"/>
      <c r="E871" s="35"/>
      <c r="F871" s="263"/>
      <c r="G871" s="263"/>
      <c r="H871" s="263"/>
      <c r="I871" s="263"/>
      <c r="J871" s="118"/>
      <c r="K871" s="263"/>
      <c r="L871" s="118"/>
      <c r="M871" s="139"/>
      <c r="N871" s="138"/>
      <c r="O871" s="138"/>
      <c r="P871" s="148"/>
      <c r="Q871" s="168"/>
      <c r="S871" s="87"/>
      <c r="T871" s="87"/>
    </row>
    <row r="872" spans="1:20" ht="12.75">
      <c r="A872" s="903"/>
      <c r="B872" s="35">
        <v>5</v>
      </c>
      <c r="C872" s="34"/>
      <c r="D872" s="35"/>
      <c r="E872" s="35"/>
      <c r="F872" s="263"/>
      <c r="G872" s="263"/>
      <c r="H872" s="263"/>
      <c r="I872" s="263"/>
      <c r="J872" s="118"/>
      <c r="K872" s="263"/>
      <c r="L872" s="118"/>
      <c r="M872" s="139"/>
      <c r="N872" s="138"/>
      <c r="O872" s="138"/>
      <c r="P872" s="148"/>
      <c r="Q872" s="168"/>
      <c r="S872" s="87"/>
      <c r="T872" s="87"/>
    </row>
    <row r="873" spans="1:20" ht="12.75">
      <c r="A873" s="903"/>
      <c r="B873" s="35">
        <v>6</v>
      </c>
      <c r="C873" s="34"/>
      <c r="D873" s="35"/>
      <c r="E873" s="35"/>
      <c r="F873" s="263"/>
      <c r="G873" s="263"/>
      <c r="H873" s="263"/>
      <c r="I873" s="263"/>
      <c r="J873" s="118"/>
      <c r="K873" s="263"/>
      <c r="L873" s="118"/>
      <c r="M873" s="139"/>
      <c r="N873" s="148"/>
      <c r="O873" s="138"/>
      <c r="P873" s="148"/>
      <c r="Q873" s="168"/>
      <c r="S873" s="87"/>
      <c r="T873" s="87"/>
    </row>
    <row r="874" spans="1:20" ht="12.75">
      <c r="A874" s="903"/>
      <c r="B874" s="35">
        <v>7</v>
      </c>
      <c r="C874" s="34"/>
      <c r="D874" s="35"/>
      <c r="E874" s="35"/>
      <c r="F874" s="263"/>
      <c r="G874" s="263"/>
      <c r="H874" s="263"/>
      <c r="I874" s="263"/>
      <c r="J874" s="118"/>
      <c r="K874" s="263"/>
      <c r="L874" s="118"/>
      <c r="M874" s="139"/>
      <c r="N874" s="138"/>
      <c r="O874" s="138"/>
      <c r="P874" s="148"/>
      <c r="Q874" s="168"/>
      <c r="S874" s="87"/>
      <c r="T874" s="87"/>
    </row>
    <row r="875" spans="1:20" ht="12.75">
      <c r="A875" s="903"/>
      <c r="B875" s="35">
        <v>8</v>
      </c>
      <c r="C875" s="34"/>
      <c r="D875" s="35"/>
      <c r="E875" s="35"/>
      <c r="F875" s="263"/>
      <c r="G875" s="263"/>
      <c r="H875" s="263"/>
      <c r="I875" s="263"/>
      <c r="J875" s="118"/>
      <c r="K875" s="263"/>
      <c r="L875" s="118"/>
      <c r="M875" s="139"/>
      <c r="N875" s="138"/>
      <c r="O875" s="138"/>
      <c r="P875" s="148"/>
      <c r="Q875" s="168"/>
      <c r="S875" s="87"/>
      <c r="T875" s="87"/>
    </row>
    <row r="876" spans="1:20" ht="12.75">
      <c r="A876" s="904"/>
      <c r="B876" s="68">
        <v>9</v>
      </c>
      <c r="C876" s="34"/>
      <c r="D876" s="35"/>
      <c r="E876" s="35"/>
      <c r="F876" s="263"/>
      <c r="G876" s="263"/>
      <c r="H876" s="263"/>
      <c r="I876" s="263"/>
      <c r="J876" s="118"/>
      <c r="K876" s="263"/>
      <c r="L876" s="118"/>
      <c r="M876" s="139"/>
      <c r="N876" s="138"/>
      <c r="O876" s="138"/>
      <c r="P876" s="148"/>
      <c r="Q876" s="168"/>
      <c r="S876" s="87"/>
      <c r="T876" s="87"/>
    </row>
    <row r="877" spans="1:20" ht="13.5" customHeight="1" thickBot="1">
      <c r="A877" s="905"/>
      <c r="B877" s="38">
        <v>10</v>
      </c>
      <c r="C877" s="83"/>
      <c r="D877" s="38"/>
      <c r="E877" s="38"/>
      <c r="F877" s="265"/>
      <c r="G877" s="265"/>
      <c r="H877" s="265"/>
      <c r="I877" s="265"/>
      <c r="J877" s="184"/>
      <c r="K877" s="265"/>
      <c r="L877" s="184"/>
      <c r="M877" s="218"/>
      <c r="N877" s="171"/>
      <c r="O877" s="171"/>
      <c r="P877" s="171"/>
      <c r="Q877" s="172"/>
      <c r="S877" s="87"/>
      <c r="T877" s="87"/>
    </row>
    <row r="878" spans="1:20" ht="12.75">
      <c r="A878" s="880" t="s">
        <v>30</v>
      </c>
      <c r="B878" s="231">
        <v>1</v>
      </c>
      <c r="C878" s="270" t="s">
        <v>727</v>
      </c>
      <c r="D878" s="231">
        <v>22</v>
      </c>
      <c r="E878" s="231">
        <v>1980</v>
      </c>
      <c r="F878" s="423">
        <v>34.2</v>
      </c>
      <c r="G878" s="423">
        <v>1.266</v>
      </c>
      <c r="H878" s="423">
        <v>3.52</v>
      </c>
      <c r="I878" s="423">
        <v>29.414</v>
      </c>
      <c r="J878" s="434">
        <v>1210.95</v>
      </c>
      <c r="K878" s="423">
        <v>34.2</v>
      </c>
      <c r="L878" s="356">
        <v>1211</v>
      </c>
      <c r="M878" s="286">
        <f aca="true" t="shared" si="119" ref="M878:M897">K878/L878</f>
        <v>0.028241123038810902</v>
      </c>
      <c r="N878" s="285">
        <v>221.5</v>
      </c>
      <c r="O878" s="285">
        <f aca="true" t="shared" si="120" ref="O878:O897">M878*N878</f>
        <v>6.2554087530966145</v>
      </c>
      <c r="P878" s="285">
        <f aca="true" t="shared" si="121" ref="P878:P897">M878*60*1000</f>
        <v>1694.4673823286541</v>
      </c>
      <c r="Q878" s="287">
        <f aca="true" t="shared" si="122" ref="Q878:Q897">P878*N878/1000</f>
        <v>375.3245251857969</v>
      </c>
      <c r="S878" s="87"/>
      <c r="T878" s="87"/>
    </row>
    <row r="879" spans="1:20" ht="12.75">
      <c r="A879" s="881"/>
      <c r="B879" s="232">
        <v>2</v>
      </c>
      <c r="C879" s="272" t="s">
        <v>728</v>
      </c>
      <c r="D879" s="232">
        <v>21</v>
      </c>
      <c r="E879" s="232">
        <v>1978</v>
      </c>
      <c r="F879" s="288">
        <v>31.1</v>
      </c>
      <c r="G879" s="288">
        <v>1.411</v>
      </c>
      <c r="H879" s="288">
        <v>3.12</v>
      </c>
      <c r="I879" s="288">
        <v>26.578</v>
      </c>
      <c r="J879" s="279">
        <v>1065.04</v>
      </c>
      <c r="K879" s="288">
        <v>31.1</v>
      </c>
      <c r="L879" s="279">
        <v>1065</v>
      </c>
      <c r="M879" s="290">
        <f t="shared" si="119"/>
        <v>0.029201877934272303</v>
      </c>
      <c r="N879" s="289">
        <v>221.5</v>
      </c>
      <c r="O879" s="289">
        <f t="shared" si="120"/>
        <v>6.468215962441315</v>
      </c>
      <c r="P879" s="285">
        <f t="shared" si="121"/>
        <v>1752.1126760563382</v>
      </c>
      <c r="Q879" s="291">
        <f t="shared" si="122"/>
        <v>388.09295774647893</v>
      </c>
      <c r="S879" s="87"/>
      <c r="T879" s="87"/>
    </row>
    <row r="880" spans="1:20" ht="12.75">
      <c r="A880" s="881"/>
      <c r="B880" s="232">
        <v>3</v>
      </c>
      <c r="C880" s="272" t="s">
        <v>729</v>
      </c>
      <c r="D880" s="232">
        <v>40</v>
      </c>
      <c r="E880" s="232">
        <v>1980</v>
      </c>
      <c r="F880" s="288">
        <v>64</v>
      </c>
      <c r="G880" s="288">
        <v>3.805</v>
      </c>
      <c r="H880" s="288">
        <v>6.4</v>
      </c>
      <c r="I880" s="288">
        <v>53.795</v>
      </c>
      <c r="J880" s="279">
        <v>2190.43</v>
      </c>
      <c r="K880" s="288">
        <v>64</v>
      </c>
      <c r="L880" s="279">
        <v>2190.4</v>
      </c>
      <c r="M880" s="290">
        <f t="shared" si="119"/>
        <v>0.029218407596785973</v>
      </c>
      <c r="N880" s="289">
        <v>221.5</v>
      </c>
      <c r="O880" s="289">
        <f t="shared" si="120"/>
        <v>6.4718772826880935</v>
      </c>
      <c r="P880" s="285">
        <f t="shared" si="121"/>
        <v>1753.1044558071585</v>
      </c>
      <c r="Q880" s="291">
        <f t="shared" si="122"/>
        <v>388.3126369612856</v>
      </c>
      <c r="S880" s="87"/>
      <c r="T880" s="87"/>
    </row>
    <row r="881" spans="1:20" ht="12.75">
      <c r="A881" s="881"/>
      <c r="B881" s="232">
        <v>4</v>
      </c>
      <c r="C881" s="272" t="s">
        <v>730</v>
      </c>
      <c r="D881" s="232">
        <v>18</v>
      </c>
      <c r="E881" s="232">
        <v>1991</v>
      </c>
      <c r="F881" s="288">
        <v>33.7</v>
      </c>
      <c r="G881" s="288">
        <v>2.43</v>
      </c>
      <c r="H881" s="288">
        <v>2.88</v>
      </c>
      <c r="I881" s="288">
        <v>28.373</v>
      </c>
      <c r="J881" s="279">
        <v>1146.34</v>
      </c>
      <c r="K881" s="288">
        <v>33.7</v>
      </c>
      <c r="L881" s="279">
        <v>1146.3</v>
      </c>
      <c r="M881" s="290">
        <f t="shared" si="119"/>
        <v>0.029398935706185122</v>
      </c>
      <c r="N881" s="289">
        <v>221.5</v>
      </c>
      <c r="O881" s="289">
        <f t="shared" si="120"/>
        <v>6.511864258920005</v>
      </c>
      <c r="P881" s="285">
        <f t="shared" si="121"/>
        <v>1763.9361423711073</v>
      </c>
      <c r="Q881" s="291">
        <f t="shared" si="122"/>
        <v>390.7118555352003</v>
      </c>
      <c r="S881" s="87"/>
      <c r="T881" s="87"/>
    </row>
    <row r="882" spans="1:20" ht="12.75">
      <c r="A882" s="881"/>
      <c r="B882" s="232">
        <v>5</v>
      </c>
      <c r="C882" s="272" t="s">
        <v>731</v>
      </c>
      <c r="D882" s="232">
        <v>10</v>
      </c>
      <c r="E882" s="232"/>
      <c r="F882" s="288">
        <v>16.1</v>
      </c>
      <c r="G882" s="288">
        <v>0.917</v>
      </c>
      <c r="H882" s="288">
        <v>1.6</v>
      </c>
      <c r="I882" s="288">
        <v>13.574</v>
      </c>
      <c r="J882" s="279">
        <v>546.62</v>
      </c>
      <c r="K882" s="288">
        <v>16.1</v>
      </c>
      <c r="L882" s="279">
        <v>546.6</v>
      </c>
      <c r="M882" s="290">
        <f t="shared" si="119"/>
        <v>0.02945481156238566</v>
      </c>
      <c r="N882" s="289">
        <v>221.5</v>
      </c>
      <c r="O882" s="289">
        <f t="shared" si="120"/>
        <v>6.524240761068423</v>
      </c>
      <c r="P882" s="285">
        <f t="shared" si="121"/>
        <v>1767.2886937431397</v>
      </c>
      <c r="Q882" s="291">
        <f t="shared" si="122"/>
        <v>391.45444566410544</v>
      </c>
      <c r="S882" s="87"/>
      <c r="T882" s="87"/>
    </row>
    <row r="883" spans="1:20" ht="12.75">
      <c r="A883" s="881"/>
      <c r="B883" s="232">
        <v>6</v>
      </c>
      <c r="C883" s="272" t="s">
        <v>732</v>
      </c>
      <c r="D883" s="232">
        <v>20</v>
      </c>
      <c r="E883" s="232">
        <v>1991</v>
      </c>
      <c r="F883" s="288">
        <v>35.1</v>
      </c>
      <c r="G883" s="288">
        <v>2.547</v>
      </c>
      <c r="H883" s="288">
        <v>3.2</v>
      </c>
      <c r="I883" s="288">
        <v>29.353</v>
      </c>
      <c r="J883" s="279">
        <v>1165.09</v>
      </c>
      <c r="K883" s="288">
        <v>35.1</v>
      </c>
      <c r="L883" s="279">
        <v>1165.1</v>
      </c>
      <c r="M883" s="290">
        <f t="shared" si="119"/>
        <v>0.030126169427516954</v>
      </c>
      <c r="N883" s="289">
        <v>221.5</v>
      </c>
      <c r="O883" s="289">
        <f t="shared" si="120"/>
        <v>6.6729465281950056</v>
      </c>
      <c r="P883" s="285">
        <f t="shared" si="121"/>
        <v>1807.5701656510173</v>
      </c>
      <c r="Q883" s="291">
        <f t="shared" si="122"/>
        <v>400.37679169170036</v>
      </c>
      <c r="S883" s="87"/>
      <c r="T883" s="87"/>
    </row>
    <row r="884" spans="1:20" ht="12.75">
      <c r="A884" s="881"/>
      <c r="B884" s="232">
        <v>7</v>
      </c>
      <c r="C884" s="272" t="s">
        <v>733</v>
      </c>
      <c r="D884" s="232">
        <v>20</v>
      </c>
      <c r="E884" s="232"/>
      <c r="F884" s="288">
        <v>32.4</v>
      </c>
      <c r="G884" s="288">
        <v>2.741</v>
      </c>
      <c r="H884" s="288">
        <v>3.2</v>
      </c>
      <c r="I884" s="288">
        <v>26.511</v>
      </c>
      <c r="J884" s="279">
        <v>1071.28</v>
      </c>
      <c r="K884" s="288">
        <v>32.4</v>
      </c>
      <c r="L884" s="279">
        <v>1071.3</v>
      </c>
      <c r="M884" s="290">
        <f t="shared" si="119"/>
        <v>0.03024362923550826</v>
      </c>
      <c r="N884" s="289">
        <v>221.5</v>
      </c>
      <c r="O884" s="289">
        <f t="shared" si="120"/>
        <v>6.698963875665079</v>
      </c>
      <c r="P884" s="285">
        <f t="shared" si="121"/>
        <v>1814.6177541304955</v>
      </c>
      <c r="Q884" s="291">
        <f t="shared" si="122"/>
        <v>401.9378325399047</v>
      </c>
      <c r="S884" s="87"/>
      <c r="T884" s="87"/>
    </row>
    <row r="885" spans="1:20" ht="12.75">
      <c r="A885" s="881"/>
      <c r="B885" s="232">
        <v>8</v>
      </c>
      <c r="C885" s="272" t="s">
        <v>734</v>
      </c>
      <c r="D885" s="232">
        <v>36</v>
      </c>
      <c r="E885" s="232"/>
      <c r="F885" s="288">
        <v>44.9</v>
      </c>
      <c r="G885" s="288">
        <v>2.343</v>
      </c>
      <c r="H885" s="288">
        <v>5.52</v>
      </c>
      <c r="I885" s="288">
        <v>37.137</v>
      </c>
      <c r="J885" s="279">
        <v>1476.38</v>
      </c>
      <c r="K885" s="288">
        <v>44.9</v>
      </c>
      <c r="L885" s="279">
        <v>1476.4</v>
      </c>
      <c r="M885" s="290">
        <f t="shared" si="119"/>
        <v>0.030411812516933076</v>
      </c>
      <c r="N885" s="289">
        <v>221.5</v>
      </c>
      <c r="O885" s="289">
        <f t="shared" si="120"/>
        <v>6.736216472500677</v>
      </c>
      <c r="P885" s="285">
        <f t="shared" si="121"/>
        <v>1824.7087510159845</v>
      </c>
      <c r="Q885" s="291">
        <f t="shared" si="122"/>
        <v>404.17298835004055</v>
      </c>
      <c r="S885" s="87"/>
      <c r="T885" s="87"/>
    </row>
    <row r="886" spans="1:20" ht="12.75">
      <c r="A886" s="882"/>
      <c r="B886" s="245">
        <v>9</v>
      </c>
      <c r="C886" s="272" t="s">
        <v>735</v>
      </c>
      <c r="D886" s="232">
        <v>41</v>
      </c>
      <c r="E886" s="232"/>
      <c r="F886" s="288">
        <v>67</v>
      </c>
      <c r="G886" s="288">
        <v>5.138</v>
      </c>
      <c r="H886" s="288">
        <v>6.4</v>
      </c>
      <c r="I886" s="288">
        <v>55.462</v>
      </c>
      <c r="J886" s="279">
        <v>2200.5</v>
      </c>
      <c r="K886" s="288">
        <v>67</v>
      </c>
      <c r="L886" s="279">
        <v>2200.5</v>
      </c>
      <c r="M886" s="290">
        <f t="shared" si="119"/>
        <v>0.03044762553965008</v>
      </c>
      <c r="N886" s="289">
        <v>221.5</v>
      </c>
      <c r="O886" s="289">
        <f t="shared" si="120"/>
        <v>6.744149057032493</v>
      </c>
      <c r="P886" s="285">
        <f t="shared" si="121"/>
        <v>1826.8575323790049</v>
      </c>
      <c r="Q886" s="291">
        <f t="shared" si="122"/>
        <v>404.6489434219496</v>
      </c>
      <c r="S886" s="87"/>
      <c r="T886" s="87"/>
    </row>
    <row r="887" spans="1:20" ht="13.5" thickBot="1">
      <c r="A887" s="883"/>
      <c r="B887" s="246">
        <v>10</v>
      </c>
      <c r="C887" s="276" t="s">
        <v>736</v>
      </c>
      <c r="D887" s="246">
        <v>60</v>
      </c>
      <c r="E887" s="246">
        <v>1987</v>
      </c>
      <c r="F887" s="292">
        <v>71.7</v>
      </c>
      <c r="G887" s="292">
        <v>4.656</v>
      </c>
      <c r="H887" s="292">
        <v>9.6</v>
      </c>
      <c r="I887" s="292">
        <v>57.444</v>
      </c>
      <c r="J887" s="281">
        <v>2298.15</v>
      </c>
      <c r="K887" s="292">
        <v>71.7</v>
      </c>
      <c r="L887" s="281">
        <v>2298.2</v>
      </c>
      <c r="M887" s="294">
        <f t="shared" si="119"/>
        <v>0.031198329127142984</v>
      </c>
      <c r="N887" s="293">
        <v>221.5</v>
      </c>
      <c r="O887" s="293">
        <f t="shared" si="120"/>
        <v>6.910429901662171</v>
      </c>
      <c r="P887" s="293">
        <f t="shared" si="121"/>
        <v>1871.899747628579</v>
      </c>
      <c r="Q887" s="295">
        <f t="shared" si="122"/>
        <v>414.6257940997303</v>
      </c>
      <c r="S887" s="87"/>
      <c r="T887" s="87"/>
    </row>
    <row r="888" spans="1:20" ht="12.75">
      <c r="A888" s="884" t="s">
        <v>12</v>
      </c>
      <c r="B888" s="39">
        <v>1</v>
      </c>
      <c r="C888" s="277" t="s">
        <v>737</v>
      </c>
      <c r="D888" s="39">
        <v>12</v>
      </c>
      <c r="E888" s="39">
        <v>1960</v>
      </c>
      <c r="F888" s="429">
        <v>12.6</v>
      </c>
      <c r="G888" s="429">
        <v>0</v>
      </c>
      <c r="H888" s="429">
        <v>0</v>
      </c>
      <c r="I888" s="429">
        <v>12.946</v>
      </c>
      <c r="J888" s="360">
        <v>393.99</v>
      </c>
      <c r="K888" s="429">
        <v>12.6</v>
      </c>
      <c r="L888" s="357">
        <v>394</v>
      </c>
      <c r="M888" s="303">
        <f t="shared" si="119"/>
        <v>0.03197969543147208</v>
      </c>
      <c r="N888" s="304">
        <v>221.5</v>
      </c>
      <c r="O888" s="304">
        <f t="shared" si="120"/>
        <v>7.083502538071066</v>
      </c>
      <c r="P888" s="304">
        <f t="shared" si="121"/>
        <v>1918.7817258883251</v>
      </c>
      <c r="Q888" s="305">
        <f t="shared" si="122"/>
        <v>425.01015228426405</v>
      </c>
      <c r="S888" s="87"/>
      <c r="T888" s="87"/>
    </row>
    <row r="889" spans="1:20" ht="12.75">
      <c r="A889" s="885"/>
      <c r="B889" s="80">
        <v>2</v>
      </c>
      <c r="C889" s="49" t="s">
        <v>505</v>
      </c>
      <c r="D889" s="41">
        <v>4</v>
      </c>
      <c r="E889" s="41"/>
      <c r="F889" s="315">
        <v>5.3</v>
      </c>
      <c r="G889" s="315">
        <v>0</v>
      </c>
      <c r="H889" s="315">
        <v>0</v>
      </c>
      <c r="I889" s="315">
        <v>5.273</v>
      </c>
      <c r="J889" s="317">
        <v>160.13</v>
      </c>
      <c r="K889" s="315">
        <v>5.3</v>
      </c>
      <c r="L889" s="317">
        <v>160.1</v>
      </c>
      <c r="M889" s="309">
        <f t="shared" si="119"/>
        <v>0.03310430980637102</v>
      </c>
      <c r="N889" s="310">
        <v>221.5</v>
      </c>
      <c r="O889" s="310">
        <f t="shared" si="120"/>
        <v>7.33260462211118</v>
      </c>
      <c r="P889" s="304">
        <f t="shared" si="121"/>
        <v>1986.258588382261</v>
      </c>
      <c r="Q889" s="311">
        <f t="shared" si="122"/>
        <v>439.95627732667083</v>
      </c>
      <c r="S889" s="87"/>
      <c r="T889" s="87"/>
    </row>
    <row r="890" spans="1:20" ht="12.75">
      <c r="A890" s="885"/>
      <c r="B890" s="80">
        <v>3</v>
      </c>
      <c r="C890" s="49" t="s">
        <v>272</v>
      </c>
      <c r="D890" s="41">
        <v>10</v>
      </c>
      <c r="E890" s="41">
        <v>1976</v>
      </c>
      <c r="F890" s="315">
        <v>14.2</v>
      </c>
      <c r="G890" s="315">
        <v>0.596</v>
      </c>
      <c r="H890" s="315">
        <v>0</v>
      </c>
      <c r="I890" s="315">
        <v>13.604</v>
      </c>
      <c r="J890" s="317">
        <v>411.49</v>
      </c>
      <c r="K890" s="315">
        <v>14.2</v>
      </c>
      <c r="L890" s="317">
        <v>411.5</v>
      </c>
      <c r="M890" s="309">
        <f t="shared" si="119"/>
        <v>0.03450789793438639</v>
      </c>
      <c r="N890" s="310">
        <v>221.5</v>
      </c>
      <c r="O890" s="310">
        <f t="shared" si="120"/>
        <v>7.643499392466586</v>
      </c>
      <c r="P890" s="304">
        <f t="shared" si="121"/>
        <v>2070.4738760631835</v>
      </c>
      <c r="Q890" s="311">
        <f t="shared" si="122"/>
        <v>458.60996354799516</v>
      </c>
      <c r="S890" s="87"/>
      <c r="T890" s="87"/>
    </row>
    <row r="891" spans="1:20" ht="12.75">
      <c r="A891" s="886"/>
      <c r="B891" s="41">
        <v>4</v>
      </c>
      <c r="C891" s="49" t="s">
        <v>503</v>
      </c>
      <c r="D891" s="41">
        <v>10</v>
      </c>
      <c r="E891" s="41"/>
      <c r="F891" s="315">
        <v>9.6</v>
      </c>
      <c r="G891" s="315">
        <v>0.407</v>
      </c>
      <c r="H891" s="315">
        <v>0</v>
      </c>
      <c r="I891" s="315">
        <v>9.193</v>
      </c>
      <c r="J891" s="317">
        <v>273.29</v>
      </c>
      <c r="K891" s="315">
        <v>9.6</v>
      </c>
      <c r="L891" s="317">
        <v>273.3</v>
      </c>
      <c r="M891" s="309">
        <f t="shared" si="119"/>
        <v>0.03512623490669593</v>
      </c>
      <c r="N891" s="310">
        <v>221.5</v>
      </c>
      <c r="O891" s="310">
        <f t="shared" si="120"/>
        <v>7.780461031833149</v>
      </c>
      <c r="P891" s="304">
        <f t="shared" si="121"/>
        <v>2107.5740944017557</v>
      </c>
      <c r="Q891" s="311">
        <f t="shared" si="122"/>
        <v>466.82766190998893</v>
      </c>
      <c r="S891" s="87"/>
      <c r="T891" s="87"/>
    </row>
    <row r="892" spans="1:20" ht="12.75">
      <c r="A892" s="886"/>
      <c r="B892" s="41">
        <v>5</v>
      </c>
      <c r="C892" s="49" t="s">
        <v>397</v>
      </c>
      <c r="D892" s="41">
        <v>8</v>
      </c>
      <c r="E892" s="41">
        <v>1960</v>
      </c>
      <c r="F892" s="315">
        <v>13.4</v>
      </c>
      <c r="G892" s="315">
        <v>0.306</v>
      </c>
      <c r="H892" s="315">
        <v>1.12</v>
      </c>
      <c r="I892" s="315">
        <v>11.967</v>
      </c>
      <c r="J892" s="317">
        <v>371.41</v>
      </c>
      <c r="K892" s="315">
        <v>13.4</v>
      </c>
      <c r="L892" s="317">
        <v>371.4</v>
      </c>
      <c r="M892" s="309">
        <f t="shared" si="119"/>
        <v>0.03607969843834141</v>
      </c>
      <c r="N892" s="310">
        <v>221.5</v>
      </c>
      <c r="O892" s="310">
        <f t="shared" si="120"/>
        <v>7.991653204092623</v>
      </c>
      <c r="P892" s="304">
        <f t="shared" si="121"/>
        <v>2164.781906300485</v>
      </c>
      <c r="Q892" s="311">
        <f t="shared" si="122"/>
        <v>479.4991922455574</v>
      </c>
      <c r="S892" s="87"/>
      <c r="T892" s="87"/>
    </row>
    <row r="893" spans="1:20" ht="12.75">
      <c r="A893" s="886"/>
      <c r="B893" s="41">
        <v>6</v>
      </c>
      <c r="C893" s="49" t="s">
        <v>738</v>
      </c>
      <c r="D893" s="41">
        <v>8</v>
      </c>
      <c r="E893" s="41">
        <v>1980</v>
      </c>
      <c r="F893" s="315">
        <v>15</v>
      </c>
      <c r="G893" s="315">
        <v>0.662</v>
      </c>
      <c r="H893" s="315">
        <v>1.28</v>
      </c>
      <c r="I893" s="315">
        <v>12.957</v>
      </c>
      <c r="J893" s="317">
        <v>402.95</v>
      </c>
      <c r="K893" s="315">
        <v>15</v>
      </c>
      <c r="L893" s="317">
        <v>403</v>
      </c>
      <c r="M893" s="309">
        <f t="shared" si="119"/>
        <v>0.03722084367245657</v>
      </c>
      <c r="N893" s="310">
        <v>221.5</v>
      </c>
      <c r="O893" s="310">
        <f t="shared" si="120"/>
        <v>8.244416873449131</v>
      </c>
      <c r="P893" s="304">
        <f t="shared" si="121"/>
        <v>2233.2506203473945</v>
      </c>
      <c r="Q893" s="311">
        <f t="shared" si="122"/>
        <v>494.6650124069479</v>
      </c>
      <c r="S893" s="87"/>
      <c r="T893" s="87"/>
    </row>
    <row r="894" spans="1:20" ht="12.75">
      <c r="A894" s="886"/>
      <c r="B894" s="41">
        <v>7</v>
      </c>
      <c r="C894" s="82" t="s">
        <v>271</v>
      </c>
      <c r="D894" s="41">
        <v>14</v>
      </c>
      <c r="E894" s="41"/>
      <c r="F894" s="315">
        <v>20.7</v>
      </c>
      <c r="G894" s="315">
        <v>1.49</v>
      </c>
      <c r="H894" s="315">
        <v>0</v>
      </c>
      <c r="I894" s="315">
        <v>19.21</v>
      </c>
      <c r="J894" s="317">
        <v>551.79</v>
      </c>
      <c r="K894" s="315">
        <v>20.7</v>
      </c>
      <c r="L894" s="317">
        <v>551.79</v>
      </c>
      <c r="M894" s="309">
        <f t="shared" si="119"/>
        <v>0.03751427173381178</v>
      </c>
      <c r="N894" s="41">
        <v>221.5</v>
      </c>
      <c r="O894" s="310">
        <f t="shared" si="120"/>
        <v>8.30941118903931</v>
      </c>
      <c r="P894" s="304">
        <f t="shared" si="121"/>
        <v>2250.8563040287067</v>
      </c>
      <c r="Q894" s="311">
        <f t="shared" si="122"/>
        <v>498.5646713423585</v>
      </c>
      <c r="S894" s="87"/>
      <c r="T894" s="87"/>
    </row>
    <row r="895" spans="1:20" ht="12.75">
      <c r="A895" s="886"/>
      <c r="B895" s="41">
        <v>8</v>
      </c>
      <c r="C895" s="49" t="s">
        <v>504</v>
      </c>
      <c r="D895" s="41">
        <v>6</v>
      </c>
      <c r="E895" s="41">
        <v>1956</v>
      </c>
      <c r="F895" s="315">
        <v>10.7</v>
      </c>
      <c r="G895" s="315">
        <v>0.509</v>
      </c>
      <c r="H895" s="315">
        <v>0.96</v>
      </c>
      <c r="I895" s="315">
        <v>9.2</v>
      </c>
      <c r="J895" s="317">
        <v>264.64</v>
      </c>
      <c r="K895" s="315">
        <v>10.7</v>
      </c>
      <c r="L895" s="317">
        <v>264.6</v>
      </c>
      <c r="M895" s="309">
        <f t="shared" si="119"/>
        <v>0.04043839758125472</v>
      </c>
      <c r="N895" s="310">
        <v>221.5</v>
      </c>
      <c r="O895" s="310">
        <f t="shared" si="120"/>
        <v>8.957105064247921</v>
      </c>
      <c r="P895" s="304">
        <f t="shared" si="121"/>
        <v>2426.3038548752834</v>
      </c>
      <c r="Q895" s="311">
        <f t="shared" si="122"/>
        <v>537.4263038548753</v>
      </c>
      <c r="S895" s="87"/>
      <c r="T895" s="87"/>
    </row>
    <row r="896" spans="1:20" ht="12.75">
      <c r="A896" s="886"/>
      <c r="B896" s="41">
        <v>9</v>
      </c>
      <c r="C896" s="49" t="s">
        <v>273</v>
      </c>
      <c r="D896" s="41">
        <v>8</v>
      </c>
      <c r="E896" s="41">
        <v>1960</v>
      </c>
      <c r="F896" s="315">
        <v>14.6</v>
      </c>
      <c r="G896" s="315">
        <v>1.011</v>
      </c>
      <c r="H896" s="315">
        <v>1.28</v>
      </c>
      <c r="I896" s="315">
        <v>12.309</v>
      </c>
      <c r="J896" s="317">
        <v>358.27</v>
      </c>
      <c r="K896" s="315">
        <v>14.6</v>
      </c>
      <c r="L896" s="317">
        <v>358.3</v>
      </c>
      <c r="M896" s="309">
        <f t="shared" si="119"/>
        <v>0.040747976555958694</v>
      </c>
      <c r="N896" s="310">
        <v>221.5</v>
      </c>
      <c r="O896" s="310">
        <f t="shared" si="120"/>
        <v>9.025676807144851</v>
      </c>
      <c r="P896" s="304">
        <f t="shared" si="121"/>
        <v>2444.8785933575214</v>
      </c>
      <c r="Q896" s="311">
        <f t="shared" si="122"/>
        <v>541.5406084286909</v>
      </c>
      <c r="S896" s="87"/>
      <c r="T896" s="87"/>
    </row>
    <row r="897" spans="1:20" ht="13.5" thickBot="1">
      <c r="A897" s="887"/>
      <c r="B897" s="46">
        <v>10</v>
      </c>
      <c r="C897" s="79" t="s">
        <v>274</v>
      </c>
      <c r="D897" s="46">
        <v>8</v>
      </c>
      <c r="E897" s="46">
        <v>1958</v>
      </c>
      <c r="F897" s="316">
        <v>15.341</v>
      </c>
      <c r="G897" s="316">
        <v>1.309</v>
      </c>
      <c r="H897" s="316">
        <v>1.12</v>
      </c>
      <c r="I897" s="316">
        <v>13.182</v>
      </c>
      <c r="J897" s="358">
        <v>356.49</v>
      </c>
      <c r="K897" s="316">
        <v>15.341</v>
      </c>
      <c r="L897" s="358">
        <v>358.49</v>
      </c>
      <c r="M897" s="306">
        <f t="shared" si="119"/>
        <v>0.04279338335797372</v>
      </c>
      <c r="N897" s="46">
        <v>221.5</v>
      </c>
      <c r="O897" s="307">
        <f t="shared" si="120"/>
        <v>9.478734413791178</v>
      </c>
      <c r="P897" s="307">
        <f t="shared" si="121"/>
        <v>2567.6030014784233</v>
      </c>
      <c r="Q897" s="308">
        <f t="shared" si="122"/>
        <v>568.7240648274708</v>
      </c>
      <c r="S897" s="87"/>
      <c r="T897" s="87"/>
    </row>
    <row r="898" spans="19:20" ht="12.75">
      <c r="S898" s="87"/>
      <c r="T898" s="87"/>
    </row>
    <row r="899" spans="19:20" ht="12.75">
      <c r="S899" s="87"/>
      <c r="T899" s="87"/>
    </row>
    <row r="900" spans="19:20" ht="12.75">
      <c r="S900" s="87"/>
      <c r="T900" s="87"/>
    </row>
    <row r="901" spans="1:20" ht="15">
      <c r="A901" s="906" t="s">
        <v>48</v>
      </c>
      <c r="B901" s="906"/>
      <c r="C901" s="906"/>
      <c r="D901" s="906"/>
      <c r="E901" s="906"/>
      <c r="F901" s="906"/>
      <c r="G901" s="906"/>
      <c r="H901" s="906"/>
      <c r="I901" s="906"/>
      <c r="J901" s="906"/>
      <c r="K901" s="906"/>
      <c r="L901" s="906"/>
      <c r="M901" s="906"/>
      <c r="N901" s="906"/>
      <c r="O901" s="906"/>
      <c r="P901" s="906"/>
      <c r="Q901" s="906"/>
      <c r="S901" s="87"/>
      <c r="T901" s="87"/>
    </row>
    <row r="902" spans="1:20" ht="13.5" thickBot="1">
      <c r="A902" s="935" t="s">
        <v>739</v>
      </c>
      <c r="B902" s="935"/>
      <c r="C902" s="935"/>
      <c r="D902" s="935"/>
      <c r="E902" s="935"/>
      <c r="F902" s="935"/>
      <c r="G902" s="935"/>
      <c r="H902" s="935"/>
      <c r="I902" s="935"/>
      <c r="J902" s="935"/>
      <c r="K902" s="935"/>
      <c r="L902" s="935"/>
      <c r="M902" s="935"/>
      <c r="N902" s="935"/>
      <c r="O902" s="935"/>
      <c r="P902" s="935"/>
      <c r="Q902" s="935"/>
      <c r="S902" s="87"/>
      <c r="T902" s="87"/>
    </row>
    <row r="903" spans="1:20" ht="12.75" customHeight="1">
      <c r="A903" s="890" t="s">
        <v>1</v>
      </c>
      <c r="B903" s="892" t="s">
        <v>0</v>
      </c>
      <c r="C903" s="888" t="s">
        <v>2</v>
      </c>
      <c r="D903" s="888" t="s">
        <v>3</v>
      </c>
      <c r="E903" s="888" t="s">
        <v>13</v>
      </c>
      <c r="F903" s="896" t="s">
        <v>14</v>
      </c>
      <c r="G903" s="897"/>
      <c r="H903" s="897"/>
      <c r="I903" s="898"/>
      <c r="J903" s="888" t="s">
        <v>4</v>
      </c>
      <c r="K903" s="888" t="s">
        <v>15</v>
      </c>
      <c r="L903" s="888" t="s">
        <v>5</v>
      </c>
      <c r="M903" s="888" t="s">
        <v>6</v>
      </c>
      <c r="N903" s="888" t="s">
        <v>16</v>
      </c>
      <c r="O903" s="949" t="s">
        <v>17</v>
      </c>
      <c r="P903" s="888" t="s">
        <v>25</v>
      </c>
      <c r="Q903" s="878" t="s">
        <v>26</v>
      </c>
      <c r="S903" s="87"/>
      <c r="T903" s="87"/>
    </row>
    <row r="904" spans="1:20" s="2" customFormat="1" ht="33.75">
      <c r="A904" s="891"/>
      <c r="B904" s="893"/>
      <c r="C904" s="894"/>
      <c r="D904" s="889"/>
      <c r="E904" s="889"/>
      <c r="F904" s="36" t="s">
        <v>18</v>
      </c>
      <c r="G904" s="36" t="s">
        <v>19</v>
      </c>
      <c r="H904" s="36" t="s">
        <v>20</v>
      </c>
      <c r="I904" s="36" t="s">
        <v>21</v>
      </c>
      <c r="J904" s="889"/>
      <c r="K904" s="889"/>
      <c r="L904" s="889"/>
      <c r="M904" s="889"/>
      <c r="N904" s="889"/>
      <c r="O904" s="950"/>
      <c r="P904" s="889"/>
      <c r="Q904" s="879"/>
      <c r="S904" s="87"/>
      <c r="T904" s="87"/>
    </row>
    <row r="905" spans="1:20" s="3" customFormat="1" ht="13.5" customHeight="1" thickBot="1">
      <c r="A905" s="945"/>
      <c r="B905" s="946"/>
      <c r="C905" s="895"/>
      <c r="D905" s="59" t="s">
        <v>7</v>
      </c>
      <c r="E905" s="59" t="s">
        <v>8</v>
      </c>
      <c r="F905" s="59" t="s">
        <v>9</v>
      </c>
      <c r="G905" s="59" t="s">
        <v>9</v>
      </c>
      <c r="H905" s="59" t="s">
        <v>9</v>
      </c>
      <c r="I905" s="59" t="s">
        <v>9</v>
      </c>
      <c r="J905" s="59" t="s">
        <v>22</v>
      </c>
      <c r="K905" s="59" t="s">
        <v>9</v>
      </c>
      <c r="L905" s="59" t="s">
        <v>22</v>
      </c>
      <c r="M905" s="59" t="s">
        <v>23</v>
      </c>
      <c r="N905" s="59" t="s">
        <v>10</v>
      </c>
      <c r="O905" s="59" t="s">
        <v>24</v>
      </c>
      <c r="P905" s="60" t="s">
        <v>27</v>
      </c>
      <c r="Q905" s="61" t="s">
        <v>28</v>
      </c>
      <c r="S905" s="87"/>
      <c r="T905" s="87"/>
    </row>
    <row r="906" spans="1:20" ht="12.75" customHeight="1">
      <c r="A906" s="942" t="s">
        <v>29</v>
      </c>
      <c r="B906" s="33">
        <v>1</v>
      </c>
      <c r="C906" s="34" t="s">
        <v>740</v>
      </c>
      <c r="D906" s="35">
        <v>60</v>
      </c>
      <c r="E906" s="35" t="s">
        <v>506</v>
      </c>
      <c r="F906" s="262">
        <v>65.689</v>
      </c>
      <c r="G906" s="262">
        <v>9.075</v>
      </c>
      <c r="H906" s="262">
        <v>9.6</v>
      </c>
      <c r="I906" s="263">
        <v>47.014</v>
      </c>
      <c r="J906" s="264"/>
      <c r="K906" s="267">
        <f>I906</f>
        <v>47.014</v>
      </c>
      <c r="L906" s="432">
        <v>3509.79</v>
      </c>
      <c r="M906" s="147">
        <f>K906/L906</f>
        <v>0.013395103410745374</v>
      </c>
      <c r="N906" s="148">
        <v>244.71</v>
      </c>
      <c r="O906" s="148">
        <f>M906*N906</f>
        <v>3.2779157556435004</v>
      </c>
      <c r="P906" s="148">
        <f>M906*60*1000</f>
        <v>803.7062046447224</v>
      </c>
      <c r="Q906" s="170">
        <f>P906*N906/1000</f>
        <v>196.67494533861003</v>
      </c>
      <c r="R906" s="6"/>
      <c r="S906" s="87"/>
      <c r="T906" s="87"/>
    </row>
    <row r="907" spans="1:20" ht="12.75">
      <c r="A907" s="943"/>
      <c r="B907" s="35">
        <v>2</v>
      </c>
      <c r="C907" s="34" t="s">
        <v>741</v>
      </c>
      <c r="D907" s="35">
        <v>35</v>
      </c>
      <c r="E907" s="35" t="s">
        <v>506</v>
      </c>
      <c r="F907" s="263">
        <v>40.979</v>
      </c>
      <c r="G907" s="263">
        <v>4.597</v>
      </c>
      <c r="H907" s="263">
        <v>5.6</v>
      </c>
      <c r="I907" s="263">
        <v>30.782</v>
      </c>
      <c r="J907" s="138"/>
      <c r="K907" s="263">
        <f>I907</f>
        <v>30.782</v>
      </c>
      <c r="L907" s="118">
        <v>2248.65</v>
      </c>
      <c r="M907" s="147">
        <f>K907/L907</f>
        <v>0.013689102350299067</v>
      </c>
      <c r="N907" s="148">
        <v>244.71</v>
      </c>
      <c r="O907" s="148">
        <f>M907*N907</f>
        <v>3.349860236141685</v>
      </c>
      <c r="P907" s="148">
        <f>M907*60*1000</f>
        <v>821.346141017944</v>
      </c>
      <c r="Q907" s="170">
        <f>P907*N907/1000</f>
        <v>200.9916141685011</v>
      </c>
      <c r="R907" s="6"/>
      <c r="S907" s="87"/>
      <c r="T907" s="87"/>
    </row>
    <row r="908" spans="1:20" ht="12.75">
      <c r="A908" s="943"/>
      <c r="B908" s="35">
        <v>3</v>
      </c>
      <c r="C908" s="34" t="s">
        <v>742</v>
      </c>
      <c r="D908" s="35">
        <v>60</v>
      </c>
      <c r="E908" s="35" t="s">
        <v>506</v>
      </c>
      <c r="F908" s="263">
        <v>65.28</v>
      </c>
      <c r="G908" s="263">
        <v>8.487</v>
      </c>
      <c r="H908" s="263">
        <v>9.6</v>
      </c>
      <c r="I908" s="263">
        <v>47.193</v>
      </c>
      <c r="J908" s="138"/>
      <c r="K908" s="263">
        <f>I908</f>
        <v>47.193</v>
      </c>
      <c r="L908" s="118">
        <v>3319.8</v>
      </c>
      <c r="M908" s="139">
        <f>K908/L908</f>
        <v>0.014215615398517982</v>
      </c>
      <c r="N908" s="148">
        <v>244.71</v>
      </c>
      <c r="O908" s="148">
        <f>M908*N908</f>
        <v>3.4787032441713355</v>
      </c>
      <c r="P908" s="148">
        <f>M908*60*1000</f>
        <v>852.9369239110789</v>
      </c>
      <c r="Q908" s="168">
        <f>P908*N908/1000</f>
        <v>208.7221946502801</v>
      </c>
      <c r="R908" s="6"/>
      <c r="S908" s="87"/>
      <c r="T908" s="87"/>
    </row>
    <row r="909" spans="1:20" ht="12.75">
      <c r="A909" s="943"/>
      <c r="B909" s="35">
        <v>4</v>
      </c>
      <c r="C909" s="34" t="s">
        <v>743</v>
      </c>
      <c r="D909" s="35">
        <v>30</v>
      </c>
      <c r="E909" s="35" t="s">
        <v>506</v>
      </c>
      <c r="F909" s="263">
        <v>32.03</v>
      </c>
      <c r="G909" s="263">
        <v>3.829</v>
      </c>
      <c r="H909" s="263">
        <v>4.8</v>
      </c>
      <c r="I909" s="263">
        <v>23.401</v>
      </c>
      <c r="J909" s="138"/>
      <c r="K909" s="263">
        <f>I909</f>
        <v>23.401</v>
      </c>
      <c r="L909" s="118">
        <v>1592</v>
      </c>
      <c r="M909" s="139">
        <f>K909/L909</f>
        <v>0.014699120603015075</v>
      </c>
      <c r="N909" s="148">
        <v>244.71</v>
      </c>
      <c r="O909" s="138">
        <f>M909*N909</f>
        <v>3.597021802763819</v>
      </c>
      <c r="P909" s="148">
        <f>M909*60*1000</f>
        <v>881.9472361809045</v>
      </c>
      <c r="Q909" s="168">
        <f>P909*N909/1000</f>
        <v>215.82130816582912</v>
      </c>
      <c r="R909" s="6"/>
      <c r="S909" s="87"/>
      <c r="T909" s="87"/>
    </row>
    <row r="910" spans="1:20" ht="12.75">
      <c r="A910" s="943"/>
      <c r="B910" s="35">
        <v>5</v>
      </c>
      <c r="C910" s="34" t="s">
        <v>744</v>
      </c>
      <c r="D910" s="35">
        <v>60</v>
      </c>
      <c r="E910" s="35" t="s">
        <v>506</v>
      </c>
      <c r="F910" s="263">
        <v>56.606</v>
      </c>
      <c r="G910" s="263">
        <v>6.696</v>
      </c>
      <c r="H910" s="263">
        <v>9.6</v>
      </c>
      <c r="I910" s="263">
        <v>40.31</v>
      </c>
      <c r="J910" s="138"/>
      <c r="K910" s="263">
        <f>I910</f>
        <v>40.31</v>
      </c>
      <c r="L910" s="118">
        <v>2740.77</v>
      </c>
      <c r="M910" s="139">
        <f>K910/L910</f>
        <v>0.014707545689714935</v>
      </c>
      <c r="N910" s="148">
        <v>244.71</v>
      </c>
      <c r="O910" s="138">
        <f>M910*N910</f>
        <v>3.599083505730142</v>
      </c>
      <c r="P910" s="148">
        <f>M910*60*1000</f>
        <v>882.4527413828961</v>
      </c>
      <c r="Q910" s="168">
        <f>P910*N910/1000</f>
        <v>215.94501034380852</v>
      </c>
      <c r="R910" s="6"/>
      <c r="S910" s="87"/>
      <c r="T910" s="87"/>
    </row>
    <row r="911" spans="1:20" ht="12.75">
      <c r="A911" s="943"/>
      <c r="B911" s="35">
        <v>6</v>
      </c>
      <c r="C911" s="34"/>
      <c r="D911" s="35"/>
      <c r="E911" s="35"/>
      <c r="F911" s="263"/>
      <c r="G911" s="263"/>
      <c r="H911" s="263"/>
      <c r="I911" s="263"/>
      <c r="J911" s="263"/>
      <c r="K911" s="263"/>
      <c r="L911" s="118"/>
      <c r="M911" s="139"/>
      <c r="N911" s="148"/>
      <c r="O911" s="138"/>
      <c r="P911" s="148"/>
      <c r="Q911" s="168"/>
      <c r="R911" s="6"/>
      <c r="S911" s="87"/>
      <c r="T911" s="87"/>
    </row>
    <row r="912" spans="1:20" ht="12.75">
      <c r="A912" s="943"/>
      <c r="B912" s="35">
        <v>7</v>
      </c>
      <c r="C912" s="34"/>
      <c r="D912" s="35"/>
      <c r="E912" s="35"/>
      <c r="F912" s="263"/>
      <c r="G912" s="263"/>
      <c r="H912" s="263"/>
      <c r="I912" s="263"/>
      <c r="J912" s="263"/>
      <c r="K912" s="263"/>
      <c r="L912" s="118"/>
      <c r="M912" s="139"/>
      <c r="N912" s="148"/>
      <c r="O912" s="138"/>
      <c r="P912" s="148"/>
      <c r="Q912" s="168"/>
      <c r="R912" s="6"/>
      <c r="S912" s="87"/>
      <c r="T912" s="87"/>
    </row>
    <row r="913" spans="1:20" ht="12.75">
      <c r="A913" s="943"/>
      <c r="B913" s="35">
        <v>8</v>
      </c>
      <c r="C913" s="34"/>
      <c r="D913" s="35"/>
      <c r="E913" s="35"/>
      <c r="F913" s="263"/>
      <c r="G913" s="263"/>
      <c r="H913" s="263"/>
      <c r="I913" s="263"/>
      <c r="J913" s="263"/>
      <c r="K913" s="263"/>
      <c r="L913" s="118"/>
      <c r="M913" s="139"/>
      <c r="N913" s="148"/>
      <c r="O913" s="138"/>
      <c r="P913" s="148"/>
      <c r="Q913" s="168"/>
      <c r="R913" s="6"/>
      <c r="S913" s="87"/>
      <c r="T913" s="87"/>
    </row>
    <row r="914" spans="1:20" ht="13.5" customHeight="1">
      <c r="A914" s="943"/>
      <c r="B914" s="35">
        <v>9</v>
      </c>
      <c r="C914" s="34"/>
      <c r="D914" s="35"/>
      <c r="E914" s="35"/>
      <c r="F914" s="263"/>
      <c r="G914" s="263"/>
      <c r="H914" s="263"/>
      <c r="I914" s="263"/>
      <c r="J914" s="263"/>
      <c r="K914" s="263"/>
      <c r="L914" s="118"/>
      <c r="M914" s="139"/>
      <c r="N914" s="148"/>
      <c r="O914" s="138"/>
      <c r="P914" s="148"/>
      <c r="Q914" s="168"/>
      <c r="R914" s="6"/>
      <c r="S914" s="87"/>
      <c r="T914" s="87"/>
    </row>
    <row r="915" spans="1:20" ht="13.5" customHeight="1" thickBot="1">
      <c r="A915" s="944"/>
      <c r="B915" s="90">
        <v>10</v>
      </c>
      <c r="C915" s="83"/>
      <c r="D915" s="38"/>
      <c r="E915" s="38"/>
      <c r="F915" s="265"/>
      <c r="G915" s="265"/>
      <c r="H915" s="265"/>
      <c r="I915" s="265"/>
      <c r="J915" s="417"/>
      <c r="K915" s="265"/>
      <c r="L915" s="184"/>
      <c r="M915" s="218"/>
      <c r="N915" s="171"/>
      <c r="O915" s="171"/>
      <c r="P915" s="171"/>
      <c r="Q915" s="172"/>
      <c r="R915" s="6"/>
      <c r="S915" s="87"/>
      <c r="T915" s="87"/>
    </row>
    <row r="916" spans="1:20" ht="12.75">
      <c r="A916" s="921" t="s">
        <v>30</v>
      </c>
      <c r="B916" s="231">
        <v>1</v>
      </c>
      <c r="C916" s="272" t="s">
        <v>745</v>
      </c>
      <c r="D916" s="232">
        <v>60</v>
      </c>
      <c r="E916" s="280" t="s">
        <v>506</v>
      </c>
      <c r="F916" s="423">
        <v>63.263</v>
      </c>
      <c r="G916" s="423">
        <v>6.341</v>
      </c>
      <c r="H916" s="423">
        <v>9.6</v>
      </c>
      <c r="I916" s="288">
        <v>47.322</v>
      </c>
      <c r="J916" s="624"/>
      <c r="K916" s="348">
        <f aca="true" t="shared" si="123" ref="K916:K933">I916</f>
        <v>47.322</v>
      </c>
      <c r="L916" s="434">
        <v>3137.85</v>
      </c>
      <c r="M916" s="286">
        <f aca="true" t="shared" si="124" ref="M916:M933">K916/L916</f>
        <v>0.015081026817725513</v>
      </c>
      <c r="N916" s="285">
        <v>244.71</v>
      </c>
      <c r="O916" s="285">
        <f aca="true" t="shared" si="125" ref="O916:O933">M916*N916</f>
        <v>3.6904780725656106</v>
      </c>
      <c r="P916" s="285">
        <f aca="true" t="shared" si="126" ref="P916:P933">M916*60*1000</f>
        <v>904.8616090635308</v>
      </c>
      <c r="Q916" s="287">
        <f aca="true" t="shared" si="127" ref="Q916:Q933">P916*N916/1000</f>
        <v>221.4286843539366</v>
      </c>
      <c r="S916" s="87"/>
      <c r="T916" s="87"/>
    </row>
    <row r="917" spans="1:20" ht="12.75">
      <c r="A917" s="922"/>
      <c r="B917" s="232">
        <v>2</v>
      </c>
      <c r="C917" s="272" t="s">
        <v>746</v>
      </c>
      <c r="D917" s="232">
        <v>60</v>
      </c>
      <c r="E917" s="232" t="s">
        <v>506</v>
      </c>
      <c r="F917" s="288">
        <v>66.258</v>
      </c>
      <c r="G917" s="288">
        <v>5.818</v>
      </c>
      <c r="H917" s="288">
        <v>9.6</v>
      </c>
      <c r="I917" s="288">
        <v>50.84</v>
      </c>
      <c r="J917" s="302"/>
      <c r="K917" s="348">
        <f t="shared" si="123"/>
        <v>50.84</v>
      </c>
      <c r="L917" s="279">
        <v>3153.72</v>
      </c>
      <c r="M917" s="290">
        <f t="shared" si="124"/>
        <v>0.016120644825793035</v>
      </c>
      <c r="N917" s="285">
        <v>244.71</v>
      </c>
      <c r="O917" s="289">
        <f t="shared" si="125"/>
        <v>3.9448829953198135</v>
      </c>
      <c r="P917" s="285">
        <f t="shared" si="126"/>
        <v>967.2386895475821</v>
      </c>
      <c r="Q917" s="291">
        <f t="shared" si="127"/>
        <v>236.69297971918883</v>
      </c>
      <c r="S917" s="87"/>
      <c r="T917" s="87"/>
    </row>
    <row r="918" spans="1:20" ht="12.75">
      <c r="A918" s="922"/>
      <c r="B918" s="232">
        <v>3</v>
      </c>
      <c r="C918" s="272" t="s">
        <v>747</v>
      </c>
      <c r="D918" s="232">
        <v>50</v>
      </c>
      <c r="E918" s="232" t="s">
        <v>506</v>
      </c>
      <c r="F918" s="288">
        <v>56.061</v>
      </c>
      <c r="G918" s="288">
        <v>4.817</v>
      </c>
      <c r="H918" s="288">
        <v>8</v>
      </c>
      <c r="I918" s="288">
        <v>43.244</v>
      </c>
      <c r="J918" s="302"/>
      <c r="K918" s="348">
        <f t="shared" si="123"/>
        <v>43.244</v>
      </c>
      <c r="L918" s="279">
        <v>2614.21</v>
      </c>
      <c r="M918" s="290">
        <f t="shared" si="124"/>
        <v>0.01654189984737263</v>
      </c>
      <c r="N918" s="285">
        <v>244.71</v>
      </c>
      <c r="O918" s="289">
        <f t="shared" si="125"/>
        <v>4.047968311650556</v>
      </c>
      <c r="P918" s="285">
        <f t="shared" si="126"/>
        <v>992.5139908423577</v>
      </c>
      <c r="Q918" s="291">
        <f t="shared" si="127"/>
        <v>242.87809869903336</v>
      </c>
      <c r="S918" s="87"/>
      <c r="T918" s="87"/>
    </row>
    <row r="919" spans="1:20" ht="12.75">
      <c r="A919" s="922"/>
      <c r="B919" s="232">
        <v>4</v>
      </c>
      <c r="C919" s="272" t="s">
        <v>748</v>
      </c>
      <c r="D919" s="232">
        <v>50</v>
      </c>
      <c r="E919" s="232" t="s">
        <v>506</v>
      </c>
      <c r="F919" s="288">
        <v>61.249</v>
      </c>
      <c r="G919" s="288">
        <v>7.437</v>
      </c>
      <c r="H919" s="288">
        <v>8</v>
      </c>
      <c r="I919" s="288">
        <v>45.812</v>
      </c>
      <c r="J919" s="302"/>
      <c r="K919" s="348">
        <f t="shared" si="123"/>
        <v>45.812</v>
      </c>
      <c r="L919" s="279">
        <v>2659.12</v>
      </c>
      <c r="M919" s="290">
        <f t="shared" si="124"/>
        <v>0.017228255964379192</v>
      </c>
      <c r="N919" s="285">
        <v>244.71</v>
      </c>
      <c r="O919" s="289">
        <f t="shared" si="125"/>
        <v>4.215926517043233</v>
      </c>
      <c r="P919" s="285">
        <f t="shared" si="126"/>
        <v>1033.6953578627515</v>
      </c>
      <c r="Q919" s="291">
        <f t="shared" si="127"/>
        <v>252.95559102259392</v>
      </c>
      <c r="S919" s="87"/>
      <c r="T919" s="87"/>
    </row>
    <row r="920" spans="1:20" ht="12.75">
      <c r="A920" s="922"/>
      <c r="B920" s="232">
        <v>5</v>
      </c>
      <c r="C920" s="272" t="s">
        <v>749</v>
      </c>
      <c r="D920" s="232">
        <v>60</v>
      </c>
      <c r="E920" s="232" t="s">
        <v>506</v>
      </c>
      <c r="F920" s="288">
        <v>68.459</v>
      </c>
      <c r="G920" s="288">
        <v>4.687</v>
      </c>
      <c r="H920" s="288">
        <v>9.6</v>
      </c>
      <c r="I920" s="288">
        <v>54.172</v>
      </c>
      <c r="J920" s="302"/>
      <c r="K920" s="348">
        <f t="shared" si="123"/>
        <v>54.172</v>
      </c>
      <c r="L920" s="279">
        <v>3132.08</v>
      </c>
      <c r="M920" s="290">
        <f t="shared" si="124"/>
        <v>0.017295854512017574</v>
      </c>
      <c r="N920" s="285">
        <v>244.71</v>
      </c>
      <c r="O920" s="289">
        <f t="shared" si="125"/>
        <v>4.232468557635821</v>
      </c>
      <c r="P920" s="285">
        <f t="shared" si="126"/>
        <v>1037.7512707210544</v>
      </c>
      <c r="Q920" s="291">
        <f t="shared" si="127"/>
        <v>253.9481134581492</v>
      </c>
      <c r="S920" s="87"/>
      <c r="T920" s="87"/>
    </row>
    <row r="921" spans="1:20" ht="12.75">
      <c r="A921" s="922"/>
      <c r="B921" s="232">
        <v>6</v>
      </c>
      <c r="C921" s="272" t="s">
        <v>750</v>
      </c>
      <c r="D921" s="232">
        <v>50</v>
      </c>
      <c r="E921" s="232" t="s">
        <v>506</v>
      </c>
      <c r="F921" s="288">
        <v>45.071</v>
      </c>
      <c r="G921" s="288">
        <v>2.923</v>
      </c>
      <c r="H921" s="288">
        <v>7.84</v>
      </c>
      <c r="I921" s="288">
        <v>34.308</v>
      </c>
      <c r="J921" s="302"/>
      <c r="K921" s="348">
        <f t="shared" si="123"/>
        <v>34.308</v>
      </c>
      <c r="L921" s="279">
        <v>1860.33</v>
      </c>
      <c r="M921" s="290">
        <f t="shared" si="124"/>
        <v>0.01844188934221348</v>
      </c>
      <c r="N921" s="285">
        <v>244.71</v>
      </c>
      <c r="O921" s="289">
        <f t="shared" si="125"/>
        <v>4.512914740933061</v>
      </c>
      <c r="P921" s="285">
        <f t="shared" si="126"/>
        <v>1106.5133605328087</v>
      </c>
      <c r="Q921" s="291">
        <f t="shared" si="127"/>
        <v>270.7748844559836</v>
      </c>
      <c r="S921" s="87"/>
      <c r="T921" s="87"/>
    </row>
    <row r="922" spans="1:20" ht="12.75">
      <c r="A922" s="922"/>
      <c r="B922" s="232">
        <v>7</v>
      </c>
      <c r="C922" s="272" t="s">
        <v>751</v>
      </c>
      <c r="D922" s="232">
        <v>26</v>
      </c>
      <c r="E922" s="232" t="s">
        <v>506</v>
      </c>
      <c r="F922" s="288">
        <v>32</v>
      </c>
      <c r="G922" s="288">
        <v>2.646</v>
      </c>
      <c r="H922" s="288">
        <v>4.16</v>
      </c>
      <c r="I922" s="288">
        <v>25.194</v>
      </c>
      <c r="J922" s="302"/>
      <c r="K922" s="348">
        <f t="shared" si="123"/>
        <v>25.194</v>
      </c>
      <c r="L922" s="279">
        <v>1345.35</v>
      </c>
      <c r="M922" s="290">
        <f t="shared" si="124"/>
        <v>0.018726725387445648</v>
      </c>
      <c r="N922" s="285">
        <v>244.71</v>
      </c>
      <c r="O922" s="289">
        <f t="shared" si="125"/>
        <v>4.582616969561824</v>
      </c>
      <c r="P922" s="285">
        <f t="shared" si="126"/>
        <v>1123.6035232467389</v>
      </c>
      <c r="Q922" s="291">
        <f t="shared" si="127"/>
        <v>274.95701817370946</v>
      </c>
      <c r="S922" s="87"/>
      <c r="T922" s="87"/>
    </row>
    <row r="923" spans="1:20" ht="12.75">
      <c r="A923" s="922"/>
      <c r="B923" s="232">
        <v>8</v>
      </c>
      <c r="C923" s="272" t="s">
        <v>752</v>
      </c>
      <c r="D923" s="232">
        <v>25</v>
      </c>
      <c r="E923" s="232" t="s">
        <v>506</v>
      </c>
      <c r="F923" s="288">
        <v>33.866</v>
      </c>
      <c r="G923" s="288">
        <v>3.3027</v>
      </c>
      <c r="H923" s="288">
        <v>4</v>
      </c>
      <c r="I923" s="288">
        <v>26.563</v>
      </c>
      <c r="J923" s="302"/>
      <c r="K923" s="348">
        <f t="shared" si="123"/>
        <v>26.563</v>
      </c>
      <c r="L923" s="279">
        <v>1389.64</v>
      </c>
      <c r="M923" s="290">
        <f t="shared" si="124"/>
        <v>0.0191150225957802</v>
      </c>
      <c r="N923" s="285">
        <v>244.71</v>
      </c>
      <c r="O923" s="289">
        <f t="shared" si="125"/>
        <v>4.677637179413373</v>
      </c>
      <c r="P923" s="285">
        <f t="shared" si="126"/>
        <v>1146.901355746812</v>
      </c>
      <c r="Q923" s="291">
        <f t="shared" si="127"/>
        <v>280.6582307648024</v>
      </c>
      <c r="S923" s="87"/>
      <c r="T923" s="87"/>
    </row>
    <row r="924" spans="1:20" ht="12.75">
      <c r="A924" s="923"/>
      <c r="B924" s="245">
        <v>9</v>
      </c>
      <c r="C924" s="272" t="s">
        <v>508</v>
      </c>
      <c r="D924" s="232">
        <v>40</v>
      </c>
      <c r="E924" s="232" t="s">
        <v>506</v>
      </c>
      <c r="F924" s="288">
        <v>56.445</v>
      </c>
      <c r="G924" s="288">
        <v>3.824</v>
      </c>
      <c r="H924" s="288">
        <v>6.4</v>
      </c>
      <c r="I924" s="288">
        <v>46.221</v>
      </c>
      <c r="J924" s="302"/>
      <c r="K924" s="348">
        <f t="shared" si="123"/>
        <v>46.221</v>
      </c>
      <c r="L924" s="279">
        <v>2272.52</v>
      </c>
      <c r="M924" s="290">
        <f t="shared" si="124"/>
        <v>0.0203390949254572</v>
      </c>
      <c r="N924" s="285">
        <v>244.71</v>
      </c>
      <c r="O924" s="289">
        <f t="shared" si="125"/>
        <v>4.9771799192086315</v>
      </c>
      <c r="P924" s="285">
        <f t="shared" si="126"/>
        <v>1220.3456955274319</v>
      </c>
      <c r="Q924" s="291">
        <f t="shared" si="127"/>
        <v>298.63079515251786</v>
      </c>
      <c r="S924" s="87"/>
      <c r="T924" s="87"/>
    </row>
    <row r="925" spans="1:20" ht="13.5" thickBot="1">
      <c r="A925" s="924"/>
      <c r="B925" s="246">
        <v>10</v>
      </c>
      <c r="C925" s="276" t="s">
        <v>507</v>
      </c>
      <c r="D925" s="246">
        <v>55</v>
      </c>
      <c r="E925" s="246" t="s">
        <v>506</v>
      </c>
      <c r="F925" s="292">
        <v>67.579</v>
      </c>
      <c r="G925" s="292">
        <v>4.956</v>
      </c>
      <c r="H925" s="292">
        <v>8.8</v>
      </c>
      <c r="I925" s="292">
        <v>53.823</v>
      </c>
      <c r="J925" s="874"/>
      <c r="K925" s="348">
        <f t="shared" si="123"/>
        <v>53.823</v>
      </c>
      <c r="L925" s="281">
        <v>2472.96</v>
      </c>
      <c r="M925" s="294">
        <f t="shared" si="124"/>
        <v>0.02176460597826087</v>
      </c>
      <c r="N925" s="293">
        <v>244.71</v>
      </c>
      <c r="O925" s="293">
        <f t="shared" si="125"/>
        <v>5.326016728940218</v>
      </c>
      <c r="P925" s="293">
        <f t="shared" si="126"/>
        <v>1305.8763586956522</v>
      </c>
      <c r="Q925" s="295">
        <f t="shared" si="127"/>
        <v>319.56100373641306</v>
      </c>
      <c r="S925" s="87"/>
      <c r="T925" s="87"/>
    </row>
    <row r="926" spans="1:20" ht="12.75">
      <c r="A926" s="884" t="s">
        <v>12</v>
      </c>
      <c r="B926" s="39">
        <v>1</v>
      </c>
      <c r="C926" s="238" t="s">
        <v>753</v>
      </c>
      <c r="D926" s="39">
        <v>43</v>
      </c>
      <c r="E926" s="80" t="s">
        <v>506</v>
      </c>
      <c r="F926" s="429">
        <v>26.75</v>
      </c>
      <c r="G926" s="429">
        <v>0</v>
      </c>
      <c r="H926" s="429">
        <v>0</v>
      </c>
      <c r="I926" s="429">
        <v>26.75</v>
      </c>
      <c r="J926" s="625"/>
      <c r="K926" s="429">
        <f t="shared" si="123"/>
        <v>26.75</v>
      </c>
      <c r="L926" s="357">
        <v>1068.56</v>
      </c>
      <c r="M926" s="226">
        <f t="shared" si="124"/>
        <v>0.025033690199895188</v>
      </c>
      <c r="N926" s="177">
        <v>244.71</v>
      </c>
      <c r="O926" s="177">
        <f t="shared" si="125"/>
        <v>6.125994328816351</v>
      </c>
      <c r="P926" s="177">
        <f t="shared" si="126"/>
        <v>1502.0214119937111</v>
      </c>
      <c r="Q926" s="305">
        <f t="shared" si="127"/>
        <v>367.5596597289811</v>
      </c>
      <c r="S926" s="87"/>
      <c r="T926" s="87"/>
    </row>
    <row r="927" spans="1:20" ht="12.75">
      <c r="A927" s="885"/>
      <c r="B927" s="80">
        <v>2</v>
      </c>
      <c r="C927" s="49" t="s">
        <v>398</v>
      </c>
      <c r="D927" s="41">
        <v>10</v>
      </c>
      <c r="E927" s="80" t="s">
        <v>506</v>
      </c>
      <c r="F927" s="185">
        <v>11.302</v>
      </c>
      <c r="G927" s="185">
        <v>1.02</v>
      </c>
      <c r="H927" s="185">
        <v>0.08</v>
      </c>
      <c r="I927" s="185">
        <v>10.202</v>
      </c>
      <c r="J927" s="401"/>
      <c r="K927" s="185">
        <f t="shared" si="123"/>
        <v>10.202</v>
      </c>
      <c r="L927" s="317">
        <v>400.21</v>
      </c>
      <c r="M927" s="227">
        <f t="shared" si="124"/>
        <v>0.02549161690112691</v>
      </c>
      <c r="N927" s="177">
        <v>244.71</v>
      </c>
      <c r="O927" s="310">
        <f t="shared" si="125"/>
        <v>6.238053571874767</v>
      </c>
      <c r="P927" s="177">
        <f t="shared" si="126"/>
        <v>1529.4970140676148</v>
      </c>
      <c r="Q927" s="311">
        <f t="shared" si="127"/>
        <v>374.28321431248605</v>
      </c>
      <c r="S927" s="87"/>
      <c r="T927" s="87"/>
    </row>
    <row r="928" spans="1:20" ht="12.75">
      <c r="A928" s="885"/>
      <c r="B928" s="80">
        <v>3</v>
      </c>
      <c r="C928" s="49" t="s">
        <v>509</v>
      </c>
      <c r="D928" s="41">
        <v>18</v>
      </c>
      <c r="E928" s="80" t="s">
        <v>506</v>
      </c>
      <c r="F928" s="185">
        <v>33.158</v>
      </c>
      <c r="G928" s="185">
        <v>0.731</v>
      </c>
      <c r="H928" s="185">
        <v>2.88</v>
      </c>
      <c r="I928" s="185">
        <v>29.547</v>
      </c>
      <c r="J928" s="401"/>
      <c r="K928" s="185">
        <f t="shared" si="123"/>
        <v>29.547</v>
      </c>
      <c r="L928" s="317">
        <v>1120.9</v>
      </c>
      <c r="M928" s="227">
        <f t="shared" si="124"/>
        <v>0.026360067802658576</v>
      </c>
      <c r="N928" s="177">
        <v>244.71</v>
      </c>
      <c r="O928" s="310">
        <f t="shared" si="125"/>
        <v>6.45057219198858</v>
      </c>
      <c r="P928" s="177">
        <f t="shared" si="126"/>
        <v>1581.6040681595146</v>
      </c>
      <c r="Q928" s="311">
        <f t="shared" si="127"/>
        <v>387.03433151931483</v>
      </c>
      <c r="S928" s="87"/>
      <c r="T928" s="87"/>
    </row>
    <row r="929" spans="1:20" ht="12.75">
      <c r="A929" s="886"/>
      <c r="B929" s="41">
        <v>4</v>
      </c>
      <c r="C929" s="49" t="s">
        <v>511</v>
      </c>
      <c r="D929" s="41">
        <v>19</v>
      </c>
      <c r="E929" s="80" t="s">
        <v>506</v>
      </c>
      <c r="F929" s="185">
        <v>30.057</v>
      </c>
      <c r="G929" s="185">
        <v>0.929</v>
      </c>
      <c r="H929" s="185">
        <v>3.04</v>
      </c>
      <c r="I929" s="185">
        <v>26.088</v>
      </c>
      <c r="J929" s="401"/>
      <c r="K929" s="185">
        <f t="shared" si="123"/>
        <v>26.088</v>
      </c>
      <c r="L929" s="317">
        <v>966.6</v>
      </c>
      <c r="M929" s="227">
        <f t="shared" si="124"/>
        <v>0.026989447548106768</v>
      </c>
      <c r="N929" s="177">
        <v>244.71</v>
      </c>
      <c r="O929" s="310">
        <f t="shared" si="125"/>
        <v>6.604587709497207</v>
      </c>
      <c r="P929" s="177">
        <f t="shared" si="126"/>
        <v>1619.366852886406</v>
      </c>
      <c r="Q929" s="311">
        <f t="shared" si="127"/>
        <v>396.27526256983236</v>
      </c>
      <c r="S929" s="87"/>
      <c r="T929" s="87"/>
    </row>
    <row r="930" spans="1:20" ht="12.75">
      <c r="A930" s="886"/>
      <c r="B930" s="41">
        <v>5</v>
      </c>
      <c r="C930" s="49" t="s">
        <v>510</v>
      </c>
      <c r="D930" s="41">
        <v>20</v>
      </c>
      <c r="E930" s="80" t="s">
        <v>506</v>
      </c>
      <c r="F930" s="185">
        <v>32.769</v>
      </c>
      <c r="G930" s="185">
        <v>0.453</v>
      </c>
      <c r="H930" s="185">
        <v>3.2</v>
      </c>
      <c r="I930" s="185">
        <v>29.116</v>
      </c>
      <c r="J930" s="401"/>
      <c r="K930" s="185">
        <f t="shared" si="123"/>
        <v>29.116</v>
      </c>
      <c r="L930" s="317">
        <v>1061.52</v>
      </c>
      <c r="M930" s="227">
        <f t="shared" si="124"/>
        <v>0.027428592961037005</v>
      </c>
      <c r="N930" s="177">
        <v>244.71</v>
      </c>
      <c r="O930" s="310">
        <f t="shared" si="125"/>
        <v>6.712050983495366</v>
      </c>
      <c r="P930" s="177">
        <f t="shared" si="126"/>
        <v>1645.7155776622203</v>
      </c>
      <c r="Q930" s="311">
        <f t="shared" si="127"/>
        <v>402.72305900972196</v>
      </c>
      <c r="S930" s="87"/>
      <c r="T930" s="87"/>
    </row>
    <row r="931" spans="1:20" ht="12.75">
      <c r="A931" s="886"/>
      <c r="B931" s="41">
        <v>6</v>
      </c>
      <c r="C931" s="49" t="s">
        <v>754</v>
      </c>
      <c r="D931" s="41">
        <v>8</v>
      </c>
      <c r="E931" s="80" t="s">
        <v>506</v>
      </c>
      <c r="F931" s="185">
        <v>10.793</v>
      </c>
      <c r="G931" s="185">
        <v>0</v>
      </c>
      <c r="H931" s="185">
        <v>0</v>
      </c>
      <c r="I931" s="185">
        <v>10.793</v>
      </c>
      <c r="J931" s="401"/>
      <c r="K931" s="185">
        <f t="shared" si="123"/>
        <v>10.793</v>
      </c>
      <c r="L931" s="317">
        <v>378.95</v>
      </c>
      <c r="M931" s="227">
        <f t="shared" si="124"/>
        <v>0.028481329990763953</v>
      </c>
      <c r="N931" s="177">
        <v>244.71</v>
      </c>
      <c r="O931" s="310">
        <f t="shared" si="125"/>
        <v>6.969666262039847</v>
      </c>
      <c r="P931" s="177">
        <f t="shared" si="126"/>
        <v>1708.879799445837</v>
      </c>
      <c r="Q931" s="311">
        <f t="shared" si="127"/>
        <v>418.1799757223908</v>
      </c>
      <c r="S931" s="87"/>
      <c r="T931" s="87"/>
    </row>
    <row r="932" spans="1:20" ht="12.75">
      <c r="A932" s="886"/>
      <c r="B932" s="41">
        <v>7</v>
      </c>
      <c r="C932" s="49" t="s">
        <v>512</v>
      </c>
      <c r="D932" s="41">
        <v>20</v>
      </c>
      <c r="E932" s="80" t="s">
        <v>506</v>
      </c>
      <c r="F932" s="185">
        <v>43.594</v>
      </c>
      <c r="G932" s="185">
        <v>0.34</v>
      </c>
      <c r="H932" s="185">
        <v>0.19</v>
      </c>
      <c r="I932" s="185">
        <v>43.064</v>
      </c>
      <c r="J932" s="401"/>
      <c r="K932" s="185">
        <f t="shared" si="123"/>
        <v>43.064</v>
      </c>
      <c r="L932" s="317">
        <v>1477.51</v>
      </c>
      <c r="M932" s="227">
        <f t="shared" si="124"/>
        <v>0.02914633403496423</v>
      </c>
      <c r="N932" s="177">
        <v>244.71</v>
      </c>
      <c r="O932" s="310">
        <f t="shared" si="125"/>
        <v>7.132399401696096</v>
      </c>
      <c r="P932" s="177">
        <f t="shared" si="126"/>
        <v>1748.7800420978535</v>
      </c>
      <c r="Q932" s="311">
        <f t="shared" si="127"/>
        <v>427.94396410176574</v>
      </c>
      <c r="S932" s="87"/>
      <c r="T932" s="87"/>
    </row>
    <row r="933" spans="1:20" ht="12.75">
      <c r="A933" s="886"/>
      <c r="B933" s="41">
        <v>8</v>
      </c>
      <c r="C933" s="49" t="s">
        <v>755</v>
      </c>
      <c r="D933" s="41">
        <v>8</v>
      </c>
      <c r="E933" s="80" t="s">
        <v>506</v>
      </c>
      <c r="F933" s="185">
        <v>12.338</v>
      </c>
      <c r="G933" s="185">
        <v>0</v>
      </c>
      <c r="H933" s="185">
        <v>0.03</v>
      </c>
      <c r="I933" s="185">
        <v>12.308</v>
      </c>
      <c r="J933" s="401"/>
      <c r="K933" s="185">
        <f t="shared" si="123"/>
        <v>12.308</v>
      </c>
      <c r="L933" s="317">
        <v>389.52</v>
      </c>
      <c r="M933" s="227">
        <f t="shared" si="124"/>
        <v>0.0315978640377901</v>
      </c>
      <c r="N933" s="177">
        <v>244.71</v>
      </c>
      <c r="O933" s="310">
        <f t="shared" si="125"/>
        <v>7.7323133086876155</v>
      </c>
      <c r="P933" s="177">
        <f t="shared" si="126"/>
        <v>1895.8718422674062</v>
      </c>
      <c r="Q933" s="311">
        <f t="shared" si="127"/>
        <v>463.938798521257</v>
      </c>
      <c r="S933" s="87"/>
      <c r="T933" s="87"/>
    </row>
    <row r="934" spans="1:20" ht="12.75">
      <c r="A934" s="886"/>
      <c r="B934" s="41">
        <v>9</v>
      </c>
      <c r="C934" s="49"/>
      <c r="D934" s="41"/>
      <c r="E934" s="41"/>
      <c r="F934" s="615"/>
      <c r="G934" s="615"/>
      <c r="H934" s="615"/>
      <c r="I934" s="615"/>
      <c r="J934" s="615"/>
      <c r="K934" s="616"/>
      <c r="L934" s="615"/>
      <c r="M934" s="56"/>
      <c r="N934" s="54"/>
      <c r="O934" s="70"/>
      <c r="P934" s="610"/>
      <c r="Q934" s="72"/>
      <c r="S934" s="87"/>
      <c r="T934" s="87"/>
    </row>
    <row r="935" spans="1:20" ht="13.5" thickBot="1">
      <c r="A935" s="887"/>
      <c r="B935" s="46">
        <v>10</v>
      </c>
      <c r="C935" s="79"/>
      <c r="D935" s="46"/>
      <c r="E935" s="46"/>
      <c r="F935" s="51"/>
      <c r="G935" s="51"/>
      <c r="H935" s="51"/>
      <c r="I935" s="51"/>
      <c r="J935" s="51"/>
      <c r="K935" s="51"/>
      <c r="L935" s="51"/>
      <c r="M935" s="81"/>
      <c r="N935" s="51"/>
      <c r="O935" s="76"/>
      <c r="P935" s="76"/>
      <c r="Q935" s="614"/>
      <c r="S935" s="87"/>
      <c r="T935" s="87"/>
    </row>
    <row r="936" spans="19:20" ht="12.75">
      <c r="S936" s="87"/>
      <c r="T936" s="87"/>
    </row>
    <row r="937" spans="1:20" ht="15">
      <c r="A937" s="906" t="s">
        <v>55</v>
      </c>
      <c r="B937" s="906"/>
      <c r="C937" s="906"/>
      <c r="D937" s="906"/>
      <c r="E937" s="906"/>
      <c r="F937" s="906"/>
      <c r="G937" s="906"/>
      <c r="H937" s="906"/>
      <c r="I937" s="906"/>
      <c r="J937" s="906"/>
      <c r="K937" s="906"/>
      <c r="L937" s="906"/>
      <c r="M937" s="906"/>
      <c r="N937" s="906"/>
      <c r="O937" s="906"/>
      <c r="P937" s="906"/>
      <c r="Q937" s="906"/>
      <c r="S937" s="87"/>
      <c r="T937" s="87"/>
    </row>
    <row r="938" spans="1:20" ht="13.5" thickBot="1">
      <c r="A938" s="935" t="s">
        <v>769</v>
      </c>
      <c r="B938" s="935"/>
      <c r="C938" s="935"/>
      <c r="D938" s="935"/>
      <c r="E938" s="935"/>
      <c r="F938" s="935"/>
      <c r="G938" s="935"/>
      <c r="H938" s="935"/>
      <c r="I938" s="935"/>
      <c r="J938" s="935"/>
      <c r="K938" s="935"/>
      <c r="L938" s="935"/>
      <c r="M938" s="935"/>
      <c r="N938" s="935"/>
      <c r="O938" s="935"/>
      <c r="P938" s="935"/>
      <c r="Q938" s="935"/>
      <c r="S938" s="87"/>
      <c r="T938" s="87"/>
    </row>
    <row r="939" spans="1:20" ht="12.75" customHeight="1">
      <c r="A939" s="890" t="s">
        <v>1</v>
      </c>
      <c r="B939" s="892" t="s">
        <v>0</v>
      </c>
      <c r="C939" s="888" t="s">
        <v>2</v>
      </c>
      <c r="D939" s="888" t="s">
        <v>3</v>
      </c>
      <c r="E939" s="888" t="s">
        <v>13</v>
      </c>
      <c r="F939" s="896" t="s">
        <v>14</v>
      </c>
      <c r="G939" s="897"/>
      <c r="H939" s="897"/>
      <c r="I939" s="898"/>
      <c r="J939" s="888" t="s">
        <v>4</v>
      </c>
      <c r="K939" s="888" t="s">
        <v>15</v>
      </c>
      <c r="L939" s="888" t="s">
        <v>5</v>
      </c>
      <c r="M939" s="888" t="s">
        <v>6</v>
      </c>
      <c r="N939" s="888" t="s">
        <v>16</v>
      </c>
      <c r="O939" s="949" t="s">
        <v>17</v>
      </c>
      <c r="P939" s="888" t="s">
        <v>25</v>
      </c>
      <c r="Q939" s="878" t="s">
        <v>26</v>
      </c>
      <c r="S939" s="87"/>
      <c r="T939" s="87"/>
    </row>
    <row r="940" spans="1:20" s="2" customFormat="1" ht="33.75">
      <c r="A940" s="891"/>
      <c r="B940" s="893"/>
      <c r="C940" s="894"/>
      <c r="D940" s="889"/>
      <c r="E940" s="889"/>
      <c r="F940" s="36" t="s">
        <v>18</v>
      </c>
      <c r="G940" s="36" t="s">
        <v>19</v>
      </c>
      <c r="H940" s="36" t="s">
        <v>20</v>
      </c>
      <c r="I940" s="36" t="s">
        <v>21</v>
      </c>
      <c r="J940" s="889"/>
      <c r="K940" s="889"/>
      <c r="L940" s="889"/>
      <c r="M940" s="889"/>
      <c r="N940" s="889"/>
      <c r="O940" s="950"/>
      <c r="P940" s="889"/>
      <c r="Q940" s="879"/>
      <c r="S940" s="87"/>
      <c r="T940" s="87"/>
    </row>
    <row r="941" spans="1:20" s="3" customFormat="1" ht="13.5" customHeight="1" thickBot="1">
      <c r="A941" s="945"/>
      <c r="B941" s="946"/>
      <c r="C941" s="895"/>
      <c r="D941" s="59" t="s">
        <v>7</v>
      </c>
      <c r="E941" s="59" t="s">
        <v>8</v>
      </c>
      <c r="F941" s="59" t="s">
        <v>9</v>
      </c>
      <c r="G941" s="59" t="s">
        <v>9</v>
      </c>
      <c r="H941" s="59" t="s">
        <v>9</v>
      </c>
      <c r="I941" s="59" t="s">
        <v>9</v>
      </c>
      <c r="J941" s="59" t="s">
        <v>22</v>
      </c>
      <c r="K941" s="59" t="s">
        <v>9</v>
      </c>
      <c r="L941" s="59" t="s">
        <v>22</v>
      </c>
      <c r="M941" s="59" t="s">
        <v>23</v>
      </c>
      <c r="N941" s="59" t="s">
        <v>10</v>
      </c>
      <c r="O941" s="59" t="s">
        <v>24</v>
      </c>
      <c r="P941" s="60" t="s">
        <v>27</v>
      </c>
      <c r="Q941" s="61" t="s">
        <v>28</v>
      </c>
      <c r="S941" s="87"/>
      <c r="T941" s="87"/>
    </row>
    <row r="942" spans="1:20" ht="12.75">
      <c r="A942" s="947" t="s">
        <v>11</v>
      </c>
      <c r="B942" s="30">
        <v>1</v>
      </c>
      <c r="C942" s="63" t="s">
        <v>513</v>
      </c>
      <c r="D942" s="62">
        <v>15</v>
      </c>
      <c r="E942" s="62"/>
      <c r="F942" s="249">
        <v>11.17</v>
      </c>
      <c r="G942" s="249">
        <v>1.37</v>
      </c>
      <c r="H942" s="249">
        <v>1.2</v>
      </c>
      <c r="I942" s="249">
        <v>8.59</v>
      </c>
      <c r="J942" s="622"/>
      <c r="K942" s="249">
        <f aca="true" t="shared" si="128" ref="K942:K948">I942</f>
        <v>8.59</v>
      </c>
      <c r="L942" s="93">
        <v>1104</v>
      </c>
      <c r="M942" s="251">
        <f aca="true" t="shared" si="129" ref="M942:M950">K942/L942</f>
        <v>0.007780797101449275</v>
      </c>
      <c r="N942" s="250">
        <v>229</v>
      </c>
      <c r="O942" s="252">
        <f aca="true" t="shared" si="130" ref="O942:O950">M942*N942</f>
        <v>1.781802536231884</v>
      </c>
      <c r="P942" s="252">
        <f aca="true" t="shared" si="131" ref="P942:P950">M942*60*1000</f>
        <v>466.8478260869565</v>
      </c>
      <c r="Q942" s="253">
        <f aca="true" t="shared" si="132" ref="Q942:Q950">P942*N942/1000</f>
        <v>106.90815217391304</v>
      </c>
      <c r="R942" s="6"/>
      <c r="S942" s="87"/>
      <c r="T942" s="87"/>
    </row>
    <row r="943" spans="1:20" ht="12.75">
      <c r="A943" s="928"/>
      <c r="B943" s="31">
        <v>2</v>
      </c>
      <c r="C943" s="16" t="s">
        <v>514</v>
      </c>
      <c r="D943" s="31">
        <v>73</v>
      </c>
      <c r="E943" s="31">
        <v>2007</v>
      </c>
      <c r="F943" s="146">
        <v>83.34</v>
      </c>
      <c r="G943" s="146">
        <v>7.2</v>
      </c>
      <c r="H943" s="146">
        <v>5.84</v>
      </c>
      <c r="I943" s="146">
        <v>68.154</v>
      </c>
      <c r="J943" s="174"/>
      <c r="K943" s="249">
        <f t="shared" si="128"/>
        <v>68.154</v>
      </c>
      <c r="L943" s="176">
        <v>5307.64</v>
      </c>
      <c r="M943" s="133">
        <f t="shared" si="129"/>
        <v>0.012840735242028471</v>
      </c>
      <c r="N943" s="250">
        <v>229</v>
      </c>
      <c r="O943" s="132">
        <f t="shared" si="130"/>
        <v>2.94052837042452</v>
      </c>
      <c r="P943" s="252">
        <f t="shared" si="131"/>
        <v>770.4441145217082</v>
      </c>
      <c r="Q943" s="134">
        <f t="shared" si="132"/>
        <v>176.43170222547118</v>
      </c>
      <c r="R943" s="6"/>
      <c r="S943" s="87"/>
      <c r="T943" s="87"/>
    </row>
    <row r="944" spans="1:20" ht="12.75">
      <c r="A944" s="928"/>
      <c r="B944" s="31">
        <v>3</v>
      </c>
      <c r="C944" s="16" t="s">
        <v>276</v>
      </c>
      <c r="D944" s="31">
        <v>60</v>
      </c>
      <c r="E944" s="31"/>
      <c r="F944" s="146">
        <v>59.3</v>
      </c>
      <c r="G944" s="146">
        <v>4.4</v>
      </c>
      <c r="H944" s="146">
        <v>9.44</v>
      </c>
      <c r="I944" s="146">
        <v>44.2</v>
      </c>
      <c r="J944" s="174"/>
      <c r="K944" s="249">
        <f t="shared" si="128"/>
        <v>44.2</v>
      </c>
      <c r="L944" s="176">
        <v>2723</v>
      </c>
      <c r="M944" s="133">
        <f t="shared" si="129"/>
        <v>0.016232096951891296</v>
      </c>
      <c r="N944" s="250">
        <v>229</v>
      </c>
      <c r="O944" s="132">
        <f t="shared" si="130"/>
        <v>3.717150201983107</v>
      </c>
      <c r="P944" s="252">
        <f t="shared" si="131"/>
        <v>973.9258171134778</v>
      </c>
      <c r="Q944" s="134">
        <f t="shared" si="132"/>
        <v>223.02901211898643</v>
      </c>
      <c r="R944" s="6"/>
      <c r="S944" s="87"/>
      <c r="T944" s="87"/>
    </row>
    <row r="945" spans="1:20" ht="12.75">
      <c r="A945" s="928"/>
      <c r="B945" s="31">
        <v>4</v>
      </c>
      <c r="C945" s="16" t="s">
        <v>275</v>
      </c>
      <c r="D945" s="31">
        <v>48</v>
      </c>
      <c r="E945" s="31"/>
      <c r="F945" s="146">
        <v>49.9</v>
      </c>
      <c r="G945" s="146">
        <v>3.46</v>
      </c>
      <c r="H945" s="146">
        <v>7.68</v>
      </c>
      <c r="I945" s="146">
        <v>38.8</v>
      </c>
      <c r="J945" s="174"/>
      <c r="K945" s="249">
        <f t="shared" si="128"/>
        <v>38.8</v>
      </c>
      <c r="L945" s="176">
        <v>2296</v>
      </c>
      <c r="M945" s="133">
        <f t="shared" si="129"/>
        <v>0.01689895470383275</v>
      </c>
      <c r="N945" s="250">
        <v>229</v>
      </c>
      <c r="O945" s="132">
        <f t="shared" si="130"/>
        <v>3.8698606271776996</v>
      </c>
      <c r="P945" s="252">
        <f t="shared" si="131"/>
        <v>1013.937282229965</v>
      </c>
      <c r="Q945" s="134">
        <f t="shared" si="132"/>
        <v>232.19163763066197</v>
      </c>
      <c r="R945" s="6"/>
      <c r="S945" s="87"/>
      <c r="T945" s="87"/>
    </row>
    <row r="946" spans="1:20" ht="12.75">
      <c r="A946" s="928"/>
      <c r="B946" s="31">
        <v>5</v>
      </c>
      <c r="C946" s="16" t="s">
        <v>399</v>
      </c>
      <c r="D946" s="31">
        <v>60</v>
      </c>
      <c r="E946" s="31"/>
      <c r="F946" s="146">
        <v>62.6</v>
      </c>
      <c r="G946" s="146">
        <v>4</v>
      </c>
      <c r="H946" s="146">
        <v>9.44</v>
      </c>
      <c r="I946" s="146">
        <v>47.8</v>
      </c>
      <c r="J946" s="174"/>
      <c r="K946" s="249">
        <f t="shared" si="128"/>
        <v>47.8</v>
      </c>
      <c r="L946" s="176">
        <v>2712</v>
      </c>
      <c r="M946" s="133">
        <f t="shared" si="129"/>
        <v>0.01762536873156342</v>
      </c>
      <c r="N946" s="250">
        <v>229</v>
      </c>
      <c r="O946" s="132">
        <f t="shared" si="130"/>
        <v>4.036209439528023</v>
      </c>
      <c r="P946" s="252">
        <f t="shared" si="131"/>
        <v>1057.5221238938052</v>
      </c>
      <c r="Q946" s="134">
        <f t="shared" si="132"/>
        <v>242.1725663716814</v>
      </c>
      <c r="R946" s="6"/>
      <c r="S946" s="87"/>
      <c r="T946" s="87"/>
    </row>
    <row r="947" spans="1:20" ht="12.75">
      <c r="A947" s="928"/>
      <c r="B947" s="31">
        <v>6</v>
      </c>
      <c r="C947" s="16" t="s">
        <v>756</v>
      </c>
      <c r="D947" s="31">
        <v>48</v>
      </c>
      <c r="E947" s="31"/>
      <c r="F947" s="146">
        <v>54.18</v>
      </c>
      <c r="G947" s="146">
        <v>3.77</v>
      </c>
      <c r="H947" s="146">
        <v>7.52</v>
      </c>
      <c r="I947" s="146">
        <v>41.8</v>
      </c>
      <c r="J947" s="174"/>
      <c r="K947" s="249">
        <f t="shared" si="128"/>
        <v>41.8</v>
      </c>
      <c r="L947" s="176">
        <v>2296</v>
      </c>
      <c r="M947" s="133">
        <f t="shared" si="129"/>
        <v>0.018205574912891986</v>
      </c>
      <c r="N947" s="250">
        <v>229</v>
      </c>
      <c r="O947" s="132">
        <f t="shared" si="130"/>
        <v>4.169076655052265</v>
      </c>
      <c r="P947" s="252">
        <f t="shared" si="131"/>
        <v>1092.3344947735193</v>
      </c>
      <c r="Q947" s="134">
        <f t="shared" si="132"/>
        <v>250.14459930313592</v>
      </c>
      <c r="R947" s="6"/>
      <c r="S947" s="87"/>
      <c r="T947" s="87"/>
    </row>
    <row r="948" spans="1:20" ht="12.75">
      <c r="A948" s="928"/>
      <c r="B948" s="31">
        <v>7</v>
      </c>
      <c r="C948" s="16" t="s">
        <v>515</v>
      </c>
      <c r="D948" s="31">
        <v>48</v>
      </c>
      <c r="E948" s="31"/>
      <c r="F948" s="146">
        <v>54.6</v>
      </c>
      <c r="G948" s="146">
        <v>4.69</v>
      </c>
      <c r="H948" s="146">
        <v>7.68</v>
      </c>
      <c r="I948" s="146">
        <v>42.2</v>
      </c>
      <c r="J948" s="174"/>
      <c r="K948" s="249">
        <f t="shared" si="128"/>
        <v>42.2</v>
      </c>
      <c r="L948" s="176">
        <v>2297</v>
      </c>
      <c r="M948" s="133">
        <f t="shared" si="129"/>
        <v>0.018371789290378755</v>
      </c>
      <c r="N948" s="250">
        <v>229</v>
      </c>
      <c r="O948" s="132">
        <f t="shared" si="130"/>
        <v>4.207139747496735</v>
      </c>
      <c r="P948" s="252">
        <f t="shared" si="131"/>
        <v>1102.3073574227253</v>
      </c>
      <c r="Q948" s="134">
        <f t="shared" si="132"/>
        <v>252.4283848498041</v>
      </c>
      <c r="R948" s="6"/>
      <c r="S948" s="87"/>
      <c r="T948" s="87"/>
    </row>
    <row r="949" spans="1:20" ht="12.75">
      <c r="A949" s="928"/>
      <c r="B949" s="31">
        <v>8</v>
      </c>
      <c r="C949" s="16" t="s">
        <v>757</v>
      </c>
      <c r="D949" s="31">
        <v>60</v>
      </c>
      <c r="E949" s="31"/>
      <c r="F949" s="146">
        <v>74.9</v>
      </c>
      <c r="G949" s="146">
        <v>5</v>
      </c>
      <c r="H949" s="146">
        <v>9.44</v>
      </c>
      <c r="I949" s="146">
        <v>89</v>
      </c>
      <c r="J949" s="174"/>
      <c r="K949" s="249">
        <v>59</v>
      </c>
      <c r="L949" s="176">
        <v>3133</v>
      </c>
      <c r="M949" s="133">
        <f t="shared" si="129"/>
        <v>0.01883179061602298</v>
      </c>
      <c r="N949" s="250">
        <v>229</v>
      </c>
      <c r="O949" s="132">
        <f t="shared" si="130"/>
        <v>4.3124800510692625</v>
      </c>
      <c r="P949" s="252">
        <f t="shared" si="131"/>
        <v>1129.9074369613788</v>
      </c>
      <c r="Q949" s="134">
        <f t="shared" si="132"/>
        <v>258.74880306415577</v>
      </c>
      <c r="R949" s="6"/>
      <c r="S949" s="87"/>
      <c r="T949" s="87"/>
    </row>
    <row r="950" spans="1:20" ht="12.75">
      <c r="A950" s="928"/>
      <c r="B950" s="31">
        <v>9</v>
      </c>
      <c r="C950" s="16" t="s">
        <v>758</v>
      </c>
      <c r="D950" s="31">
        <v>60</v>
      </c>
      <c r="E950" s="31"/>
      <c r="F950" s="146">
        <v>86.89</v>
      </c>
      <c r="G950" s="146">
        <v>6.47</v>
      </c>
      <c r="H950" s="146">
        <v>9.44</v>
      </c>
      <c r="I950" s="146">
        <v>69.2</v>
      </c>
      <c r="J950" s="174"/>
      <c r="K950" s="249">
        <f>I950</f>
        <v>69.2</v>
      </c>
      <c r="L950" s="176">
        <v>3251</v>
      </c>
      <c r="M950" s="133">
        <f t="shared" si="129"/>
        <v>0.021285758228237465</v>
      </c>
      <c r="N950" s="250">
        <v>229</v>
      </c>
      <c r="O950" s="132">
        <f t="shared" si="130"/>
        <v>4.8744386342663795</v>
      </c>
      <c r="P950" s="252">
        <f t="shared" si="131"/>
        <v>1277.145493694248</v>
      </c>
      <c r="Q950" s="134">
        <f t="shared" si="132"/>
        <v>292.4663180559828</v>
      </c>
      <c r="R950" s="6"/>
      <c r="S950" s="87"/>
      <c r="T950" s="87"/>
    </row>
    <row r="951" spans="1:20" ht="13.5" thickBot="1">
      <c r="A951" s="929"/>
      <c r="B951" s="64">
        <v>10</v>
      </c>
      <c r="C951" s="65"/>
      <c r="D951" s="64"/>
      <c r="E951" s="64"/>
      <c r="F951" s="216"/>
      <c r="G951" s="216"/>
      <c r="H951" s="216"/>
      <c r="I951" s="216"/>
      <c r="J951" s="623"/>
      <c r="K951" s="249"/>
      <c r="L951" s="334"/>
      <c r="M951" s="136"/>
      <c r="N951" s="553"/>
      <c r="O951" s="461"/>
      <c r="P951" s="135"/>
      <c r="Q951" s="137"/>
      <c r="R951" s="6"/>
      <c r="S951" s="87"/>
      <c r="T951" s="87"/>
    </row>
    <row r="952" spans="1:20" ht="11.25" customHeight="1">
      <c r="A952" s="938" t="s">
        <v>29</v>
      </c>
      <c r="B952" s="67">
        <v>1</v>
      </c>
      <c r="C952" s="34" t="s">
        <v>759</v>
      </c>
      <c r="D952" s="35">
        <v>36</v>
      </c>
      <c r="E952" s="35"/>
      <c r="F952" s="262">
        <v>64.77</v>
      </c>
      <c r="G952" s="262">
        <v>3.97</v>
      </c>
      <c r="H952" s="262">
        <v>8.64</v>
      </c>
      <c r="I952" s="263">
        <v>52.16</v>
      </c>
      <c r="J952" s="634"/>
      <c r="K952" s="262">
        <f aca="true" t="shared" si="133" ref="K952:K969">I952</f>
        <v>52.16</v>
      </c>
      <c r="L952" s="432">
        <v>2219</v>
      </c>
      <c r="M952" s="147">
        <f aca="true" t="shared" si="134" ref="M952:M969">K952/L952</f>
        <v>0.023506083821541235</v>
      </c>
      <c r="N952" s="264">
        <v>229</v>
      </c>
      <c r="O952" s="148">
        <f aca="true" t="shared" si="135" ref="O952:O969">M952*N952</f>
        <v>5.382893195132943</v>
      </c>
      <c r="P952" s="148">
        <f aca="true" t="shared" si="136" ref="P952:P969">M952*60*1000</f>
        <v>1410.365029292474</v>
      </c>
      <c r="Q952" s="170">
        <f aca="true" t="shared" si="137" ref="Q952:Q969">P952*N952/1000</f>
        <v>322.97359170797654</v>
      </c>
      <c r="R952" s="6"/>
      <c r="S952" s="87"/>
      <c r="T952" s="87"/>
    </row>
    <row r="953" spans="1:20" ht="12.75" customHeight="1">
      <c r="A953" s="939"/>
      <c r="B953" s="35">
        <v>2</v>
      </c>
      <c r="C953" s="34" t="s">
        <v>760</v>
      </c>
      <c r="D953" s="35">
        <v>60</v>
      </c>
      <c r="E953" s="35"/>
      <c r="F953" s="263">
        <v>93</v>
      </c>
      <c r="G953" s="263">
        <v>6.1</v>
      </c>
      <c r="H953" s="263">
        <v>9.44</v>
      </c>
      <c r="I953" s="263">
        <v>77.5</v>
      </c>
      <c r="J953" s="266"/>
      <c r="K953" s="263">
        <f t="shared" si="133"/>
        <v>77.5</v>
      </c>
      <c r="L953" s="118">
        <v>3213</v>
      </c>
      <c r="M953" s="147">
        <f t="shared" si="134"/>
        <v>0.024120759414877062</v>
      </c>
      <c r="N953" s="148">
        <v>229</v>
      </c>
      <c r="O953" s="148">
        <f t="shared" si="135"/>
        <v>5.523653906006847</v>
      </c>
      <c r="P953" s="148">
        <f t="shared" si="136"/>
        <v>1447.2455648926236</v>
      </c>
      <c r="Q953" s="170">
        <f t="shared" si="137"/>
        <v>331.4192343604108</v>
      </c>
      <c r="R953" s="6"/>
      <c r="S953" s="87"/>
      <c r="T953" s="87"/>
    </row>
    <row r="954" spans="1:20" ht="12.75" customHeight="1">
      <c r="A954" s="939"/>
      <c r="B954" s="35">
        <v>3</v>
      </c>
      <c r="C954" s="34" t="s">
        <v>761</v>
      </c>
      <c r="D954" s="35">
        <v>20</v>
      </c>
      <c r="E954" s="35"/>
      <c r="F954" s="263">
        <v>31.5</v>
      </c>
      <c r="G954" s="263">
        <v>2</v>
      </c>
      <c r="H954" s="263">
        <v>3.2</v>
      </c>
      <c r="I954" s="263">
        <v>26.3</v>
      </c>
      <c r="J954" s="266"/>
      <c r="K954" s="263">
        <f t="shared" si="133"/>
        <v>26.3</v>
      </c>
      <c r="L954" s="118">
        <v>1074</v>
      </c>
      <c r="M954" s="139">
        <f t="shared" si="134"/>
        <v>0.024487895716945998</v>
      </c>
      <c r="N954" s="148">
        <v>229</v>
      </c>
      <c r="O954" s="148">
        <f t="shared" si="135"/>
        <v>5.607728119180633</v>
      </c>
      <c r="P954" s="148">
        <f t="shared" si="136"/>
        <v>1469.27374301676</v>
      </c>
      <c r="Q954" s="168">
        <f t="shared" si="137"/>
        <v>336.46368715083804</v>
      </c>
      <c r="R954" s="6"/>
      <c r="S954" s="87"/>
      <c r="T954" s="87"/>
    </row>
    <row r="955" spans="1:20" ht="12.75" customHeight="1">
      <c r="A955" s="939"/>
      <c r="B955" s="35">
        <v>4</v>
      </c>
      <c r="C955" s="34" t="s">
        <v>762</v>
      </c>
      <c r="D955" s="35">
        <v>36</v>
      </c>
      <c r="E955" s="35"/>
      <c r="F955" s="263">
        <v>68.27</v>
      </c>
      <c r="G955" s="263">
        <v>3.7</v>
      </c>
      <c r="H955" s="263">
        <v>8.64</v>
      </c>
      <c r="I955" s="263">
        <v>55.9</v>
      </c>
      <c r="J955" s="266"/>
      <c r="K955" s="263">
        <f t="shared" si="133"/>
        <v>55.9</v>
      </c>
      <c r="L955" s="118">
        <v>2231</v>
      </c>
      <c r="M955" s="139">
        <f t="shared" si="134"/>
        <v>0.025056028686687583</v>
      </c>
      <c r="N955" s="148">
        <v>229</v>
      </c>
      <c r="O955" s="138">
        <f t="shared" si="135"/>
        <v>5.737830569251456</v>
      </c>
      <c r="P955" s="148">
        <f t="shared" si="136"/>
        <v>1503.3617212012548</v>
      </c>
      <c r="Q955" s="168">
        <f t="shared" si="137"/>
        <v>344.2698341550874</v>
      </c>
      <c r="R955" s="6"/>
      <c r="S955" s="87"/>
      <c r="T955" s="87"/>
    </row>
    <row r="956" spans="1:20" ht="12.75" customHeight="1">
      <c r="A956" s="939"/>
      <c r="B956" s="35">
        <v>5</v>
      </c>
      <c r="C956" s="34" t="s">
        <v>763</v>
      </c>
      <c r="D956" s="35">
        <v>20</v>
      </c>
      <c r="E956" s="35"/>
      <c r="F956" s="263">
        <v>33.39</v>
      </c>
      <c r="G956" s="263">
        <v>2.19</v>
      </c>
      <c r="H956" s="263">
        <v>3.2</v>
      </c>
      <c r="I956" s="263">
        <v>28</v>
      </c>
      <c r="J956" s="266"/>
      <c r="K956" s="263">
        <f t="shared" si="133"/>
        <v>28</v>
      </c>
      <c r="L956" s="118">
        <v>1071</v>
      </c>
      <c r="M956" s="139">
        <f t="shared" si="134"/>
        <v>0.026143790849673203</v>
      </c>
      <c r="N956" s="148">
        <v>229</v>
      </c>
      <c r="O956" s="138">
        <f t="shared" si="135"/>
        <v>5.9869281045751634</v>
      </c>
      <c r="P956" s="148">
        <f t="shared" si="136"/>
        <v>1568.627450980392</v>
      </c>
      <c r="Q956" s="168">
        <f t="shared" si="137"/>
        <v>359.2156862745098</v>
      </c>
      <c r="R956" s="6"/>
      <c r="S956" s="87"/>
      <c r="T956" s="87"/>
    </row>
    <row r="957" spans="1:20" ht="12.75" customHeight="1">
      <c r="A957" s="939"/>
      <c r="B957" s="35">
        <v>6</v>
      </c>
      <c r="C957" s="34" t="s">
        <v>764</v>
      </c>
      <c r="D957" s="35">
        <v>36</v>
      </c>
      <c r="E957" s="35"/>
      <c r="F957" s="263">
        <v>68.8</v>
      </c>
      <c r="G957" s="263">
        <v>2.8</v>
      </c>
      <c r="H957" s="263">
        <v>8.4</v>
      </c>
      <c r="I957" s="263">
        <v>51.99</v>
      </c>
      <c r="J957" s="266"/>
      <c r="K957" s="263">
        <f t="shared" si="133"/>
        <v>51.99</v>
      </c>
      <c r="L957" s="118">
        <v>1978</v>
      </c>
      <c r="M957" s="139">
        <f t="shared" si="134"/>
        <v>0.02628412537917088</v>
      </c>
      <c r="N957" s="148">
        <v>229</v>
      </c>
      <c r="O957" s="138">
        <f t="shared" si="135"/>
        <v>6.019064711830132</v>
      </c>
      <c r="P957" s="148">
        <f t="shared" si="136"/>
        <v>1577.0475227502527</v>
      </c>
      <c r="Q957" s="168">
        <f t="shared" si="137"/>
        <v>361.1438827098079</v>
      </c>
      <c r="R957" s="6"/>
      <c r="S957" s="87"/>
      <c r="T957" s="87"/>
    </row>
    <row r="958" spans="1:20" ht="12.75" customHeight="1">
      <c r="A958" s="939"/>
      <c r="B958" s="35">
        <v>7</v>
      </c>
      <c r="C958" s="34" t="s">
        <v>517</v>
      </c>
      <c r="D958" s="35">
        <v>20</v>
      </c>
      <c r="E958" s="35"/>
      <c r="F958" s="263">
        <v>32.77</v>
      </c>
      <c r="G958" s="263">
        <v>1.78</v>
      </c>
      <c r="H958" s="263">
        <v>3.2</v>
      </c>
      <c r="I958" s="263">
        <v>27.78</v>
      </c>
      <c r="J958" s="266"/>
      <c r="K958" s="263">
        <f t="shared" si="133"/>
        <v>27.78</v>
      </c>
      <c r="L958" s="118">
        <v>1042</v>
      </c>
      <c r="M958" s="139">
        <f t="shared" si="134"/>
        <v>0.026660268714011517</v>
      </c>
      <c r="N958" s="148">
        <v>229</v>
      </c>
      <c r="O958" s="138">
        <f t="shared" si="135"/>
        <v>6.1052015355086375</v>
      </c>
      <c r="P958" s="148">
        <f t="shared" si="136"/>
        <v>1599.616122840691</v>
      </c>
      <c r="Q958" s="168">
        <f t="shared" si="137"/>
        <v>366.3120921305183</v>
      </c>
      <c r="R958" s="6"/>
      <c r="S958" s="87"/>
      <c r="T958" s="87"/>
    </row>
    <row r="959" spans="1:20" ht="12.75" customHeight="1">
      <c r="A959" s="939"/>
      <c r="B959" s="35">
        <v>8</v>
      </c>
      <c r="C959" s="34" t="s">
        <v>516</v>
      </c>
      <c r="D959" s="35">
        <v>20</v>
      </c>
      <c r="E959" s="35"/>
      <c r="F959" s="263">
        <v>34.81</v>
      </c>
      <c r="G959" s="263">
        <v>2.9</v>
      </c>
      <c r="H959" s="263">
        <v>3.2</v>
      </c>
      <c r="I959" s="263">
        <v>27.77</v>
      </c>
      <c r="J959" s="266"/>
      <c r="K959" s="263">
        <f t="shared" si="133"/>
        <v>27.77</v>
      </c>
      <c r="L959" s="118">
        <v>1030</v>
      </c>
      <c r="M959" s="139">
        <f t="shared" si="134"/>
        <v>0.02696116504854369</v>
      </c>
      <c r="N959" s="148">
        <v>229</v>
      </c>
      <c r="O959" s="138">
        <f t="shared" si="135"/>
        <v>6.174106796116504</v>
      </c>
      <c r="P959" s="148">
        <f t="shared" si="136"/>
        <v>1617.6699029126214</v>
      </c>
      <c r="Q959" s="168">
        <f t="shared" si="137"/>
        <v>370.4464077669903</v>
      </c>
      <c r="R959" s="6"/>
      <c r="S959" s="87"/>
      <c r="T959" s="87"/>
    </row>
    <row r="960" spans="1:20" ht="13.5" customHeight="1">
      <c r="A960" s="939"/>
      <c r="B960" s="35">
        <v>9</v>
      </c>
      <c r="C960" s="34" t="s">
        <v>518</v>
      </c>
      <c r="D960" s="35">
        <v>20</v>
      </c>
      <c r="E960" s="35"/>
      <c r="F960" s="263">
        <v>33.68</v>
      </c>
      <c r="G960" s="263">
        <v>1.68</v>
      </c>
      <c r="H960" s="263">
        <v>3.2</v>
      </c>
      <c r="I960" s="263">
        <v>28.8</v>
      </c>
      <c r="J960" s="266"/>
      <c r="K960" s="263">
        <f t="shared" si="133"/>
        <v>28.8</v>
      </c>
      <c r="L960" s="118">
        <v>1052</v>
      </c>
      <c r="M960" s="139">
        <f t="shared" si="134"/>
        <v>0.02737642585551331</v>
      </c>
      <c r="N960" s="148">
        <v>229</v>
      </c>
      <c r="O960" s="138">
        <f t="shared" si="135"/>
        <v>6.269201520912548</v>
      </c>
      <c r="P960" s="148">
        <f t="shared" si="136"/>
        <v>1642.5855513307986</v>
      </c>
      <c r="Q960" s="168">
        <f t="shared" si="137"/>
        <v>376.15209125475286</v>
      </c>
      <c r="R960" s="6"/>
      <c r="S960" s="87"/>
      <c r="T960" s="87"/>
    </row>
    <row r="961" spans="1:20" ht="13.5" customHeight="1" thickBot="1">
      <c r="A961" s="940"/>
      <c r="B961" s="38">
        <v>10</v>
      </c>
      <c r="C961" s="83" t="s">
        <v>765</v>
      </c>
      <c r="D961" s="38">
        <v>36</v>
      </c>
      <c r="E961" s="38"/>
      <c r="F961" s="265">
        <v>75.02</v>
      </c>
      <c r="G961" s="265">
        <v>2.9</v>
      </c>
      <c r="H961" s="265">
        <v>8.64</v>
      </c>
      <c r="I961" s="265">
        <v>63.4</v>
      </c>
      <c r="J961" s="417"/>
      <c r="K961" s="265">
        <f t="shared" si="133"/>
        <v>63.4</v>
      </c>
      <c r="L961" s="184">
        <v>2072</v>
      </c>
      <c r="M961" s="218">
        <f t="shared" si="134"/>
        <v>0.030598455598455598</v>
      </c>
      <c r="N961" s="171">
        <v>229</v>
      </c>
      <c r="O961" s="171">
        <f t="shared" si="135"/>
        <v>7.007046332046332</v>
      </c>
      <c r="P961" s="171">
        <f t="shared" si="136"/>
        <v>1835.907335907336</v>
      </c>
      <c r="Q961" s="172">
        <f t="shared" si="137"/>
        <v>420.42277992277997</v>
      </c>
      <c r="R961" s="6"/>
      <c r="S961" s="87"/>
      <c r="T961" s="87"/>
    </row>
    <row r="962" spans="1:20" ht="12.75">
      <c r="A962" s="1046" t="s">
        <v>30</v>
      </c>
      <c r="B962" s="280">
        <v>1</v>
      </c>
      <c r="C962" s="270" t="s">
        <v>277</v>
      </c>
      <c r="D962" s="231">
        <v>20</v>
      </c>
      <c r="E962" s="231"/>
      <c r="F962" s="423">
        <v>37.37</v>
      </c>
      <c r="G962" s="423">
        <v>1.73</v>
      </c>
      <c r="H962" s="423">
        <v>3.2</v>
      </c>
      <c r="I962" s="423">
        <v>32.4</v>
      </c>
      <c r="J962" s="624"/>
      <c r="K962" s="423">
        <f t="shared" si="133"/>
        <v>32.4</v>
      </c>
      <c r="L962" s="356">
        <v>1058</v>
      </c>
      <c r="M962" s="286">
        <f t="shared" si="134"/>
        <v>0.030623818525519847</v>
      </c>
      <c r="N962" s="285">
        <v>229</v>
      </c>
      <c r="O962" s="285">
        <f t="shared" si="135"/>
        <v>7.012854442344045</v>
      </c>
      <c r="P962" s="285">
        <f t="shared" si="136"/>
        <v>1837.4291115311908</v>
      </c>
      <c r="Q962" s="287">
        <f t="shared" si="137"/>
        <v>420.7712665406427</v>
      </c>
      <c r="R962" s="6"/>
      <c r="S962" s="87"/>
      <c r="T962" s="87"/>
    </row>
    <row r="963" spans="1:20" ht="12.75">
      <c r="A963" s="922"/>
      <c r="B963" s="232">
        <v>2</v>
      </c>
      <c r="C963" s="272" t="s">
        <v>519</v>
      </c>
      <c r="D963" s="232">
        <v>20</v>
      </c>
      <c r="E963" s="232"/>
      <c r="F963" s="288">
        <v>38</v>
      </c>
      <c r="G963" s="288">
        <v>2.3</v>
      </c>
      <c r="H963" s="288">
        <v>3.2</v>
      </c>
      <c r="I963" s="288">
        <v>32.62</v>
      </c>
      <c r="J963" s="302"/>
      <c r="K963" s="288">
        <f t="shared" si="133"/>
        <v>32.62</v>
      </c>
      <c r="L963" s="279">
        <v>1059</v>
      </c>
      <c r="M963" s="290">
        <f t="shared" si="134"/>
        <v>0.030802644003777146</v>
      </c>
      <c r="N963" s="285">
        <v>229</v>
      </c>
      <c r="O963" s="289">
        <f t="shared" si="135"/>
        <v>7.053805476864967</v>
      </c>
      <c r="P963" s="285">
        <f t="shared" si="136"/>
        <v>1848.158640226629</v>
      </c>
      <c r="Q963" s="291">
        <f t="shared" si="137"/>
        <v>423.228328611898</v>
      </c>
      <c r="R963" s="6"/>
      <c r="S963" s="87"/>
      <c r="T963" s="87"/>
    </row>
    <row r="964" spans="1:20" ht="12.75">
      <c r="A964" s="922"/>
      <c r="B964" s="232">
        <v>3</v>
      </c>
      <c r="C964" s="272" t="s">
        <v>400</v>
      </c>
      <c r="D964" s="232">
        <v>20</v>
      </c>
      <c r="E964" s="232"/>
      <c r="F964" s="288">
        <v>36.05</v>
      </c>
      <c r="G964" s="288">
        <v>1.53</v>
      </c>
      <c r="H964" s="288">
        <v>3.2</v>
      </c>
      <c r="I964" s="288">
        <v>31.3</v>
      </c>
      <c r="J964" s="302"/>
      <c r="K964" s="288">
        <f t="shared" si="133"/>
        <v>31.3</v>
      </c>
      <c r="L964" s="279">
        <v>1013</v>
      </c>
      <c r="M964" s="290">
        <f t="shared" si="134"/>
        <v>0.03089832181638697</v>
      </c>
      <c r="N964" s="285">
        <v>229</v>
      </c>
      <c r="O964" s="289">
        <f t="shared" si="135"/>
        <v>7.075715695952616</v>
      </c>
      <c r="P964" s="285">
        <f t="shared" si="136"/>
        <v>1853.8993089832184</v>
      </c>
      <c r="Q964" s="291">
        <f t="shared" si="137"/>
        <v>424.542941757157</v>
      </c>
      <c r="R964" s="6"/>
      <c r="S964" s="87"/>
      <c r="T964" s="87"/>
    </row>
    <row r="965" spans="1:20" ht="12.75">
      <c r="A965" s="922"/>
      <c r="B965" s="232">
        <v>4</v>
      </c>
      <c r="C965" s="272" t="s">
        <v>766</v>
      </c>
      <c r="D965" s="232">
        <v>20</v>
      </c>
      <c r="E965" s="232"/>
      <c r="F965" s="288">
        <v>38.2</v>
      </c>
      <c r="G965" s="288">
        <v>1.58</v>
      </c>
      <c r="H965" s="288">
        <v>3.2</v>
      </c>
      <c r="I965" s="288">
        <v>33.5</v>
      </c>
      <c r="J965" s="302"/>
      <c r="K965" s="288">
        <f t="shared" si="133"/>
        <v>33.5</v>
      </c>
      <c r="L965" s="279">
        <v>1083</v>
      </c>
      <c r="M965" s="290">
        <f t="shared" si="134"/>
        <v>0.030932594644506</v>
      </c>
      <c r="N965" s="285">
        <v>229</v>
      </c>
      <c r="O965" s="289">
        <f t="shared" si="135"/>
        <v>7.083564173591874</v>
      </c>
      <c r="P965" s="285">
        <f t="shared" si="136"/>
        <v>1855.9556786703602</v>
      </c>
      <c r="Q965" s="291">
        <f t="shared" si="137"/>
        <v>425.0138504155125</v>
      </c>
      <c r="R965" s="6"/>
      <c r="S965" s="87"/>
      <c r="T965" s="87"/>
    </row>
    <row r="966" spans="1:20" ht="12.75">
      <c r="A966" s="922"/>
      <c r="B966" s="232">
        <v>5</v>
      </c>
      <c r="C966" s="272" t="s">
        <v>767</v>
      </c>
      <c r="D966" s="232">
        <v>20</v>
      </c>
      <c r="E966" s="232"/>
      <c r="F966" s="288">
        <v>37.6</v>
      </c>
      <c r="G966" s="288">
        <v>2.4</v>
      </c>
      <c r="H966" s="288">
        <v>3.2</v>
      </c>
      <c r="I966" s="288">
        <v>31.9</v>
      </c>
      <c r="J966" s="302"/>
      <c r="K966" s="288">
        <f t="shared" si="133"/>
        <v>31.9</v>
      </c>
      <c r="L966" s="279">
        <v>1019</v>
      </c>
      <c r="M966" s="290">
        <f t="shared" si="134"/>
        <v>0.03130520117762512</v>
      </c>
      <c r="N966" s="285">
        <v>229</v>
      </c>
      <c r="O966" s="289">
        <f t="shared" si="135"/>
        <v>7.168891069676152</v>
      </c>
      <c r="P966" s="285">
        <f t="shared" si="136"/>
        <v>1878.312070657507</v>
      </c>
      <c r="Q966" s="291">
        <f t="shared" si="137"/>
        <v>430.1334641805691</v>
      </c>
      <c r="R966" s="6"/>
      <c r="S966" s="87"/>
      <c r="T966" s="87"/>
    </row>
    <row r="967" spans="1:20" ht="12.75">
      <c r="A967" s="922"/>
      <c r="B967" s="232">
        <v>6</v>
      </c>
      <c r="C967" s="272" t="s">
        <v>521</v>
      </c>
      <c r="D967" s="232">
        <v>20</v>
      </c>
      <c r="E967" s="232"/>
      <c r="F967" s="288">
        <v>38.26</v>
      </c>
      <c r="G967" s="288">
        <v>2.84</v>
      </c>
      <c r="H967" s="288">
        <v>3.2</v>
      </c>
      <c r="I967" s="288">
        <v>32.8</v>
      </c>
      <c r="J967" s="302"/>
      <c r="K967" s="288">
        <f t="shared" si="133"/>
        <v>32.8</v>
      </c>
      <c r="L967" s="279">
        <v>1034</v>
      </c>
      <c r="M967" s="290">
        <f t="shared" si="134"/>
        <v>0.031721470019342356</v>
      </c>
      <c r="N967" s="285">
        <v>229</v>
      </c>
      <c r="O967" s="289">
        <f t="shared" si="135"/>
        <v>7.264216634429399</v>
      </c>
      <c r="P967" s="285">
        <f t="shared" si="136"/>
        <v>1903.2882011605413</v>
      </c>
      <c r="Q967" s="291">
        <f t="shared" si="137"/>
        <v>435.852998065764</v>
      </c>
      <c r="R967" s="6"/>
      <c r="S967" s="87"/>
      <c r="T967" s="87"/>
    </row>
    <row r="968" spans="1:20" ht="12.75">
      <c r="A968" s="922"/>
      <c r="B968" s="232">
        <v>7</v>
      </c>
      <c r="C968" s="272" t="s">
        <v>768</v>
      </c>
      <c r="D968" s="232">
        <v>20</v>
      </c>
      <c r="E968" s="232"/>
      <c r="F968" s="288">
        <v>37.7</v>
      </c>
      <c r="G968" s="288">
        <v>1.78</v>
      </c>
      <c r="H968" s="288">
        <v>3.2</v>
      </c>
      <c r="I968" s="288">
        <v>32.7</v>
      </c>
      <c r="J968" s="302"/>
      <c r="K968" s="288">
        <f t="shared" si="133"/>
        <v>32.7</v>
      </c>
      <c r="L968" s="279">
        <v>1024</v>
      </c>
      <c r="M968" s="290">
        <f t="shared" si="134"/>
        <v>0.03193359375</v>
      </c>
      <c r="N968" s="285">
        <v>229</v>
      </c>
      <c r="O968" s="289">
        <f t="shared" si="135"/>
        <v>7.312792968750001</v>
      </c>
      <c r="P968" s="285">
        <f t="shared" si="136"/>
        <v>1916.0156250000002</v>
      </c>
      <c r="Q968" s="291">
        <f t="shared" si="137"/>
        <v>438.76757812500006</v>
      </c>
      <c r="R968" s="6"/>
      <c r="S968" s="87"/>
      <c r="T968" s="87"/>
    </row>
    <row r="969" spans="1:20" ht="12.75">
      <c r="A969" s="922"/>
      <c r="B969" s="232">
        <v>8</v>
      </c>
      <c r="C969" s="272" t="s">
        <v>520</v>
      </c>
      <c r="D969" s="232">
        <v>20</v>
      </c>
      <c r="E969" s="232"/>
      <c r="F969" s="288">
        <v>40.18</v>
      </c>
      <c r="G969" s="288">
        <v>1</v>
      </c>
      <c r="H969" s="288">
        <v>3.2</v>
      </c>
      <c r="I969" s="288">
        <v>35.9</v>
      </c>
      <c r="J969" s="302"/>
      <c r="K969" s="288">
        <f t="shared" si="133"/>
        <v>35.9</v>
      </c>
      <c r="L969" s="279">
        <v>1052</v>
      </c>
      <c r="M969" s="290">
        <f t="shared" si="134"/>
        <v>0.034125475285171104</v>
      </c>
      <c r="N969" s="285">
        <v>229</v>
      </c>
      <c r="O969" s="289">
        <f t="shared" si="135"/>
        <v>7.814733840304183</v>
      </c>
      <c r="P969" s="285">
        <f t="shared" si="136"/>
        <v>2047.5285171102664</v>
      </c>
      <c r="Q969" s="291">
        <f t="shared" si="137"/>
        <v>468.884030418251</v>
      </c>
      <c r="R969" s="6"/>
      <c r="S969" s="87"/>
      <c r="T969" s="87"/>
    </row>
    <row r="970" spans="1:20" ht="12.75">
      <c r="A970" s="923"/>
      <c r="B970" s="245">
        <v>9</v>
      </c>
      <c r="C970" s="272"/>
      <c r="D970" s="232"/>
      <c r="E970" s="232"/>
      <c r="F970" s="288"/>
      <c r="G970" s="288"/>
      <c r="H970" s="288"/>
      <c r="I970" s="288"/>
      <c r="J970" s="302"/>
      <c r="K970" s="288"/>
      <c r="L970" s="279"/>
      <c r="M970" s="290"/>
      <c r="N970" s="289"/>
      <c r="O970" s="289"/>
      <c r="P970" s="285"/>
      <c r="Q970" s="291"/>
      <c r="R970" s="6"/>
      <c r="S970" s="87"/>
      <c r="T970" s="87"/>
    </row>
    <row r="971" spans="1:20" ht="13.5" thickBot="1">
      <c r="A971" s="924"/>
      <c r="B971" s="246">
        <v>10</v>
      </c>
      <c r="C971" s="276"/>
      <c r="D971" s="246"/>
      <c r="E971" s="574"/>
      <c r="F971" s="425"/>
      <c r="G971" s="425"/>
      <c r="H971" s="425"/>
      <c r="I971" s="425"/>
      <c r="J971" s="606"/>
      <c r="K971" s="566"/>
      <c r="L971" s="460"/>
      <c r="M971" s="607"/>
      <c r="N971" s="564"/>
      <c r="O971" s="608"/>
      <c r="P971" s="293"/>
      <c r="Q971" s="295"/>
      <c r="R971" s="6"/>
      <c r="S971" s="87"/>
      <c r="T971" s="87"/>
    </row>
    <row r="972" spans="11:20" ht="12.75">
      <c r="K972" s="603"/>
      <c r="N972" s="603"/>
      <c r="S972" s="87"/>
      <c r="T972" s="87"/>
    </row>
    <row r="973" spans="19:20" ht="12.75">
      <c r="S973" s="87"/>
      <c r="T973" s="87"/>
    </row>
    <row r="974" spans="19:20" ht="12.75">
      <c r="S974" s="87"/>
      <c r="T974" s="87"/>
    </row>
    <row r="975" spans="19:20" ht="12.75">
      <c r="S975" s="87"/>
      <c r="T975" s="87"/>
    </row>
    <row r="976" spans="19:20" ht="12.75">
      <c r="S976" s="87"/>
      <c r="T976" s="87"/>
    </row>
    <row r="977" spans="19:20" ht="12.75">
      <c r="S977" s="87"/>
      <c r="T977" s="87"/>
    </row>
    <row r="978" spans="1:20" ht="15">
      <c r="A978" s="906" t="s">
        <v>59</v>
      </c>
      <c r="B978" s="906"/>
      <c r="C978" s="906"/>
      <c r="D978" s="906"/>
      <c r="E978" s="906"/>
      <c r="F978" s="906"/>
      <c r="G978" s="906"/>
      <c r="H978" s="906"/>
      <c r="I978" s="906"/>
      <c r="J978" s="906"/>
      <c r="K978" s="906"/>
      <c r="L978" s="906"/>
      <c r="M978" s="906"/>
      <c r="N978" s="906"/>
      <c r="O978" s="906"/>
      <c r="P978" s="906"/>
      <c r="Q978" s="906"/>
      <c r="S978" s="87"/>
      <c r="T978" s="87"/>
    </row>
    <row r="979" spans="1:20" ht="13.5" thickBot="1">
      <c r="A979" s="935" t="s">
        <v>770</v>
      </c>
      <c r="B979" s="935"/>
      <c r="C979" s="935"/>
      <c r="D979" s="935"/>
      <c r="E979" s="935"/>
      <c r="F979" s="935"/>
      <c r="G979" s="935"/>
      <c r="H979" s="935"/>
      <c r="I979" s="935"/>
      <c r="J979" s="935"/>
      <c r="K979" s="935"/>
      <c r="L979" s="935"/>
      <c r="M979" s="935"/>
      <c r="N979" s="935"/>
      <c r="O979" s="935"/>
      <c r="P979" s="935"/>
      <c r="Q979" s="935"/>
      <c r="S979" s="87"/>
      <c r="T979" s="87"/>
    </row>
    <row r="980" spans="1:20" ht="12.75" customHeight="1">
      <c r="A980" s="890" t="s">
        <v>1</v>
      </c>
      <c r="B980" s="892" t="s">
        <v>0</v>
      </c>
      <c r="C980" s="888" t="s">
        <v>2</v>
      </c>
      <c r="D980" s="888" t="s">
        <v>3</v>
      </c>
      <c r="E980" s="888" t="s">
        <v>13</v>
      </c>
      <c r="F980" s="896" t="s">
        <v>14</v>
      </c>
      <c r="G980" s="897"/>
      <c r="H980" s="897"/>
      <c r="I980" s="898"/>
      <c r="J980" s="888" t="s">
        <v>4</v>
      </c>
      <c r="K980" s="888" t="s">
        <v>15</v>
      </c>
      <c r="L980" s="888" t="s">
        <v>5</v>
      </c>
      <c r="M980" s="888" t="s">
        <v>6</v>
      </c>
      <c r="N980" s="888" t="s">
        <v>16</v>
      </c>
      <c r="O980" s="949" t="s">
        <v>17</v>
      </c>
      <c r="P980" s="888" t="s">
        <v>25</v>
      </c>
      <c r="Q980" s="878" t="s">
        <v>26</v>
      </c>
      <c r="S980" s="87"/>
      <c r="T980" s="87"/>
    </row>
    <row r="981" spans="1:20" s="2" customFormat="1" ht="33.75">
      <c r="A981" s="891"/>
      <c r="B981" s="893"/>
      <c r="C981" s="894"/>
      <c r="D981" s="889"/>
      <c r="E981" s="889"/>
      <c r="F981" s="36" t="s">
        <v>18</v>
      </c>
      <c r="G981" s="36" t="s">
        <v>19</v>
      </c>
      <c r="H981" s="36" t="s">
        <v>20</v>
      </c>
      <c r="I981" s="36" t="s">
        <v>21</v>
      </c>
      <c r="J981" s="889"/>
      <c r="K981" s="889"/>
      <c r="L981" s="889"/>
      <c r="M981" s="889"/>
      <c r="N981" s="889"/>
      <c r="O981" s="950"/>
      <c r="P981" s="889"/>
      <c r="Q981" s="879"/>
      <c r="S981" s="87"/>
      <c r="T981" s="87"/>
    </row>
    <row r="982" spans="1:20" s="3" customFormat="1" ht="13.5" customHeight="1" thickBot="1">
      <c r="A982" s="945"/>
      <c r="B982" s="946"/>
      <c r="C982" s="895"/>
      <c r="D982" s="59" t="s">
        <v>7</v>
      </c>
      <c r="E982" s="59" t="s">
        <v>8</v>
      </c>
      <c r="F982" s="59" t="s">
        <v>9</v>
      </c>
      <c r="G982" s="59" t="s">
        <v>9</v>
      </c>
      <c r="H982" s="59" t="s">
        <v>9</v>
      </c>
      <c r="I982" s="59" t="s">
        <v>9</v>
      </c>
      <c r="J982" s="59" t="s">
        <v>22</v>
      </c>
      <c r="K982" s="59" t="s">
        <v>9</v>
      </c>
      <c r="L982" s="59" t="s">
        <v>22</v>
      </c>
      <c r="M982" s="59" t="s">
        <v>128</v>
      </c>
      <c r="N982" s="59" t="s">
        <v>10</v>
      </c>
      <c r="O982" s="59" t="s">
        <v>129</v>
      </c>
      <c r="P982" s="60" t="s">
        <v>27</v>
      </c>
      <c r="Q982" s="61" t="s">
        <v>28</v>
      </c>
      <c r="S982" s="87"/>
      <c r="T982" s="87"/>
    </row>
    <row r="983" spans="1:20" s="3" customFormat="1" ht="13.5" customHeight="1">
      <c r="A983" s="911" t="s">
        <v>51</v>
      </c>
      <c r="B983" s="341"/>
      <c r="C983" s="63" t="s">
        <v>771</v>
      </c>
      <c r="D983" s="62">
        <v>50</v>
      </c>
      <c r="E983" s="62">
        <v>1980</v>
      </c>
      <c r="F983" s="249">
        <v>41.432</v>
      </c>
      <c r="G983" s="249">
        <v>4.983</v>
      </c>
      <c r="H983" s="249">
        <v>7.92</v>
      </c>
      <c r="I983" s="249">
        <v>28.529</v>
      </c>
      <c r="J983" s="93">
        <v>2544.91</v>
      </c>
      <c r="K983" s="249">
        <v>28.529</v>
      </c>
      <c r="L983" s="93">
        <v>2544.91</v>
      </c>
      <c r="M983" s="251">
        <f>K983/L983</f>
        <v>0.011210219614839033</v>
      </c>
      <c r="N983" s="250">
        <v>197.4</v>
      </c>
      <c r="O983" s="252">
        <f>M983*N983</f>
        <v>2.212897351969225</v>
      </c>
      <c r="P983" s="252">
        <f>M983*60*1000</f>
        <v>672.613176890342</v>
      </c>
      <c r="Q983" s="253">
        <f>P983*N983/1000</f>
        <v>132.7738411181535</v>
      </c>
      <c r="S983" s="87"/>
      <c r="T983" s="87"/>
    </row>
    <row r="984" spans="1:20" s="3" customFormat="1" ht="13.5" customHeight="1">
      <c r="A984" s="912"/>
      <c r="B984" s="123"/>
      <c r="C984" s="16" t="s">
        <v>772</v>
      </c>
      <c r="D984" s="31">
        <v>40</v>
      </c>
      <c r="E984" s="31">
        <v>1990</v>
      </c>
      <c r="F984" s="146">
        <v>36.974</v>
      </c>
      <c r="G984" s="146">
        <v>3.359</v>
      </c>
      <c r="H984" s="146">
        <v>6.4</v>
      </c>
      <c r="I984" s="146">
        <v>27.214</v>
      </c>
      <c r="J984" s="176">
        <v>2359.96</v>
      </c>
      <c r="K984" s="146">
        <v>27.214</v>
      </c>
      <c r="L984" s="176">
        <v>2359.96</v>
      </c>
      <c r="M984" s="133">
        <f>K984/L984</f>
        <v>0.011531551382226817</v>
      </c>
      <c r="N984" s="132">
        <v>197.4</v>
      </c>
      <c r="O984" s="132">
        <f>M984*N984</f>
        <v>2.276328242851574</v>
      </c>
      <c r="P984" s="252">
        <f>M984*60*1000</f>
        <v>691.8930829336091</v>
      </c>
      <c r="Q984" s="134">
        <f>P984*N984/1000</f>
        <v>136.57969457109445</v>
      </c>
      <c r="S984" s="87"/>
      <c r="T984" s="87"/>
    </row>
    <row r="985" spans="1:20" s="3" customFormat="1" ht="13.5" customHeight="1">
      <c r="A985" s="912"/>
      <c r="B985" s="123"/>
      <c r="C985" s="16" t="s">
        <v>773</v>
      </c>
      <c r="D985" s="31">
        <v>22</v>
      </c>
      <c r="E985" s="31">
        <v>1979</v>
      </c>
      <c r="F985" s="146">
        <v>19.777</v>
      </c>
      <c r="G985" s="146">
        <v>2.335</v>
      </c>
      <c r="H985" s="146">
        <v>3.52</v>
      </c>
      <c r="I985" s="146">
        <v>13.992</v>
      </c>
      <c r="J985" s="176">
        <v>1154.82</v>
      </c>
      <c r="K985" s="146">
        <v>13.992</v>
      </c>
      <c r="L985" s="176">
        <v>1154.82</v>
      </c>
      <c r="M985" s="133">
        <f>K985/L985</f>
        <v>0.012116173949186888</v>
      </c>
      <c r="N985" s="132">
        <v>197.4</v>
      </c>
      <c r="O985" s="132">
        <f>M985*N985</f>
        <v>2.391732737569492</v>
      </c>
      <c r="P985" s="252">
        <f>M985*60*1000</f>
        <v>726.9704369512133</v>
      </c>
      <c r="Q985" s="134">
        <f>P985*N985/1000</f>
        <v>143.50396425416952</v>
      </c>
      <c r="S985" s="87"/>
      <c r="T985" s="87"/>
    </row>
    <row r="986" spans="1:20" s="3" customFormat="1" ht="13.5" customHeight="1">
      <c r="A986" s="912"/>
      <c r="B986" s="123"/>
      <c r="C986" s="256"/>
      <c r="D986" s="257"/>
      <c r="E986" s="257"/>
      <c r="F986" s="365"/>
      <c r="G986" s="365"/>
      <c r="H986" s="365"/>
      <c r="I986" s="365"/>
      <c r="J986" s="367"/>
      <c r="K986" s="365"/>
      <c r="L986" s="367"/>
      <c r="M986" s="257"/>
      <c r="N986" s="257"/>
      <c r="O986" s="257"/>
      <c r="P986" s="257"/>
      <c r="Q986" s="344"/>
      <c r="S986" s="87"/>
      <c r="T986" s="87"/>
    </row>
    <row r="987" spans="1:20" s="3" customFormat="1" ht="13.5" customHeight="1">
      <c r="A987" s="912"/>
      <c r="B987" s="123"/>
      <c r="C987" s="256"/>
      <c r="D987" s="257"/>
      <c r="E987" s="257"/>
      <c r="F987" s="365"/>
      <c r="G987" s="365"/>
      <c r="H987" s="365"/>
      <c r="I987" s="365"/>
      <c r="J987" s="367"/>
      <c r="K987" s="365"/>
      <c r="L987" s="367"/>
      <c r="M987" s="257"/>
      <c r="N987" s="257"/>
      <c r="O987" s="257"/>
      <c r="P987" s="257"/>
      <c r="Q987" s="344"/>
      <c r="S987" s="87"/>
      <c r="T987" s="87"/>
    </row>
    <row r="988" spans="1:20" s="3" customFormat="1" ht="13.5" customHeight="1">
      <c r="A988" s="912"/>
      <c r="B988" s="123"/>
      <c r="C988" s="256"/>
      <c r="D988" s="257"/>
      <c r="E988" s="257"/>
      <c r="F988" s="365"/>
      <c r="G988" s="365"/>
      <c r="H988" s="365"/>
      <c r="I988" s="365"/>
      <c r="J988" s="367"/>
      <c r="K988" s="365"/>
      <c r="L988" s="367"/>
      <c r="M988" s="257"/>
      <c r="N988" s="257"/>
      <c r="O988" s="257"/>
      <c r="P988" s="257"/>
      <c r="Q988" s="344"/>
      <c r="S988" s="87"/>
      <c r="T988" s="87"/>
    </row>
    <row r="989" spans="1:20" s="3" customFormat="1" ht="13.5" customHeight="1">
      <c r="A989" s="912"/>
      <c r="B989" s="123"/>
      <c r="C989" s="256"/>
      <c r="D989" s="257"/>
      <c r="E989" s="257"/>
      <c r="F989" s="365"/>
      <c r="G989" s="365"/>
      <c r="H989" s="365"/>
      <c r="I989" s="365"/>
      <c r="J989" s="367"/>
      <c r="K989" s="365"/>
      <c r="L989" s="367"/>
      <c r="M989" s="257"/>
      <c r="N989" s="257"/>
      <c r="O989" s="257"/>
      <c r="P989" s="257"/>
      <c r="Q989" s="344"/>
      <c r="S989" s="87"/>
      <c r="T989" s="87"/>
    </row>
    <row r="990" spans="1:20" s="3" customFormat="1" ht="13.5" customHeight="1" thickBot="1">
      <c r="A990" s="913"/>
      <c r="B990" s="173"/>
      <c r="C990" s="342"/>
      <c r="D990" s="343"/>
      <c r="E990" s="343"/>
      <c r="F990" s="366"/>
      <c r="G990" s="366"/>
      <c r="H990" s="366"/>
      <c r="I990" s="366"/>
      <c r="J990" s="368"/>
      <c r="K990" s="366"/>
      <c r="L990" s="368"/>
      <c r="M990" s="343"/>
      <c r="N990" s="343"/>
      <c r="O990" s="343"/>
      <c r="P990" s="343"/>
      <c r="Q990" s="345"/>
      <c r="S990" s="87"/>
      <c r="T990" s="87"/>
    </row>
    <row r="991" spans="1:20" ht="11.25" customHeight="1">
      <c r="A991" s="943" t="s">
        <v>29</v>
      </c>
      <c r="B991" s="67">
        <v>1</v>
      </c>
      <c r="C991" s="34" t="s">
        <v>774</v>
      </c>
      <c r="D991" s="35">
        <v>8</v>
      </c>
      <c r="E991" s="35">
        <v>1981</v>
      </c>
      <c r="F991" s="262">
        <v>6.854</v>
      </c>
      <c r="G991" s="262">
        <v>0.84</v>
      </c>
      <c r="H991" s="262">
        <v>0.08</v>
      </c>
      <c r="I991" s="263">
        <v>5.934</v>
      </c>
      <c r="J991" s="432">
        <v>389.2</v>
      </c>
      <c r="K991" s="262">
        <v>5.934</v>
      </c>
      <c r="L991" s="432">
        <v>389.2</v>
      </c>
      <c r="M991" s="147">
        <f>K991/L991</f>
        <v>0.015246659815005139</v>
      </c>
      <c r="N991" s="148">
        <v>197.4</v>
      </c>
      <c r="O991" s="148">
        <f>M991*N991</f>
        <v>3.0096906474820146</v>
      </c>
      <c r="P991" s="148">
        <f>M991*60*1000</f>
        <v>914.7995889003083</v>
      </c>
      <c r="Q991" s="170">
        <f>P991*N991/1000</f>
        <v>180.58143884892087</v>
      </c>
      <c r="R991" s="6"/>
      <c r="S991" s="87"/>
      <c r="T991" s="87"/>
    </row>
    <row r="992" spans="1:20" ht="12.75" customHeight="1">
      <c r="A992" s="943"/>
      <c r="B992" s="35">
        <v>2</v>
      </c>
      <c r="C992" s="34" t="s">
        <v>775</v>
      </c>
      <c r="D992" s="35">
        <v>12</v>
      </c>
      <c r="E992" s="35">
        <v>1994</v>
      </c>
      <c r="F992" s="263">
        <v>13.406</v>
      </c>
      <c r="G992" s="263">
        <v>0.84</v>
      </c>
      <c r="H992" s="263">
        <v>1.92</v>
      </c>
      <c r="I992" s="263">
        <v>10.646</v>
      </c>
      <c r="J992" s="118">
        <v>664.21</v>
      </c>
      <c r="K992" s="263">
        <v>10.646</v>
      </c>
      <c r="L992" s="118">
        <v>664.21</v>
      </c>
      <c r="M992" s="147">
        <f>K992/L992</f>
        <v>0.01602806341367941</v>
      </c>
      <c r="N992" s="138">
        <v>197.4</v>
      </c>
      <c r="O992" s="148">
        <f>M992*N992</f>
        <v>3.1639397178603152</v>
      </c>
      <c r="P992" s="148">
        <f>M992*60*1000</f>
        <v>961.6838048207645</v>
      </c>
      <c r="Q992" s="170">
        <f>P992*N992/1000</f>
        <v>189.8363830716189</v>
      </c>
      <c r="R992" s="6"/>
      <c r="S992" s="87"/>
      <c r="T992" s="87"/>
    </row>
    <row r="993" spans="1:20" ht="12.75" customHeight="1">
      <c r="A993" s="943"/>
      <c r="B993" s="35">
        <v>3</v>
      </c>
      <c r="C993" s="34" t="s">
        <v>776</v>
      </c>
      <c r="D993" s="35">
        <v>40</v>
      </c>
      <c r="E993" s="35">
        <v>1994</v>
      </c>
      <c r="F993" s="263">
        <v>49.849</v>
      </c>
      <c r="G993" s="263">
        <v>4.255</v>
      </c>
      <c r="H993" s="263">
        <v>6.4</v>
      </c>
      <c r="I993" s="263">
        <v>39.194</v>
      </c>
      <c r="J993" s="118">
        <v>2188.7</v>
      </c>
      <c r="K993" s="263">
        <v>39.194</v>
      </c>
      <c r="L993" s="118">
        <v>2188.7</v>
      </c>
      <c r="M993" s="139">
        <f>K993/L993</f>
        <v>0.017907433636405175</v>
      </c>
      <c r="N993" s="138">
        <v>197.4</v>
      </c>
      <c r="O993" s="148">
        <f>M993*N993</f>
        <v>3.534927399826382</v>
      </c>
      <c r="P993" s="148">
        <f>M993*60*1000</f>
        <v>1074.4460181843106</v>
      </c>
      <c r="Q993" s="168">
        <f>P993*N993/1000</f>
        <v>212.09564398958292</v>
      </c>
      <c r="R993" s="6"/>
      <c r="S993" s="87"/>
      <c r="T993" s="87"/>
    </row>
    <row r="994" spans="1:20" ht="12.75" customHeight="1">
      <c r="A994" s="943"/>
      <c r="B994" s="35">
        <v>4</v>
      </c>
      <c r="C994" s="34"/>
      <c r="D994" s="35"/>
      <c r="E994" s="35"/>
      <c r="F994" s="263"/>
      <c r="G994" s="263"/>
      <c r="H994" s="263"/>
      <c r="I994" s="263"/>
      <c r="J994" s="118"/>
      <c r="K994" s="263"/>
      <c r="L994" s="118"/>
      <c r="M994" s="139"/>
      <c r="N994" s="138"/>
      <c r="O994" s="138"/>
      <c r="P994" s="148"/>
      <c r="Q994" s="168"/>
      <c r="R994" s="6"/>
      <c r="S994" s="87"/>
      <c r="T994" s="87"/>
    </row>
    <row r="995" spans="1:20" ht="12.75" customHeight="1">
      <c r="A995" s="943"/>
      <c r="B995" s="35">
        <v>5</v>
      </c>
      <c r="C995" s="34"/>
      <c r="D995" s="118"/>
      <c r="E995" s="118"/>
      <c r="F995" s="263"/>
      <c r="G995" s="263"/>
      <c r="H995" s="263"/>
      <c r="I995" s="263"/>
      <c r="J995" s="118"/>
      <c r="K995" s="263"/>
      <c r="L995" s="118"/>
      <c r="M995" s="139"/>
      <c r="N995" s="138"/>
      <c r="O995" s="138"/>
      <c r="P995" s="138"/>
      <c r="Q995" s="168"/>
      <c r="R995" s="6"/>
      <c r="S995" s="87"/>
      <c r="T995" s="87"/>
    </row>
    <row r="996" spans="1:20" ht="12.75" customHeight="1">
      <c r="A996" s="943"/>
      <c r="B996" s="35">
        <v>6</v>
      </c>
      <c r="C996" s="88"/>
      <c r="D996" s="94"/>
      <c r="E996" s="94"/>
      <c r="F996" s="267"/>
      <c r="G996" s="267"/>
      <c r="H996" s="267"/>
      <c r="I996" s="267"/>
      <c r="J996" s="118"/>
      <c r="K996" s="267"/>
      <c r="L996" s="121"/>
      <c r="M996" s="147"/>
      <c r="N996" s="148"/>
      <c r="O996" s="148"/>
      <c r="P996" s="138"/>
      <c r="Q996" s="170"/>
      <c r="R996" s="6"/>
      <c r="S996" s="87"/>
      <c r="T996" s="87"/>
    </row>
    <row r="997" spans="1:20" ht="12.75" customHeight="1">
      <c r="A997" s="943"/>
      <c r="B997" s="35">
        <v>7</v>
      </c>
      <c r="C997" s="88"/>
      <c r="D997" s="67"/>
      <c r="E997" s="67"/>
      <c r="F997" s="267"/>
      <c r="G997" s="267"/>
      <c r="H997" s="267"/>
      <c r="I997" s="267"/>
      <c r="J997" s="121"/>
      <c r="K997" s="267"/>
      <c r="L997" s="121"/>
      <c r="M997" s="147"/>
      <c r="N997" s="148"/>
      <c r="O997" s="148"/>
      <c r="P997" s="148"/>
      <c r="Q997" s="170"/>
      <c r="R997" s="6"/>
      <c r="S997" s="87"/>
      <c r="T997" s="87"/>
    </row>
    <row r="998" spans="1:20" ht="12.75" customHeight="1">
      <c r="A998" s="943"/>
      <c r="B998" s="35">
        <v>8</v>
      </c>
      <c r="C998" s="34"/>
      <c r="D998" s="35"/>
      <c r="E998" s="35"/>
      <c r="F998" s="263"/>
      <c r="G998" s="263"/>
      <c r="H998" s="263"/>
      <c r="I998" s="263"/>
      <c r="J998" s="118"/>
      <c r="K998" s="263"/>
      <c r="L998" s="118"/>
      <c r="M998" s="139"/>
      <c r="N998" s="138"/>
      <c r="O998" s="138"/>
      <c r="P998" s="138"/>
      <c r="Q998" s="168"/>
      <c r="R998" s="6"/>
      <c r="S998" s="87"/>
      <c r="T998" s="87"/>
    </row>
    <row r="999" spans="1:20" ht="13.5" customHeight="1">
      <c r="A999" s="943"/>
      <c r="B999" s="35">
        <v>9</v>
      </c>
      <c r="C999" s="34"/>
      <c r="D999" s="35"/>
      <c r="E999" s="35"/>
      <c r="F999" s="263"/>
      <c r="G999" s="263"/>
      <c r="H999" s="263"/>
      <c r="I999" s="263"/>
      <c r="J999" s="118"/>
      <c r="K999" s="263"/>
      <c r="L999" s="118"/>
      <c r="M999" s="139"/>
      <c r="N999" s="138"/>
      <c r="O999" s="138"/>
      <c r="P999" s="138"/>
      <c r="Q999" s="168"/>
      <c r="R999" s="6"/>
      <c r="S999" s="87"/>
      <c r="T999" s="87"/>
    </row>
    <row r="1000" spans="1:20" ht="13.5" customHeight="1" thickBot="1">
      <c r="A1000" s="944"/>
      <c r="B1000" s="90">
        <v>10</v>
      </c>
      <c r="C1000" s="83"/>
      <c r="D1000" s="38"/>
      <c r="E1000" s="38"/>
      <c r="F1000" s="265"/>
      <c r="G1000" s="265"/>
      <c r="H1000" s="265"/>
      <c r="I1000" s="265"/>
      <c r="J1000" s="184"/>
      <c r="K1000" s="265"/>
      <c r="L1000" s="184"/>
      <c r="M1000" s="218"/>
      <c r="N1000" s="171"/>
      <c r="O1000" s="171"/>
      <c r="P1000" s="171"/>
      <c r="Q1000" s="172"/>
      <c r="R1000" s="6"/>
      <c r="S1000" s="87"/>
      <c r="T1000" s="87"/>
    </row>
    <row r="1001" spans="1:20" ht="12.75">
      <c r="A1001" s="921" t="s">
        <v>30</v>
      </c>
      <c r="B1001" s="231">
        <v>1</v>
      </c>
      <c r="C1001" s="270" t="s">
        <v>777</v>
      </c>
      <c r="D1001" s="231">
        <v>30</v>
      </c>
      <c r="E1001" s="231">
        <v>1991</v>
      </c>
      <c r="F1001" s="423">
        <v>48.98</v>
      </c>
      <c r="G1001" s="423">
        <v>4.535</v>
      </c>
      <c r="H1001" s="423">
        <v>4.8</v>
      </c>
      <c r="I1001" s="423">
        <v>39.645</v>
      </c>
      <c r="J1001" s="434">
        <v>1585.55</v>
      </c>
      <c r="K1001" s="423">
        <v>39.645</v>
      </c>
      <c r="L1001" s="356">
        <v>1585.55</v>
      </c>
      <c r="M1001" s="286">
        <f>K1001/L1001</f>
        <v>0.02500394184983129</v>
      </c>
      <c r="N1001" s="285">
        <v>197.4</v>
      </c>
      <c r="O1001" s="285">
        <f>M1001*N1001</f>
        <v>4.935778121156697</v>
      </c>
      <c r="P1001" s="285">
        <f>M1001*60*1000</f>
        <v>1500.2365109898774</v>
      </c>
      <c r="Q1001" s="287">
        <f>P1001*N1001/1000</f>
        <v>296.1466872694018</v>
      </c>
      <c r="R1001" s="6"/>
      <c r="S1001" s="87"/>
      <c r="T1001" s="87"/>
    </row>
    <row r="1002" spans="1:20" ht="12.75">
      <c r="A1002" s="922"/>
      <c r="B1002" s="232">
        <v>2</v>
      </c>
      <c r="C1002" s="272" t="s">
        <v>778</v>
      </c>
      <c r="D1002" s="232">
        <v>40</v>
      </c>
      <c r="E1002" s="232">
        <v>1982</v>
      </c>
      <c r="F1002" s="288">
        <v>65.725</v>
      </c>
      <c r="G1002" s="288">
        <v>2.52</v>
      </c>
      <c r="H1002" s="288">
        <v>6.4</v>
      </c>
      <c r="I1002" s="288">
        <v>56.805</v>
      </c>
      <c r="J1002" s="279">
        <v>2265</v>
      </c>
      <c r="K1002" s="288">
        <v>56.805</v>
      </c>
      <c r="L1002" s="279">
        <v>2265</v>
      </c>
      <c r="M1002" s="290">
        <f>K1002/L1002</f>
        <v>0.025079470198675496</v>
      </c>
      <c r="N1002" s="289">
        <v>197.4</v>
      </c>
      <c r="O1002" s="289">
        <f>M1002*N1002</f>
        <v>4.950687417218543</v>
      </c>
      <c r="P1002" s="285">
        <f>M1002*60*1000</f>
        <v>1504.7682119205297</v>
      </c>
      <c r="Q1002" s="291">
        <f>P1002*N1002/1000</f>
        <v>297.0412450331126</v>
      </c>
      <c r="R1002" s="6"/>
      <c r="S1002" s="87"/>
      <c r="T1002" s="87"/>
    </row>
    <row r="1003" spans="1:20" ht="12.75">
      <c r="A1003" s="922"/>
      <c r="B1003" s="232">
        <v>3</v>
      </c>
      <c r="C1003" s="272" t="s">
        <v>779</v>
      </c>
      <c r="D1003" s="232">
        <v>15</v>
      </c>
      <c r="E1003" s="232">
        <v>1988</v>
      </c>
      <c r="F1003" s="288">
        <v>27.502</v>
      </c>
      <c r="G1003" s="288">
        <v>1.559</v>
      </c>
      <c r="H1003" s="288">
        <v>2.4</v>
      </c>
      <c r="I1003" s="288">
        <v>23.543</v>
      </c>
      <c r="J1003" s="279">
        <v>871.46</v>
      </c>
      <c r="K1003" s="288">
        <v>23.543</v>
      </c>
      <c r="L1003" s="279">
        <v>871.46</v>
      </c>
      <c r="M1003" s="290">
        <f>K1003/L1003</f>
        <v>0.027015583044545932</v>
      </c>
      <c r="N1003" s="289">
        <v>197.4</v>
      </c>
      <c r="O1003" s="289">
        <f>M1003*N1003</f>
        <v>5.332876092993367</v>
      </c>
      <c r="P1003" s="285">
        <f>M1003*60*1000</f>
        <v>1620.934982672756</v>
      </c>
      <c r="Q1003" s="291">
        <f>P1003*N1003/1000</f>
        <v>319.972565579602</v>
      </c>
      <c r="R1003" s="6"/>
      <c r="S1003" s="87"/>
      <c r="T1003" s="87"/>
    </row>
    <row r="1004" spans="1:20" ht="12.75">
      <c r="A1004" s="922"/>
      <c r="B1004" s="232">
        <v>4</v>
      </c>
      <c r="C1004" s="272"/>
      <c r="D1004" s="232"/>
      <c r="E1004" s="232"/>
      <c r="F1004" s="288"/>
      <c r="G1004" s="288"/>
      <c r="H1004" s="288"/>
      <c r="I1004" s="288"/>
      <c r="J1004" s="279"/>
      <c r="K1004" s="288"/>
      <c r="L1004" s="279"/>
      <c r="M1004" s="290"/>
      <c r="N1004" s="289"/>
      <c r="O1004" s="289"/>
      <c r="P1004" s="289"/>
      <c r="Q1004" s="291"/>
      <c r="R1004" s="6"/>
      <c r="S1004" s="87"/>
      <c r="T1004" s="87"/>
    </row>
    <row r="1005" spans="1:20" ht="12.75">
      <c r="A1005" s="922"/>
      <c r="B1005" s="232">
        <v>5</v>
      </c>
      <c r="C1005" s="272"/>
      <c r="D1005" s="232"/>
      <c r="E1005" s="232"/>
      <c r="F1005" s="288"/>
      <c r="G1005" s="288"/>
      <c r="H1005" s="288"/>
      <c r="I1005" s="288"/>
      <c r="J1005" s="279"/>
      <c r="K1005" s="288"/>
      <c r="L1005" s="279"/>
      <c r="M1005" s="290"/>
      <c r="N1005" s="289"/>
      <c r="O1005" s="289"/>
      <c r="P1005" s="289"/>
      <c r="Q1005" s="291"/>
      <c r="R1005" s="6"/>
      <c r="S1005" s="87"/>
      <c r="T1005" s="87"/>
    </row>
    <row r="1006" spans="1:20" ht="12.75">
      <c r="A1006" s="922"/>
      <c r="B1006" s="232">
        <v>6</v>
      </c>
      <c r="C1006" s="272"/>
      <c r="D1006" s="232"/>
      <c r="E1006" s="232"/>
      <c r="F1006" s="288"/>
      <c r="G1006" s="288"/>
      <c r="H1006" s="288"/>
      <c r="I1006" s="288"/>
      <c r="J1006" s="279"/>
      <c r="K1006" s="288"/>
      <c r="L1006" s="279"/>
      <c r="M1006" s="290"/>
      <c r="N1006" s="289"/>
      <c r="O1006" s="289"/>
      <c r="P1006" s="289"/>
      <c r="Q1006" s="291"/>
      <c r="R1006" s="6"/>
      <c r="S1006" s="87"/>
      <c r="T1006" s="87"/>
    </row>
    <row r="1007" spans="1:20" ht="12.75">
      <c r="A1007" s="922"/>
      <c r="B1007" s="232">
        <v>7</v>
      </c>
      <c r="C1007" s="300"/>
      <c r="D1007" s="280"/>
      <c r="E1007" s="280"/>
      <c r="F1007" s="348"/>
      <c r="G1007" s="348"/>
      <c r="H1007" s="348"/>
      <c r="I1007" s="348"/>
      <c r="J1007" s="356"/>
      <c r="K1007" s="348"/>
      <c r="L1007" s="356"/>
      <c r="M1007" s="286"/>
      <c r="N1007" s="285"/>
      <c r="O1007" s="285"/>
      <c r="P1007" s="285"/>
      <c r="Q1007" s="391"/>
      <c r="R1007" s="6"/>
      <c r="S1007" s="87"/>
      <c r="T1007" s="87"/>
    </row>
    <row r="1008" spans="1:20" ht="12.75">
      <c r="A1008" s="922"/>
      <c r="B1008" s="232">
        <v>8</v>
      </c>
      <c r="C1008" s="300"/>
      <c r="D1008" s="280"/>
      <c r="E1008" s="280"/>
      <c r="F1008" s="348"/>
      <c r="G1008" s="348"/>
      <c r="H1008" s="348"/>
      <c r="I1008" s="348"/>
      <c r="J1008" s="356"/>
      <c r="K1008" s="348"/>
      <c r="L1008" s="356"/>
      <c r="M1008" s="286"/>
      <c r="N1008" s="285"/>
      <c r="O1008" s="285"/>
      <c r="P1008" s="289"/>
      <c r="Q1008" s="391"/>
      <c r="R1008" s="6"/>
      <c r="S1008" s="87"/>
      <c r="T1008" s="87"/>
    </row>
    <row r="1009" spans="1:20" ht="12.75">
      <c r="A1009" s="923"/>
      <c r="B1009" s="245">
        <v>9</v>
      </c>
      <c r="C1009" s="272"/>
      <c r="D1009" s="232"/>
      <c r="E1009" s="232"/>
      <c r="F1009" s="288"/>
      <c r="G1009" s="288"/>
      <c r="H1009" s="288"/>
      <c r="I1009" s="288"/>
      <c r="J1009" s="279"/>
      <c r="K1009" s="288"/>
      <c r="L1009" s="279"/>
      <c r="M1009" s="290"/>
      <c r="N1009" s="289"/>
      <c r="O1009" s="289"/>
      <c r="P1009" s="289"/>
      <c r="Q1009" s="392"/>
      <c r="R1009" s="6"/>
      <c r="S1009" s="87"/>
      <c r="T1009" s="87"/>
    </row>
    <row r="1010" spans="1:20" ht="13.5" thickBot="1">
      <c r="A1010" s="924"/>
      <c r="B1010" s="246">
        <v>10</v>
      </c>
      <c r="C1010" s="276"/>
      <c r="D1010" s="246"/>
      <c r="E1010" s="246"/>
      <c r="F1010" s="292"/>
      <c r="G1010" s="292"/>
      <c r="H1010" s="292"/>
      <c r="I1010" s="292"/>
      <c r="J1010" s="281"/>
      <c r="K1010" s="292"/>
      <c r="L1010" s="281"/>
      <c r="M1010" s="294"/>
      <c r="N1010" s="293"/>
      <c r="O1010" s="293"/>
      <c r="P1010" s="293"/>
      <c r="Q1010" s="393"/>
      <c r="R1010" s="6"/>
      <c r="S1010" s="87"/>
      <c r="T1010" s="87"/>
    </row>
    <row r="1011" spans="1:20" ht="12.75">
      <c r="A1011" s="932" t="s">
        <v>401</v>
      </c>
      <c r="B1011" s="80"/>
      <c r="C1011" s="277" t="s">
        <v>780</v>
      </c>
      <c r="D1011" s="39">
        <v>9</v>
      </c>
      <c r="E1011" s="39">
        <v>1982</v>
      </c>
      <c r="F1011" s="429">
        <v>15.887</v>
      </c>
      <c r="G1011" s="429">
        <v>1.008</v>
      </c>
      <c r="H1011" s="429">
        <v>0.09</v>
      </c>
      <c r="I1011" s="429">
        <v>14.789</v>
      </c>
      <c r="J1011" s="360">
        <v>412.32</v>
      </c>
      <c r="K1011" s="429">
        <v>14.789</v>
      </c>
      <c r="L1011" s="357">
        <v>412.32</v>
      </c>
      <c r="M1011" s="303">
        <f>K1011/L1011</f>
        <v>0.03586777260380287</v>
      </c>
      <c r="N1011" s="304">
        <v>197.4</v>
      </c>
      <c r="O1011" s="304">
        <f>M1011*N1011</f>
        <v>7.080298311990687</v>
      </c>
      <c r="P1011" s="304">
        <f>M1011*60*1000</f>
        <v>2152.066356228172</v>
      </c>
      <c r="Q1011" s="305">
        <f>P1011*N1011/1000</f>
        <v>424.81789871944113</v>
      </c>
      <c r="R1011" s="6"/>
      <c r="S1011" s="87"/>
      <c r="T1011" s="87"/>
    </row>
    <row r="1012" spans="1:20" ht="12.75">
      <c r="A1012" s="933"/>
      <c r="B1012" s="41"/>
      <c r="C1012" s="49" t="s">
        <v>781</v>
      </c>
      <c r="D1012" s="41">
        <v>8</v>
      </c>
      <c r="E1012" s="41">
        <v>1992</v>
      </c>
      <c r="F1012" s="315">
        <v>15.078</v>
      </c>
      <c r="G1012" s="315">
        <v>0.616</v>
      </c>
      <c r="H1012" s="315">
        <v>0.08</v>
      </c>
      <c r="I1012" s="315">
        <v>14.377</v>
      </c>
      <c r="J1012" s="317">
        <v>390.46</v>
      </c>
      <c r="K1012" s="315">
        <v>14.377</v>
      </c>
      <c r="L1012" s="317">
        <v>390.46</v>
      </c>
      <c r="M1012" s="309">
        <f>K1012/L1012</f>
        <v>0.0368206730522973</v>
      </c>
      <c r="N1012" s="310">
        <v>197.4</v>
      </c>
      <c r="O1012" s="310">
        <f>M1012*N1012</f>
        <v>7.268400860523487</v>
      </c>
      <c r="P1012" s="304">
        <f>M1012*60*1000</f>
        <v>2209.240383137838</v>
      </c>
      <c r="Q1012" s="311">
        <f>P1012*N1012/1000</f>
        <v>436.1040516314092</v>
      </c>
      <c r="R1012" s="6"/>
      <c r="S1012" s="87"/>
      <c r="T1012" s="87"/>
    </row>
    <row r="1013" spans="1:20" ht="12.75">
      <c r="A1013" s="933"/>
      <c r="B1013" s="41"/>
      <c r="C1013" s="49" t="s">
        <v>782</v>
      </c>
      <c r="D1013" s="41">
        <v>4</v>
      </c>
      <c r="E1013" s="41">
        <v>1988</v>
      </c>
      <c r="F1013" s="315">
        <v>10.973</v>
      </c>
      <c r="G1013" s="315">
        <v>0.28</v>
      </c>
      <c r="H1013" s="315">
        <v>0.64</v>
      </c>
      <c r="I1013" s="315">
        <v>10.053</v>
      </c>
      <c r="J1013" s="317">
        <v>270.88</v>
      </c>
      <c r="K1013" s="315">
        <v>10.053</v>
      </c>
      <c r="L1013" s="317">
        <v>270.88</v>
      </c>
      <c r="M1013" s="309">
        <f>K1013/L1013</f>
        <v>0.03711237448316598</v>
      </c>
      <c r="N1013" s="310">
        <v>197.4</v>
      </c>
      <c r="O1013" s="310">
        <f>M1013*N1013</f>
        <v>7.325982722976965</v>
      </c>
      <c r="P1013" s="304">
        <f>M1013*60*1000</f>
        <v>2226.742468989959</v>
      </c>
      <c r="Q1013" s="311">
        <f>P1013*N1013/1000</f>
        <v>439.5589633786179</v>
      </c>
      <c r="R1013" s="6"/>
      <c r="S1013" s="87"/>
      <c r="T1013" s="87"/>
    </row>
    <row r="1014" spans="1:20" ht="12.75">
      <c r="A1014" s="933"/>
      <c r="B1014" s="41"/>
      <c r="C1014" s="49"/>
      <c r="D1014" s="41"/>
      <c r="E1014" s="41"/>
      <c r="F1014" s="394"/>
      <c r="G1014" s="394"/>
      <c r="H1014" s="394"/>
      <c r="I1014" s="394"/>
      <c r="J1014" s="55"/>
      <c r="K1014" s="390"/>
      <c r="L1014" s="55"/>
      <c r="M1014" s="56"/>
      <c r="N1014" s="54"/>
      <c r="O1014" s="42"/>
      <c r="P1014" s="42"/>
      <c r="Q1014" s="45"/>
      <c r="R1014" s="6"/>
      <c r="S1014" s="87"/>
      <c r="T1014" s="87"/>
    </row>
    <row r="1015" spans="1:20" ht="12.75">
      <c r="A1015" s="933"/>
      <c r="B1015" s="41"/>
      <c r="C1015" s="49"/>
      <c r="D1015" s="41"/>
      <c r="E1015" s="41"/>
      <c r="F1015" s="54"/>
      <c r="G1015" s="54"/>
      <c r="H1015" s="54"/>
      <c r="I1015" s="54"/>
      <c r="J1015" s="55"/>
      <c r="K1015" s="390"/>
      <c r="L1015" s="55"/>
      <c r="M1015" s="56"/>
      <c r="N1015" s="54"/>
      <c r="O1015" s="42"/>
      <c r="P1015" s="42"/>
      <c r="Q1015" s="45"/>
      <c r="R1015" s="6"/>
      <c r="S1015" s="87"/>
      <c r="T1015" s="87"/>
    </row>
    <row r="1016" spans="1:20" ht="12.75">
      <c r="A1016" s="933"/>
      <c r="B1016" s="41"/>
      <c r="C1016" s="49"/>
      <c r="D1016" s="41"/>
      <c r="E1016" s="41"/>
      <c r="F1016" s="54"/>
      <c r="G1016" s="54"/>
      <c r="H1016" s="54"/>
      <c r="I1016" s="54"/>
      <c r="J1016" s="55"/>
      <c r="K1016" s="50"/>
      <c r="L1016" s="55"/>
      <c r="M1016" s="56"/>
      <c r="N1016" s="54"/>
      <c r="O1016" s="42"/>
      <c r="P1016" s="42"/>
      <c r="Q1016" s="45"/>
      <c r="R1016" s="6"/>
      <c r="S1016" s="87"/>
      <c r="T1016" s="87"/>
    </row>
    <row r="1017" spans="1:20" ht="12.75">
      <c r="A1017" s="933"/>
      <c r="B1017" s="41"/>
      <c r="C1017" s="49"/>
      <c r="D1017" s="41"/>
      <c r="E1017" s="41"/>
      <c r="F1017" s="54"/>
      <c r="G1017" s="54"/>
      <c r="H1017" s="54"/>
      <c r="I1017" s="54"/>
      <c r="J1017" s="55"/>
      <c r="K1017" s="50"/>
      <c r="L1017" s="55"/>
      <c r="M1017" s="56"/>
      <c r="N1017" s="54"/>
      <c r="O1017" s="42"/>
      <c r="P1017" s="42"/>
      <c r="Q1017" s="45"/>
      <c r="R1017" s="6"/>
      <c r="S1017" s="87"/>
      <c r="T1017" s="87"/>
    </row>
    <row r="1018" spans="1:20" ht="12.75">
      <c r="A1018" s="933"/>
      <c r="B1018" s="41"/>
      <c r="C1018" s="49"/>
      <c r="D1018" s="41"/>
      <c r="E1018" s="41"/>
      <c r="F1018" s="54"/>
      <c r="G1018" s="54"/>
      <c r="H1018" s="54"/>
      <c r="I1018" s="54"/>
      <c r="J1018" s="55"/>
      <c r="K1018" s="50"/>
      <c r="L1018" s="55"/>
      <c r="M1018" s="56"/>
      <c r="N1018" s="54"/>
      <c r="O1018" s="42"/>
      <c r="P1018" s="42"/>
      <c r="Q1018" s="45"/>
      <c r="R1018" s="6"/>
      <c r="S1018" s="87"/>
      <c r="T1018" s="87"/>
    </row>
    <row r="1019" spans="1:20" ht="13.5" thickBot="1">
      <c r="A1019" s="934"/>
      <c r="B1019" s="46"/>
      <c r="C1019" s="51"/>
      <c r="D1019" s="46"/>
      <c r="E1019" s="46"/>
      <c r="F1019" s="57"/>
      <c r="G1019" s="57"/>
      <c r="H1019" s="57"/>
      <c r="I1019" s="57"/>
      <c r="J1019" s="58"/>
      <c r="K1019" s="52"/>
      <c r="L1019" s="58"/>
      <c r="M1019" s="81"/>
      <c r="N1019" s="57"/>
      <c r="O1019" s="47"/>
      <c r="P1019" s="47"/>
      <c r="Q1019" s="48"/>
      <c r="R1019" s="6"/>
      <c r="S1019" s="87"/>
      <c r="T1019" s="87"/>
    </row>
    <row r="1020" spans="19:20" ht="12.75">
      <c r="S1020" s="87"/>
      <c r="T1020" s="87"/>
    </row>
    <row r="1021" spans="19:20" ht="12.75">
      <c r="S1021" s="87"/>
      <c r="T1021" s="87"/>
    </row>
    <row r="1022" spans="19:20" ht="12.75">
      <c r="S1022" s="87"/>
      <c r="T1022" s="87"/>
    </row>
    <row r="1023" spans="19:20" ht="12.75">
      <c r="S1023" s="87"/>
      <c r="T1023" s="87"/>
    </row>
    <row r="1024" spans="19:20" ht="12.75">
      <c r="S1024" s="87"/>
      <c r="T1024" s="87"/>
    </row>
    <row r="1025" spans="1:20" ht="15">
      <c r="A1025" s="906" t="s">
        <v>54</v>
      </c>
      <c r="B1025" s="906"/>
      <c r="C1025" s="906"/>
      <c r="D1025" s="906"/>
      <c r="E1025" s="906"/>
      <c r="F1025" s="906"/>
      <c r="G1025" s="906"/>
      <c r="H1025" s="906"/>
      <c r="I1025" s="906"/>
      <c r="J1025" s="906"/>
      <c r="K1025" s="906"/>
      <c r="L1025" s="906"/>
      <c r="M1025" s="906"/>
      <c r="N1025" s="906"/>
      <c r="O1025" s="906"/>
      <c r="P1025" s="906"/>
      <c r="Q1025" s="906"/>
      <c r="S1025" s="87"/>
      <c r="T1025" s="87"/>
    </row>
    <row r="1026" spans="1:20" ht="13.5" thickBot="1">
      <c r="A1026" s="935" t="s">
        <v>783</v>
      </c>
      <c r="B1026" s="935"/>
      <c r="C1026" s="935"/>
      <c r="D1026" s="935"/>
      <c r="E1026" s="935"/>
      <c r="F1026" s="935"/>
      <c r="G1026" s="935"/>
      <c r="H1026" s="935"/>
      <c r="I1026" s="935"/>
      <c r="J1026" s="935"/>
      <c r="K1026" s="935"/>
      <c r="L1026" s="935"/>
      <c r="M1026" s="935"/>
      <c r="N1026" s="935"/>
      <c r="O1026" s="935"/>
      <c r="P1026" s="935"/>
      <c r="Q1026" s="935"/>
      <c r="S1026" s="87"/>
      <c r="T1026" s="87"/>
    </row>
    <row r="1027" spans="1:20" ht="12.75" customHeight="1">
      <c r="A1027" s="890" t="s">
        <v>1</v>
      </c>
      <c r="B1027" s="892" t="s">
        <v>0</v>
      </c>
      <c r="C1027" s="888" t="s">
        <v>2</v>
      </c>
      <c r="D1027" s="888" t="s">
        <v>3</v>
      </c>
      <c r="E1027" s="888" t="s">
        <v>13</v>
      </c>
      <c r="F1027" s="896" t="s">
        <v>14</v>
      </c>
      <c r="G1027" s="897"/>
      <c r="H1027" s="897"/>
      <c r="I1027" s="898"/>
      <c r="J1027" s="888" t="s">
        <v>4</v>
      </c>
      <c r="K1027" s="888" t="s">
        <v>15</v>
      </c>
      <c r="L1027" s="888" t="s">
        <v>5</v>
      </c>
      <c r="M1027" s="888" t="s">
        <v>6</v>
      </c>
      <c r="N1027" s="888" t="s">
        <v>16</v>
      </c>
      <c r="O1027" s="949" t="s">
        <v>17</v>
      </c>
      <c r="P1027" s="888" t="s">
        <v>25</v>
      </c>
      <c r="Q1027" s="878" t="s">
        <v>26</v>
      </c>
      <c r="S1027" s="87"/>
      <c r="T1027" s="87"/>
    </row>
    <row r="1028" spans="1:20" s="2" customFormat="1" ht="33.75">
      <c r="A1028" s="891"/>
      <c r="B1028" s="893"/>
      <c r="C1028" s="894"/>
      <c r="D1028" s="889"/>
      <c r="E1028" s="889"/>
      <c r="F1028" s="36" t="s">
        <v>18</v>
      </c>
      <c r="G1028" s="36" t="s">
        <v>19</v>
      </c>
      <c r="H1028" s="36" t="s">
        <v>20</v>
      </c>
      <c r="I1028" s="36" t="s">
        <v>21</v>
      </c>
      <c r="J1028" s="889"/>
      <c r="K1028" s="889"/>
      <c r="L1028" s="889"/>
      <c r="M1028" s="889"/>
      <c r="N1028" s="889"/>
      <c r="O1028" s="950"/>
      <c r="P1028" s="889"/>
      <c r="Q1028" s="879"/>
      <c r="S1028" s="87"/>
      <c r="T1028" s="87"/>
    </row>
    <row r="1029" spans="1:20" s="3" customFormat="1" ht="13.5" customHeight="1" thickBot="1">
      <c r="A1029" s="945"/>
      <c r="B1029" s="946"/>
      <c r="C1029" s="895"/>
      <c r="D1029" s="59" t="s">
        <v>7</v>
      </c>
      <c r="E1029" s="59" t="s">
        <v>8</v>
      </c>
      <c r="F1029" s="59" t="s">
        <v>9</v>
      </c>
      <c r="G1029" s="59" t="s">
        <v>9</v>
      </c>
      <c r="H1029" s="59" t="s">
        <v>9</v>
      </c>
      <c r="I1029" s="59" t="s">
        <v>9</v>
      </c>
      <c r="J1029" s="59" t="s">
        <v>22</v>
      </c>
      <c r="K1029" s="59" t="s">
        <v>9</v>
      </c>
      <c r="L1029" s="59" t="s">
        <v>22</v>
      </c>
      <c r="M1029" s="59" t="s">
        <v>23</v>
      </c>
      <c r="N1029" s="59" t="s">
        <v>10</v>
      </c>
      <c r="O1029" s="59" t="s">
        <v>24</v>
      </c>
      <c r="P1029" s="60" t="s">
        <v>27</v>
      </c>
      <c r="Q1029" s="61" t="s">
        <v>28</v>
      </c>
      <c r="S1029" s="87"/>
      <c r="T1029" s="87"/>
    </row>
    <row r="1030" spans="1:20" ht="11.25" customHeight="1">
      <c r="A1030" s="942" t="s">
        <v>29</v>
      </c>
      <c r="B1030" s="33">
        <v>1</v>
      </c>
      <c r="C1030" s="32" t="s">
        <v>784</v>
      </c>
      <c r="D1030" s="33">
        <v>75</v>
      </c>
      <c r="E1030" s="33" t="s">
        <v>71</v>
      </c>
      <c r="F1030" s="388">
        <f aca="true" t="shared" si="138" ref="F1030:F1059">G1030+H1030+I1030</f>
        <v>50.229</v>
      </c>
      <c r="G1030" s="262">
        <v>8.249</v>
      </c>
      <c r="H1030" s="262">
        <v>11.84</v>
      </c>
      <c r="I1030" s="262">
        <v>30.14</v>
      </c>
      <c r="J1030" s="432">
        <v>3389.63</v>
      </c>
      <c r="K1030" s="388">
        <f aca="true" t="shared" si="139" ref="K1030:L1033">I1030</f>
        <v>30.14</v>
      </c>
      <c r="L1030" s="710">
        <f t="shared" si="139"/>
        <v>3389.63</v>
      </c>
      <c r="M1030" s="440">
        <f aca="true" t="shared" si="140" ref="M1030:M1059">K1030/L1030</f>
        <v>0.008891825951505032</v>
      </c>
      <c r="N1030" s="264">
        <v>343.24</v>
      </c>
      <c r="O1030" s="264">
        <f aca="true" t="shared" si="141" ref="O1030:O1059">M1030*N1030</f>
        <v>3.0520303395945874</v>
      </c>
      <c r="P1030" s="264">
        <f aca="true" t="shared" si="142" ref="P1030:P1059">M1030*60*1000</f>
        <v>533.5095570903019</v>
      </c>
      <c r="Q1030" s="441">
        <f aca="true" t="shared" si="143" ref="Q1030:Q1059">P1030*N1030/1000</f>
        <v>183.1218203756752</v>
      </c>
      <c r="S1030" s="87"/>
      <c r="T1030" s="87"/>
    </row>
    <row r="1031" spans="1:20" ht="12.75" customHeight="1">
      <c r="A1031" s="943"/>
      <c r="B1031" s="35">
        <v>2</v>
      </c>
      <c r="C1031" s="34" t="s">
        <v>402</v>
      </c>
      <c r="D1031" s="35">
        <v>23</v>
      </c>
      <c r="E1031" s="35">
        <v>2009</v>
      </c>
      <c r="F1031" s="263">
        <f t="shared" si="138"/>
        <v>18.667</v>
      </c>
      <c r="G1031" s="263">
        <v>1.648</v>
      </c>
      <c r="H1031" s="263">
        <v>1.84</v>
      </c>
      <c r="I1031" s="263">
        <v>15.179</v>
      </c>
      <c r="J1031" s="118">
        <v>1098.31</v>
      </c>
      <c r="K1031" s="263">
        <f t="shared" si="139"/>
        <v>15.179</v>
      </c>
      <c r="L1031" s="118">
        <f t="shared" si="139"/>
        <v>1098.31</v>
      </c>
      <c r="M1031" s="147">
        <f t="shared" si="140"/>
        <v>0.013820323952253919</v>
      </c>
      <c r="N1031" s="148">
        <v>343.24</v>
      </c>
      <c r="O1031" s="148">
        <f t="shared" si="141"/>
        <v>4.743687993371635</v>
      </c>
      <c r="P1031" s="148">
        <f t="shared" si="142"/>
        <v>829.2194371352351</v>
      </c>
      <c r="Q1031" s="170">
        <f t="shared" si="143"/>
        <v>284.6212796022981</v>
      </c>
      <c r="S1031" s="87"/>
      <c r="T1031" s="87"/>
    </row>
    <row r="1032" spans="1:20" ht="12.75" customHeight="1">
      <c r="A1032" s="943"/>
      <c r="B1032" s="35">
        <v>3</v>
      </c>
      <c r="C1032" s="34" t="s">
        <v>785</v>
      </c>
      <c r="D1032" s="35">
        <v>8</v>
      </c>
      <c r="E1032" s="35" t="s">
        <v>71</v>
      </c>
      <c r="F1032" s="263">
        <f t="shared" si="138"/>
        <v>10.836</v>
      </c>
      <c r="G1032" s="263">
        <v>0.486</v>
      </c>
      <c r="H1032" s="263">
        <v>0.64</v>
      </c>
      <c r="I1032" s="263">
        <v>9.71</v>
      </c>
      <c r="J1032" s="118">
        <v>633.84</v>
      </c>
      <c r="K1032" s="263">
        <f t="shared" si="139"/>
        <v>9.71</v>
      </c>
      <c r="L1032" s="118">
        <f t="shared" si="139"/>
        <v>633.84</v>
      </c>
      <c r="M1032" s="139">
        <f t="shared" si="140"/>
        <v>0.01531932348857756</v>
      </c>
      <c r="N1032" s="148">
        <v>343.24</v>
      </c>
      <c r="O1032" s="148">
        <f t="shared" si="141"/>
        <v>5.258204594219362</v>
      </c>
      <c r="P1032" s="148">
        <f t="shared" si="142"/>
        <v>919.1594093146535</v>
      </c>
      <c r="Q1032" s="168">
        <f t="shared" si="143"/>
        <v>315.4922756531617</v>
      </c>
      <c r="S1032" s="87"/>
      <c r="T1032" s="87"/>
    </row>
    <row r="1033" spans="1:20" ht="12.75" customHeight="1">
      <c r="A1033" s="943"/>
      <c r="B1033" s="35">
        <v>4</v>
      </c>
      <c r="C1033" s="34" t="s">
        <v>786</v>
      </c>
      <c r="D1033" s="35">
        <v>29</v>
      </c>
      <c r="E1033" s="35" t="s">
        <v>71</v>
      </c>
      <c r="F1033" s="263">
        <f t="shared" si="138"/>
        <v>33.16</v>
      </c>
      <c r="G1033" s="263">
        <v>2.982</v>
      </c>
      <c r="H1033" s="263">
        <v>4.64</v>
      </c>
      <c r="I1033" s="263">
        <v>25.538</v>
      </c>
      <c r="J1033" s="118">
        <v>1612.1</v>
      </c>
      <c r="K1033" s="263">
        <f t="shared" si="139"/>
        <v>25.538</v>
      </c>
      <c r="L1033" s="118">
        <f t="shared" si="139"/>
        <v>1612.1</v>
      </c>
      <c r="M1033" s="139">
        <f t="shared" si="140"/>
        <v>0.01584144904162273</v>
      </c>
      <c r="N1033" s="148">
        <v>343.24</v>
      </c>
      <c r="O1033" s="138">
        <f t="shared" si="141"/>
        <v>5.437418969046586</v>
      </c>
      <c r="P1033" s="148">
        <f t="shared" si="142"/>
        <v>950.4869424973638</v>
      </c>
      <c r="Q1033" s="168">
        <f t="shared" si="143"/>
        <v>326.2451381427951</v>
      </c>
      <c r="S1033" s="87"/>
      <c r="T1033" s="87"/>
    </row>
    <row r="1034" spans="1:20" ht="12.75" customHeight="1">
      <c r="A1034" s="943"/>
      <c r="B1034" s="35">
        <v>5</v>
      </c>
      <c r="C1034" s="34" t="s">
        <v>787</v>
      </c>
      <c r="D1034" s="35">
        <v>9</v>
      </c>
      <c r="E1034" s="35" t="s">
        <v>71</v>
      </c>
      <c r="F1034" s="263">
        <f t="shared" si="138"/>
        <v>12.7</v>
      </c>
      <c r="G1034" s="263">
        <v>0.621</v>
      </c>
      <c r="H1034" s="263">
        <v>1.6</v>
      </c>
      <c r="I1034" s="263">
        <v>10.479</v>
      </c>
      <c r="J1034" s="118">
        <v>656.14</v>
      </c>
      <c r="K1034" s="263">
        <v>9.658</v>
      </c>
      <c r="L1034" s="118">
        <v>604.77</v>
      </c>
      <c r="M1034" s="139">
        <f t="shared" si="140"/>
        <v>0.015969707492104437</v>
      </c>
      <c r="N1034" s="148">
        <v>343.24</v>
      </c>
      <c r="O1034" s="138">
        <f t="shared" si="141"/>
        <v>5.481442399589927</v>
      </c>
      <c r="P1034" s="148">
        <f t="shared" si="142"/>
        <v>958.1824495262662</v>
      </c>
      <c r="Q1034" s="168">
        <f t="shared" si="143"/>
        <v>328.8865439753956</v>
      </c>
      <c r="S1034" s="87"/>
      <c r="T1034" s="87"/>
    </row>
    <row r="1035" spans="1:20" s="96" customFormat="1" ht="12.75" customHeight="1">
      <c r="A1035" s="943"/>
      <c r="B1035" s="103">
        <v>6</v>
      </c>
      <c r="C1035" s="34" t="s">
        <v>788</v>
      </c>
      <c r="D1035" s="35">
        <v>18</v>
      </c>
      <c r="E1035" s="35">
        <v>1996</v>
      </c>
      <c r="F1035" s="263">
        <f t="shared" si="138"/>
        <v>23.38</v>
      </c>
      <c r="G1035" s="263">
        <v>0</v>
      </c>
      <c r="H1035" s="263">
        <v>0</v>
      </c>
      <c r="I1035" s="263">
        <v>23.38</v>
      </c>
      <c r="J1035" s="118">
        <v>1321.61</v>
      </c>
      <c r="K1035" s="263">
        <f aca="true" t="shared" si="144" ref="K1035:K1044">I1035</f>
        <v>23.38</v>
      </c>
      <c r="L1035" s="118">
        <f aca="true" t="shared" si="145" ref="L1035:L1044">J1035</f>
        <v>1321.61</v>
      </c>
      <c r="M1035" s="139">
        <f t="shared" si="140"/>
        <v>0.017690544109079078</v>
      </c>
      <c r="N1035" s="148">
        <v>343.24</v>
      </c>
      <c r="O1035" s="138">
        <f t="shared" si="141"/>
        <v>6.072102360000303</v>
      </c>
      <c r="P1035" s="148">
        <f t="shared" si="142"/>
        <v>1061.4326465447448</v>
      </c>
      <c r="Q1035" s="168">
        <f t="shared" si="143"/>
        <v>364.3261416000182</v>
      </c>
      <c r="S1035" s="97"/>
      <c r="T1035" s="97"/>
    </row>
    <row r="1036" spans="1:20" ht="12.75" customHeight="1">
      <c r="A1036" s="943"/>
      <c r="B1036" s="35">
        <v>7</v>
      </c>
      <c r="C1036" s="34" t="s">
        <v>789</v>
      </c>
      <c r="D1036" s="35">
        <v>20</v>
      </c>
      <c r="E1036" s="35" t="s">
        <v>71</v>
      </c>
      <c r="F1036" s="263">
        <f t="shared" si="138"/>
        <v>25.901</v>
      </c>
      <c r="G1036" s="263">
        <v>2.323</v>
      </c>
      <c r="H1036" s="263">
        <v>3.2</v>
      </c>
      <c r="I1036" s="263">
        <v>20.378</v>
      </c>
      <c r="J1036" s="118">
        <v>1143.7</v>
      </c>
      <c r="K1036" s="263">
        <f t="shared" si="144"/>
        <v>20.378</v>
      </c>
      <c r="L1036" s="118">
        <f t="shared" si="145"/>
        <v>1143.7</v>
      </c>
      <c r="M1036" s="139">
        <f t="shared" si="140"/>
        <v>0.017817609512984174</v>
      </c>
      <c r="N1036" s="148">
        <v>343.24</v>
      </c>
      <c r="O1036" s="138">
        <f t="shared" si="141"/>
        <v>6.115716289236688</v>
      </c>
      <c r="P1036" s="148">
        <f t="shared" si="142"/>
        <v>1069.0565707790504</v>
      </c>
      <c r="Q1036" s="168">
        <f t="shared" si="143"/>
        <v>366.9429773542013</v>
      </c>
      <c r="S1036" s="87"/>
      <c r="T1036" s="87"/>
    </row>
    <row r="1037" spans="1:20" ht="12.75" customHeight="1">
      <c r="A1037" s="943"/>
      <c r="B1037" s="35">
        <v>8</v>
      </c>
      <c r="C1037" s="34" t="s">
        <v>790</v>
      </c>
      <c r="D1037" s="35">
        <v>8</v>
      </c>
      <c r="E1037" s="35" t="s">
        <v>71</v>
      </c>
      <c r="F1037" s="263">
        <f t="shared" si="138"/>
        <v>9.356</v>
      </c>
      <c r="G1037" s="263">
        <v>0</v>
      </c>
      <c r="H1037" s="263">
        <v>0</v>
      </c>
      <c r="I1037" s="263">
        <v>9.356</v>
      </c>
      <c r="J1037" s="118">
        <v>495.82</v>
      </c>
      <c r="K1037" s="263">
        <f t="shared" si="144"/>
        <v>9.356</v>
      </c>
      <c r="L1037" s="118">
        <f t="shared" si="145"/>
        <v>495.82</v>
      </c>
      <c r="M1037" s="139">
        <f t="shared" si="140"/>
        <v>0.01886975111935783</v>
      </c>
      <c r="N1037" s="148">
        <v>343.24</v>
      </c>
      <c r="O1037" s="138">
        <f t="shared" si="141"/>
        <v>6.476853374208382</v>
      </c>
      <c r="P1037" s="148">
        <f t="shared" si="142"/>
        <v>1132.1850671614698</v>
      </c>
      <c r="Q1037" s="168">
        <f t="shared" si="143"/>
        <v>388.61120245250294</v>
      </c>
      <c r="S1037" s="87"/>
      <c r="T1037" s="87"/>
    </row>
    <row r="1038" spans="1:20" ht="13.5" customHeight="1">
      <c r="A1038" s="943"/>
      <c r="B1038" s="35">
        <v>9</v>
      </c>
      <c r="C1038" s="34" t="s">
        <v>791</v>
      </c>
      <c r="D1038" s="35">
        <v>40</v>
      </c>
      <c r="E1038" s="35" t="s">
        <v>71</v>
      </c>
      <c r="F1038" s="263">
        <f t="shared" si="138"/>
        <v>52.143</v>
      </c>
      <c r="G1038" s="263">
        <v>3.836</v>
      </c>
      <c r="H1038" s="263">
        <v>6.4</v>
      </c>
      <c r="I1038" s="263">
        <v>41.907</v>
      </c>
      <c r="J1038" s="118">
        <v>2185.81</v>
      </c>
      <c r="K1038" s="263">
        <f t="shared" si="144"/>
        <v>41.907</v>
      </c>
      <c r="L1038" s="118">
        <f t="shared" si="145"/>
        <v>2185.81</v>
      </c>
      <c r="M1038" s="139">
        <f t="shared" si="140"/>
        <v>0.0191722976836962</v>
      </c>
      <c r="N1038" s="148">
        <v>343.24</v>
      </c>
      <c r="O1038" s="138">
        <f t="shared" si="141"/>
        <v>6.580699456951884</v>
      </c>
      <c r="P1038" s="148">
        <f t="shared" si="142"/>
        <v>1150.3378610217721</v>
      </c>
      <c r="Q1038" s="168">
        <f t="shared" si="143"/>
        <v>394.8419674171131</v>
      </c>
      <c r="S1038" s="87"/>
      <c r="T1038" s="87"/>
    </row>
    <row r="1039" spans="1:20" s="96" customFormat="1" ht="12.75" customHeight="1" thickBot="1">
      <c r="A1039" s="944"/>
      <c r="B1039" s="120"/>
      <c r="C1039" s="83" t="s">
        <v>792</v>
      </c>
      <c r="D1039" s="38">
        <v>40</v>
      </c>
      <c r="E1039" s="38" t="s">
        <v>71</v>
      </c>
      <c r="F1039" s="385">
        <f t="shared" si="138"/>
        <v>53.97</v>
      </c>
      <c r="G1039" s="265">
        <v>4.504</v>
      </c>
      <c r="H1039" s="265">
        <v>6.4</v>
      </c>
      <c r="I1039" s="265">
        <v>43.066</v>
      </c>
      <c r="J1039" s="184">
        <v>2216.78</v>
      </c>
      <c r="K1039" s="385">
        <f t="shared" si="144"/>
        <v>43.066</v>
      </c>
      <c r="L1039" s="380">
        <f t="shared" si="145"/>
        <v>2216.78</v>
      </c>
      <c r="M1039" s="218">
        <f t="shared" si="140"/>
        <v>0.019427277402358376</v>
      </c>
      <c r="N1039" s="379">
        <v>343.24</v>
      </c>
      <c r="O1039" s="171">
        <f t="shared" si="141"/>
        <v>6.668218695585489</v>
      </c>
      <c r="P1039" s="171">
        <f t="shared" si="142"/>
        <v>1165.6366441415025</v>
      </c>
      <c r="Q1039" s="172">
        <f t="shared" si="143"/>
        <v>400.09312173512933</v>
      </c>
      <c r="S1039" s="97"/>
      <c r="T1039" s="97"/>
    </row>
    <row r="1040" spans="1:20" ht="12.75">
      <c r="A1040" s="921" t="s">
        <v>30</v>
      </c>
      <c r="B1040" s="231">
        <v>1</v>
      </c>
      <c r="C1040" s="270" t="s">
        <v>793</v>
      </c>
      <c r="D1040" s="231">
        <v>12</v>
      </c>
      <c r="E1040" s="231" t="s">
        <v>71</v>
      </c>
      <c r="F1040" s="423">
        <f t="shared" si="138"/>
        <v>19.526999999999997</v>
      </c>
      <c r="G1040" s="423">
        <v>0.216</v>
      </c>
      <c r="H1040" s="423">
        <v>1.92</v>
      </c>
      <c r="I1040" s="423">
        <v>17.391</v>
      </c>
      <c r="J1040" s="434">
        <v>701.9</v>
      </c>
      <c r="K1040" s="423">
        <f t="shared" si="144"/>
        <v>17.391</v>
      </c>
      <c r="L1040" s="434">
        <f t="shared" si="145"/>
        <v>701.9</v>
      </c>
      <c r="M1040" s="444">
        <f t="shared" si="140"/>
        <v>0.02477703376549366</v>
      </c>
      <c r="N1040" s="424">
        <v>343.24</v>
      </c>
      <c r="O1040" s="424">
        <f t="shared" si="141"/>
        <v>8.504469069668044</v>
      </c>
      <c r="P1040" s="424">
        <f t="shared" si="142"/>
        <v>1486.6220259296194</v>
      </c>
      <c r="Q1040" s="445">
        <f t="shared" si="143"/>
        <v>510.2681441800826</v>
      </c>
      <c r="S1040" s="87"/>
      <c r="T1040" s="87"/>
    </row>
    <row r="1041" spans="1:20" ht="12.75">
      <c r="A1041" s="922"/>
      <c r="B1041" s="232">
        <v>2</v>
      </c>
      <c r="C1041" s="272" t="s">
        <v>794</v>
      </c>
      <c r="D1041" s="232">
        <v>20</v>
      </c>
      <c r="E1041" s="232" t="s">
        <v>71</v>
      </c>
      <c r="F1041" s="288">
        <f t="shared" si="138"/>
        <v>30.002000000000002</v>
      </c>
      <c r="G1041" s="288">
        <v>1.675</v>
      </c>
      <c r="H1041" s="288">
        <v>3.12</v>
      </c>
      <c r="I1041" s="288">
        <v>25.207</v>
      </c>
      <c r="J1041" s="279">
        <v>1014.75</v>
      </c>
      <c r="K1041" s="288">
        <f t="shared" si="144"/>
        <v>25.207</v>
      </c>
      <c r="L1041" s="279">
        <f t="shared" si="145"/>
        <v>1014.75</v>
      </c>
      <c r="M1041" s="290">
        <f t="shared" si="140"/>
        <v>0.02484060113328406</v>
      </c>
      <c r="N1041" s="285">
        <v>343.24</v>
      </c>
      <c r="O1041" s="289">
        <f t="shared" si="141"/>
        <v>8.52628793298842</v>
      </c>
      <c r="P1041" s="285">
        <f t="shared" si="142"/>
        <v>1490.4360679970437</v>
      </c>
      <c r="Q1041" s="291">
        <f t="shared" si="143"/>
        <v>511.5772759793053</v>
      </c>
      <c r="S1041" s="87"/>
      <c r="T1041" s="87"/>
    </row>
    <row r="1042" spans="1:20" ht="12.75">
      <c r="A1042" s="922"/>
      <c r="B1042" s="232">
        <v>3</v>
      </c>
      <c r="C1042" s="272" t="s">
        <v>522</v>
      </c>
      <c r="D1042" s="232">
        <v>19</v>
      </c>
      <c r="E1042" s="232" t="s">
        <v>71</v>
      </c>
      <c r="F1042" s="288">
        <f t="shared" si="138"/>
        <v>27.71</v>
      </c>
      <c r="G1042" s="288">
        <v>1.513</v>
      </c>
      <c r="H1042" s="288">
        <v>3.04</v>
      </c>
      <c r="I1042" s="288">
        <v>23.157</v>
      </c>
      <c r="J1042" s="279">
        <v>932.16</v>
      </c>
      <c r="K1042" s="288">
        <f t="shared" si="144"/>
        <v>23.157</v>
      </c>
      <c r="L1042" s="279">
        <f t="shared" si="145"/>
        <v>932.16</v>
      </c>
      <c r="M1042" s="290">
        <f t="shared" si="140"/>
        <v>0.0248423017507724</v>
      </c>
      <c r="N1042" s="285">
        <v>343.24</v>
      </c>
      <c r="O1042" s="289">
        <f t="shared" si="141"/>
        <v>8.52687165293512</v>
      </c>
      <c r="P1042" s="285">
        <f t="shared" si="142"/>
        <v>1490.538105046344</v>
      </c>
      <c r="Q1042" s="291">
        <f t="shared" si="143"/>
        <v>511.6122991761072</v>
      </c>
      <c r="S1042" s="87"/>
      <c r="T1042" s="87"/>
    </row>
    <row r="1043" spans="1:20" s="96" customFormat="1" ht="12.75">
      <c r="A1043" s="922"/>
      <c r="B1043" s="278">
        <v>4</v>
      </c>
      <c r="C1043" s="272" t="s">
        <v>795</v>
      </c>
      <c r="D1043" s="232">
        <v>32</v>
      </c>
      <c r="E1043" s="232" t="s">
        <v>71</v>
      </c>
      <c r="F1043" s="288">
        <f t="shared" si="138"/>
        <v>37.778999999999996</v>
      </c>
      <c r="G1043" s="288">
        <v>2.242</v>
      </c>
      <c r="H1043" s="288">
        <v>5.04</v>
      </c>
      <c r="I1043" s="288">
        <v>30.497</v>
      </c>
      <c r="J1043" s="279">
        <v>1224.34</v>
      </c>
      <c r="K1043" s="288">
        <f t="shared" si="144"/>
        <v>30.497</v>
      </c>
      <c r="L1043" s="279">
        <f t="shared" si="145"/>
        <v>1224.34</v>
      </c>
      <c r="M1043" s="290">
        <f t="shared" si="140"/>
        <v>0.02490893052583433</v>
      </c>
      <c r="N1043" s="285">
        <v>343.24</v>
      </c>
      <c r="O1043" s="289">
        <f t="shared" si="141"/>
        <v>8.549741313687376</v>
      </c>
      <c r="P1043" s="285">
        <f t="shared" si="142"/>
        <v>1494.5358315500598</v>
      </c>
      <c r="Q1043" s="291">
        <f t="shared" si="143"/>
        <v>512.9844788212425</v>
      </c>
      <c r="S1043" s="97"/>
      <c r="T1043" s="97"/>
    </row>
    <row r="1044" spans="1:20" ht="12.75">
      <c r="A1044" s="922"/>
      <c r="B1044" s="232">
        <v>5</v>
      </c>
      <c r="C1044" s="272" t="s">
        <v>796</v>
      </c>
      <c r="D1044" s="232">
        <v>20</v>
      </c>
      <c r="E1044" s="232" t="s">
        <v>71</v>
      </c>
      <c r="F1044" s="288">
        <f t="shared" si="138"/>
        <v>31.404999999999998</v>
      </c>
      <c r="G1044" s="288">
        <v>1.837</v>
      </c>
      <c r="H1044" s="288">
        <v>3.2</v>
      </c>
      <c r="I1044" s="288">
        <v>26.368</v>
      </c>
      <c r="J1044" s="279">
        <v>1054.08</v>
      </c>
      <c r="K1044" s="288">
        <f t="shared" si="144"/>
        <v>26.368</v>
      </c>
      <c r="L1044" s="279">
        <f t="shared" si="145"/>
        <v>1054.08</v>
      </c>
      <c r="M1044" s="290">
        <f t="shared" si="140"/>
        <v>0.02501517911353977</v>
      </c>
      <c r="N1044" s="285">
        <v>343.24</v>
      </c>
      <c r="O1044" s="289">
        <f t="shared" si="141"/>
        <v>8.58621007893139</v>
      </c>
      <c r="P1044" s="285">
        <f t="shared" si="142"/>
        <v>1500.9107468123862</v>
      </c>
      <c r="Q1044" s="291">
        <f t="shared" si="143"/>
        <v>515.1726047358834</v>
      </c>
      <c r="S1044" s="87"/>
      <c r="T1044" s="87"/>
    </row>
    <row r="1045" spans="1:20" ht="12.75">
      <c r="A1045" s="922"/>
      <c r="B1045" s="232">
        <v>6</v>
      </c>
      <c r="C1045" s="272" t="s">
        <v>797</v>
      </c>
      <c r="D1045" s="232">
        <v>9</v>
      </c>
      <c r="E1045" s="232" t="s">
        <v>71</v>
      </c>
      <c r="F1045" s="288">
        <f t="shared" si="138"/>
        <v>18.145</v>
      </c>
      <c r="G1045" s="288">
        <v>0.486</v>
      </c>
      <c r="H1045" s="288">
        <v>1.92</v>
      </c>
      <c r="I1045" s="288">
        <v>15.739</v>
      </c>
      <c r="J1045" s="279">
        <v>679.32</v>
      </c>
      <c r="K1045" s="288">
        <v>13.0237</v>
      </c>
      <c r="L1045" s="279">
        <v>519.08</v>
      </c>
      <c r="M1045" s="290">
        <f t="shared" si="140"/>
        <v>0.02508996686445249</v>
      </c>
      <c r="N1045" s="285">
        <v>343.24</v>
      </c>
      <c r="O1045" s="289">
        <f t="shared" si="141"/>
        <v>8.611880226554673</v>
      </c>
      <c r="P1045" s="285">
        <f t="shared" si="142"/>
        <v>1505.3980118671495</v>
      </c>
      <c r="Q1045" s="291">
        <f t="shared" si="143"/>
        <v>516.7128135932804</v>
      </c>
      <c r="S1045" s="87"/>
      <c r="T1045" s="87"/>
    </row>
    <row r="1046" spans="1:20" ht="12.75">
      <c r="A1046" s="922"/>
      <c r="B1046" s="232">
        <v>7</v>
      </c>
      <c r="C1046" s="272" t="s">
        <v>523</v>
      </c>
      <c r="D1046" s="232">
        <v>24</v>
      </c>
      <c r="E1046" s="232" t="s">
        <v>71</v>
      </c>
      <c r="F1046" s="288">
        <f t="shared" si="138"/>
        <v>29.836000000000002</v>
      </c>
      <c r="G1046" s="288">
        <v>1.729</v>
      </c>
      <c r="H1046" s="288">
        <v>3.92</v>
      </c>
      <c r="I1046" s="288">
        <v>24.187</v>
      </c>
      <c r="J1046" s="279">
        <v>1242.07</v>
      </c>
      <c r="K1046" s="288">
        <v>22.996</v>
      </c>
      <c r="L1046" s="279">
        <v>903.24</v>
      </c>
      <c r="M1046" s="290">
        <f t="shared" si="140"/>
        <v>0.02545945706567468</v>
      </c>
      <c r="N1046" s="285">
        <v>343.24</v>
      </c>
      <c r="O1046" s="289">
        <f t="shared" si="141"/>
        <v>8.738704043222176</v>
      </c>
      <c r="P1046" s="285">
        <f t="shared" si="142"/>
        <v>1527.567423940481</v>
      </c>
      <c r="Q1046" s="291">
        <f t="shared" si="143"/>
        <v>524.3222425933307</v>
      </c>
      <c r="S1046" s="87"/>
      <c r="T1046" s="87"/>
    </row>
    <row r="1047" spans="1:20" s="96" customFormat="1" ht="12.75">
      <c r="A1047" s="922"/>
      <c r="B1047" s="278">
        <v>8</v>
      </c>
      <c r="C1047" s="272" t="s">
        <v>798</v>
      </c>
      <c r="D1047" s="232">
        <v>22</v>
      </c>
      <c r="E1047" s="232" t="s">
        <v>71</v>
      </c>
      <c r="F1047" s="288">
        <f t="shared" si="138"/>
        <v>34.597</v>
      </c>
      <c r="G1047" s="288">
        <v>1.54</v>
      </c>
      <c r="H1047" s="288">
        <v>3.52</v>
      </c>
      <c r="I1047" s="288">
        <v>29.537</v>
      </c>
      <c r="J1047" s="279">
        <v>1157.42</v>
      </c>
      <c r="K1047" s="288">
        <f aca="true" t="shared" si="146" ref="K1047:L1051">I1047</f>
        <v>29.537</v>
      </c>
      <c r="L1047" s="279">
        <f t="shared" si="146"/>
        <v>1157.42</v>
      </c>
      <c r="M1047" s="290">
        <f t="shared" si="140"/>
        <v>0.025519690345769036</v>
      </c>
      <c r="N1047" s="285">
        <v>343.24</v>
      </c>
      <c r="O1047" s="289">
        <f t="shared" si="141"/>
        <v>8.759378514281764</v>
      </c>
      <c r="P1047" s="285">
        <f t="shared" si="142"/>
        <v>1531.181420746142</v>
      </c>
      <c r="Q1047" s="291">
        <f t="shared" si="143"/>
        <v>525.5627108569058</v>
      </c>
      <c r="S1047" s="97"/>
      <c r="T1047" s="97"/>
    </row>
    <row r="1048" spans="1:20" ht="12.75">
      <c r="A1048" s="923"/>
      <c r="B1048" s="245">
        <v>9</v>
      </c>
      <c r="C1048" s="272" t="s">
        <v>799</v>
      </c>
      <c r="D1048" s="232">
        <v>36</v>
      </c>
      <c r="E1048" s="232" t="s">
        <v>71</v>
      </c>
      <c r="F1048" s="288">
        <f t="shared" si="138"/>
        <v>38.818</v>
      </c>
      <c r="G1048" s="288">
        <v>0</v>
      </c>
      <c r="H1048" s="288">
        <v>0</v>
      </c>
      <c r="I1048" s="288">
        <v>38.818</v>
      </c>
      <c r="J1048" s="279">
        <v>1512.85</v>
      </c>
      <c r="K1048" s="288">
        <f t="shared" si="146"/>
        <v>38.818</v>
      </c>
      <c r="L1048" s="279">
        <f t="shared" si="146"/>
        <v>1512.85</v>
      </c>
      <c r="M1048" s="290">
        <f t="shared" si="140"/>
        <v>0.02565885580196318</v>
      </c>
      <c r="N1048" s="285">
        <v>343.24</v>
      </c>
      <c r="O1048" s="289">
        <f t="shared" si="141"/>
        <v>8.807145665465843</v>
      </c>
      <c r="P1048" s="285">
        <f t="shared" si="142"/>
        <v>1539.531348117791</v>
      </c>
      <c r="Q1048" s="291">
        <f t="shared" si="143"/>
        <v>528.4287399279506</v>
      </c>
      <c r="S1048" s="87"/>
      <c r="T1048" s="87"/>
    </row>
    <row r="1049" spans="1:20" ht="13.5" thickBot="1">
      <c r="A1049" s="924"/>
      <c r="B1049" s="246">
        <v>10</v>
      </c>
      <c r="C1049" s="276" t="s">
        <v>800</v>
      </c>
      <c r="D1049" s="246">
        <v>22</v>
      </c>
      <c r="E1049" s="246" t="s">
        <v>71</v>
      </c>
      <c r="F1049" s="292">
        <f t="shared" si="138"/>
        <v>36.826</v>
      </c>
      <c r="G1049" s="292">
        <v>1.747</v>
      </c>
      <c r="H1049" s="292">
        <v>3.52</v>
      </c>
      <c r="I1049" s="292">
        <v>31.559</v>
      </c>
      <c r="J1049" s="281">
        <v>1217.03</v>
      </c>
      <c r="K1049" s="292">
        <f t="shared" si="146"/>
        <v>31.559</v>
      </c>
      <c r="L1049" s="281">
        <f t="shared" si="146"/>
        <v>1217.03</v>
      </c>
      <c r="M1049" s="294">
        <f t="shared" si="140"/>
        <v>0.025931160283641324</v>
      </c>
      <c r="N1049" s="608">
        <v>343.24</v>
      </c>
      <c r="O1049" s="293">
        <f t="shared" si="141"/>
        <v>8.900611455757048</v>
      </c>
      <c r="P1049" s="293">
        <f t="shared" si="142"/>
        <v>1555.8696170184794</v>
      </c>
      <c r="Q1049" s="295">
        <f t="shared" si="143"/>
        <v>534.0366873454229</v>
      </c>
      <c r="S1049" s="87"/>
      <c r="T1049" s="87"/>
    </row>
    <row r="1050" spans="1:20" ht="12.75">
      <c r="A1050" s="948" t="s">
        <v>12</v>
      </c>
      <c r="B1050" s="39">
        <v>1</v>
      </c>
      <c r="C1050" s="277" t="s">
        <v>801</v>
      </c>
      <c r="D1050" s="39">
        <v>20</v>
      </c>
      <c r="E1050" s="39" t="s">
        <v>71</v>
      </c>
      <c r="F1050" s="458">
        <f t="shared" si="138"/>
        <v>34.725</v>
      </c>
      <c r="G1050" s="429">
        <v>1.594</v>
      </c>
      <c r="H1050" s="429">
        <v>3.2</v>
      </c>
      <c r="I1050" s="429">
        <v>29.931</v>
      </c>
      <c r="J1050" s="360">
        <v>1049.01</v>
      </c>
      <c r="K1050" s="429">
        <f t="shared" si="146"/>
        <v>29.931</v>
      </c>
      <c r="L1050" s="360">
        <f t="shared" si="146"/>
        <v>1049.01</v>
      </c>
      <c r="M1050" s="449">
        <f t="shared" si="140"/>
        <v>0.02853261646695456</v>
      </c>
      <c r="N1050" s="772">
        <v>343.24</v>
      </c>
      <c r="O1050" s="450">
        <f t="shared" si="141"/>
        <v>9.793535276117483</v>
      </c>
      <c r="P1050" s="450">
        <f t="shared" si="142"/>
        <v>1711.9569880172735</v>
      </c>
      <c r="Q1050" s="451">
        <f t="shared" si="143"/>
        <v>587.6121165670489</v>
      </c>
      <c r="S1050" s="87"/>
      <c r="T1050" s="87"/>
    </row>
    <row r="1051" spans="1:20" ht="12.75">
      <c r="A1051" s="919"/>
      <c r="B1051" s="41">
        <v>2</v>
      </c>
      <c r="C1051" s="49" t="s">
        <v>802</v>
      </c>
      <c r="D1051" s="41">
        <v>47</v>
      </c>
      <c r="E1051" s="41" t="s">
        <v>71</v>
      </c>
      <c r="F1051" s="315">
        <f t="shared" si="138"/>
        <v>38.480000000000004</v>
      </c>
      <c r="G1051" s="315">
        <v>1.742</v>
      </c>
      <c r="H1051" s="315">
        <v>1.44</v>
      </c>
      <c r="I1051" s="315">
        <v>35.298</v>
      </c>
      <c r="J1051" s="317">
        <v>1214.4</v>
      </c>
      <c r="K1051" s="315">
        <f t="shared" si="146"/>
        <v>35.298</v>
      </c>
      <c r="L1051" s="317">
        <f t="shared" si="146"/>
        <v>1214.4</v>
      </c>
      <c r="M1051" s="309">
        <f t="shared" si="140"/>
        <v>0.029066205533596838</v>
      </c>
      <c r="N1051" s="41">
        <v>343.24</v>
      </c>
      <c r="O1051" s="310">
        <f t="shared" si="141"/>
        <v>9.97668438735178</v>
      </c>
      <c r="P1051" s="304">
        <f t="shared" si="142"/>
        <v>1743.9723320158103</v>
      </c>
      <c r="Q1051" s="311">
        <f t="shared" si="143"/>
        <v>598.6010632411067</v>
      </c>
      <c r="S1051" s="87"/>
      <c r="T1051" s="87"/>
    </row>
    <row r="1052" spans="1:20" ht="12.75">
      <c r="A1052" s="919"/>
      <c r="B1052" s="41">
        <v>3</v>
      </c>
      <c r="C1052" s="49" t="s">
        <v>803</v>
      </c>
      <c r="D1052" s="41">
        <v>14</v>
      </c>
      <c r="E1052" s="41" t="s">
        <v>71</v>
      </c>
      <c r="F1052" s="315">
        <f t="shared" si="138"/>
        <v>25.46</v>
      </c>
      <c r="G1052" s="315">
        <v>1.729</v>
      </c>
      <c r="H1052" s="315">
        <v>2.25</v>
      </c>
      <c r="I1052" s="315">
        <v>21.481</v>
      </c>
      <c r="J1052" s="317">
        <v>880.52</v>
      </c>
      <c r="K1052" s="315">
        <v>15.324</v>
      </c>
      <c r="L1052" s="317">
        <v>522.48</v>
      </c>
      <c r="M1052" s="309">
        <f t="shared" si="140"/>
        <v>0.029329352319706015</v>
      </c>
      <c r="N1052" s="41">
        <v>343.24</v>
      </c>
      <c r="O1052" s="310">
        <f t="shared" si="141"/>
        <v>10.067006890215893</v>
      </c>
      <c r="P1052" s="304">
        <f t="shared" si="142"/>
        <v>1759.761139182361</v>
      </c>
      <c r="Q1052" s="311">
        <f t="shared" si="143"/>
        <v>604.0204134129536</v>
      </c>
      <c r="S1052" s="87"/>
      <c r="T1052" s="87"/>
    </row>
    <row r="1053" spans="1:20" ht="12.75">
      <c r="A1053" s="919"/>
      <c r="B1053" s="41">
        <v>4</v>
      </c>
      <c r="C1053" s="82" t="s">
        <v>804</v>
      </c>
      <c r="D1053" s="41">
        <v>8</v>
      </c>
      <c r="E1053" s="41" t="s">
        <v>71</v>
      </c>
      <c r="F1053" s="315">
        <f t="shared" si="138"/>
        <v>13</v>
      </c>
      <c r="G1053" s="315">
        <v>0.432</v>
      </c>
      <c r="H1053" s="315">
        <v>1.2</v>
      </c>
      <c r="I1053" s="315">
        <v>11.368</v>
      </c>
      <c r="J1053" s="317">
        <v>362.86</v>
      </c>
      <c r="K1053" s="315">
        <v>9.865</v>
      </c>
      <c r="L1053" s="317">
        <v>314.87</v>
      </c>
      <c r="M1053" s="309">
        <f t="shared" si="140"/>
        <v>0.03133039031981453</v>
      </c>
      <c r="N1053" s="41">
        <v>343.24</v>
      </c>
      <c r="O1053" s="310">
        <f t="shared" si="141"/>
        <v>10.75384317337314</v>
      </c>
      <c r="P1053" s="304">
        <f t="shared" si="142"/>
        <v>1879.8234191888716</v>
      </c>
      <c r="Q1053" s="311">
        <f t="shared" si="143"/>
        <v>645.2305904023883</v>
      </c>
      <c r="S1053" s="87"/>
      <c r="T1053" s="87"/>
    </row>
    <row r="1054" spans="1:20" ht="12.75">
      <c r="A1054" s="919"/>
      <c r="B1054" s="41">
        <v>5</v>
      </c>
      <c r="C1054" s="49" t="s">
        <v>524</v>
      </c>
      <c r="D1054" s="41">
        <v>24</v>
      </c>
      <c r="E1054" s="41" t="s">
        <v>71</v>
      </c>
      <c r="F1054" s="315">
        <f t="shared" si="138"/>
        <v>34.699000000000005</v>
      </c>
      <c r="G1054" s="315">
        <v>1.994</v>
      </c>
      <c r="H1054" s="315">
        <v>0.24</v>
      </c>
      <c r="I1054" s="315">
        <v>32.465</v>
      </c>
      <c r="J1054" s="317">
        <v>1026.08</v>
      </c>
      <c r="K1054" s="315">
        <f>I1054</f>
        <v>32.465</v>
      </c>
      <c r="L1054" s="317">
        <f>J1054</f>
        <v>1026.08</v>
      </c>
      <c r="M1054" s="309">
        <f t="shared" si="140"/>
        <v>0.0316398331514112</v>
      </c>
      <c r="N1054" s="41">
        <v>343.24</v>
      </c>
      <c r="O1054" s="310">
        <f t="shared" si="141"/>
        <v>10.860056330890382</v>
      </c>
      <c r="P1054" s="304">
        <f t="shared" si="142"/>
        <v>1898.3899890846722</v>
      </c>
      <c r="Q1054" s="311">
        <f t="shared" si="143"/>
        <v>651.6033798534229</v>
      </c>
      <c r="S1054" s="87"/>
      <c r="T1054" s="87"/>
    </row>
    <row r="1055" spans="1:20" ht="12.75">
      <c r="A1055" s="919"/>
      <c r="B1055" s="41">
        <v>6</v>
      </c>
      <c r="C1055" s="82" t="s">
        <v>805</v>
      </c>
      <c r="D1055" s="41">
        <v>8</v>
      </c>
      <c r="E1055" s="41" t="s">
        <v>71</v>
      </c>
      <c r="F1055" s="315">
        <f t="shared" si="138"/>
        <v>13.557</v>
      </c>
      <c r="G1055" s="315">
        <v>0.216</v>
      </c>
      <c r="H1055" s="315">
        <v>1.28</v>
      </c>
      <c r="I1055" s="315">
        <v>12.061</v>
      </c>
      <c r="J1055" s="317">
        <v>354.78</v>
      </c>
      <c r="K1055" s="315">
        <f>I1055</f>
        <v>12.061</v>
      </c>
      <c r="L1055" s="317">
        <f>J1055</f>
        <v>354.78</v>
      </c>
      <c r="M1055" s="309">
        <f t="shared" si="140"/>
        <v>0.033995715654771975</v>
      </c>
      <c r="N1055" s="41">
        <v>343.24</v>
      </c>
      <c r="O1055" s="310">
        <f t="shared" si="141"/>
        <v>11.668689441343933</v>
      </c>
      <c r="P1055" s="304">
        <f t="shared" si="142"/>
        <v>2039.7429392863185</v>
      </c>
      <c r="Q1055" s="311">
        <f t="shared" si="143"/>
        <v>700.121366480636</v>
      </c>
      <c r="S1055" s="87"/>
      <c r="T1055" s="87"/>
    </row>
    <row r="1056" spans="1:20" ht="12.75">
      <c r="A1056" s="919"/>
      <c r="B1056" s="41">
        <v>7</v>
      </c>
      <c r="C1056" s="49" t="s">
        <v>806</v>
      </c>
      <c r="D1056" s="41">
        <v>9</v>
      </c>
      <c r="E1056" s="41" t="s">
        <v>71</v>
      </c>
      <c r="F1056" s="315">
        <f t="shared" si="138"/>
        <v>16.268</v>
      </c>
      <c r="G1056" s="315">
        <v>0.324</v>
      </c>
      <c r="H1056" s="315">
        <v>1.6</v>
      </c>
      <c r="I1056" s="315">
        <v>14.344</v>
      </c>
      <c r="J1056" s="317">
        <v>407.19</v>
      </c>
      <c r="K1056" s="315">
        <v>12.554</v>
      </c>
      <c r="L1056" s="317">
        <v>356.36</v>
      </c>
      <c r="M1056" s="309">
        <f t="shared" si="140"/>
        <v>0.035228420698170386</v>
      </c>
      <c r="N1056" s="41">
        <v>343.24</v>
      </c>
      <c r="O1056" s="310">
        <f t="shared" si="141"/>
        <v>12.091803120440003</v>
      </c>
      <c r="P1056" s="304">
        <f t="shared" si="142"/>
        <v>2113.7052418902235</v>
      </c>
      <c r="Q1056" s="311">
        <f t="shared" si="143"/>
        <v>725.5081872264003</v>
      </c>
      <c r="S1056" s="87"/>
      <c r="T1056" s="87"/>
    </row>
    <row r="1057" spans="1:20" ht="12.75">
      <c r="A1057" s="919"/>
      <c r="B1057" s="41">
        <v>8</v>
      </c>
      <c r="C1057" s="49" t="s">
        <v>807</v>
      </c>
      <c r="D1057" s="41">
        <v>7</v>
      </c>
      <c r="E1057" s="41" t="s">
        <v>71</v>
      </c>
      <c r="F1057" s="315">
        <f t="shared" si="138"/>
        <v>13.724</v>
      </c>
      <c r="G1057" s="315">
        <v>0.756</v>
      </c>
      <c r="H1057" s="315">
        <v>0.07</v>
      </c>
      <c r="I1057" s="315">
        <v>12.898</v>
      </c>
      <c r="J1057" s="317">
        <v>358.82</v>
      </c>
      <c r="K1057" s="315">
        <f>I1057</f>
        <v>12.898</v>
      </c>
      <c r="L1057" s="317">
        <f>J1057</f>
        <v>358.82</v>
      </c>
      <c r="M1057" s="309">
        <f t="shared" si="140"/>
        <v>0.03594559946491277</v>
      </c>
      <c r="N1057" s="41">
        <v>343.24</v>
      </c>
      <c r="O1057" s="310">
        <f t="shared" si="141"/>
        <v>12.33796756033666</v>
      </c>
      <c r="P1057" s="304">
        <f t="shared" si="142"/>
        <v>2156.7359678947664</v>
      </c>
      <c r="Q1057" s="311">
        <f t="shared" si="143"/>
        <v>740.2780536201997</v>
      </c>
      <c r="S1057" s="87"/>
      <c r="T1057" s="87"/>
    </row>
    <row r="1058" spans="1:20" ht="12.75">
      <c r="A1058" s="919"/>
      <c r="B1058" s="41">
        <v>9</v>
      </c>
      <c r="C1058" s="82" t="s">
        <v>808</v>
      </c>
      <c r="D1058" s="41">
        <v>10</v>
      </c>
      <c r="E1058" s="41" t="s">
        <v>71</v>
      </c>
      <c r="F1058" s="315">
        <f t="shared" si="138"/>
        <v>15.724</v>
      </c>
      <c r="G1058" s="315">
        <v>0.513</v>
      </c>
      <c r="H1058" s="315">
        <v>1.28</v>
      </c>
      <c r="I1058" s="315">
        <v>13.931</v>
      </c>
      <c r="J1058" s="317">
        <v>364.99</v>
      </c>
      <c r="K1058" s="315">
        <f>I1058</f>
        <v>13.931</v>
      </c>
      <c r="L1058" s="317">
        <f>J1058</f>
        <v>364.99</v>
      </c>
      <c r="M1058" s="309">
        <f t="shared" si="140"/>
        <v>0.038168168990931256</v>
      </c>
      <c r="N1058" s="41">
        <v>343.24</v>
      </c>
      <c r="O1058" s="310">
        <f t="shared" si="141"/>
        <v>13.100842324447244</v>
      </c>
      <c r="P1058" s="304">
        <f t="shared" si="142"/>
        <v>2290.0901394558755</v>
      </c>
      <c r="Q1058" s="311">
        <f t="shared" si="143"/>
        <v>786.0505394668347</v>
      </c>
      <c r="S1058" s="87"/>
      <c r="T1058" s="87"/>
    </row>
    <row r="1059" spans="1:20" ht="13.5" thickBot="1">
      <c r="A1059" s="920"/>
      <c r="B1059" s="46">
        <v>10</v>
      </c>
      <c r="C1059" s="79" t="s">
        <v>809</v>
      </c>
      <c r="D1059" s="46">
        <v>9</v>
      </c>
      <c r="E1059" s="46" t="s">
        <v>71</v>
      </c>
      <c r="F1059" s="530">
        <f t="shared" si="138"/>
        <v>26.16</v>
      </c>
      <c r="G1059" s="316">
        <v>0.325</v>
      </c>
      <c r="H1059" s="316">
        <v>1.84</v>
      </c>
      <c r="I1059" s="316">
        <v>23.995</v>
      </c>
      <c r="J1059" s="358">
        <v>775.39</v>
      </c>
      <c r="K1059" s="316">
        <v>18.063</v>
      </c>
      <c r="L1059" s="358">
        <v>426.62</v>
      </c>
      <c r="M1059" s="306">
        <f t="shared" si="140"/>
        <v>0.042339787164221085</v>
      </c>
      <c r="N1059" s="409">
        <v>343.24</v>
      </c>
      <c r="O1059" s="307">
        <f t="shared" si="141"/>
        <v>14.532708546247246</v>
      </c>
      <c r="P1059" s="307">
        <f t="shared" si="142"/>
        <v>2540.387229853265</v>
      </c>
      <c r="Q1059" s="308">
        <f t="shared" si="143"/>
        <v>871.9625127748347</v>
      </c>
      <c r="S1059" s="87"/>
      <c r="T1059" s="87"/>
    </row>
    <row r="1060" spans="19:20" ht="12.75">
      <c r="S1060" s="87"/>
      <c r="T1060" s="87"/>
    </row>
    <row r="1061" spans="19:20" ht="12.75">
      <c r="S1061" s="87"/>
      <c r="T1061" s="87"/>
    </row>
    <row r="1062" spans="19:20" ht="12.75">
      <c r="S1062" s="87"/>
      <c r="T1062" s="87"/>
    </row>
    <row r="1063" spans="19:20" ht="12.75">
      <c r="S1063" s="87"/>
      <c r="T1063" s="87"/>
    </row>
    <row r="1064" spans="19:20" ht="12.75">
      <c r="S1064" s="87"/>
      <c r="T1064" s="87"/>
    </row>
    <row r="1065" spans="1:20" ht="15">
      <c r="A1065" s="906" t="s">
        <v>53</v>
      </c>
      <c r="B1065" s="906"/>
      <c r="C1065" s="906"/>
      <c r="D1065" s="906"/>
      <c r="E1065" s="906"/>
      <c r="F1065" s="906"/>
      <c r="G1065" s="906"/>
      <c r="H1065" s="906"/>
      <c r="I1065" s="906"/>
      <c r="J1065" s="906"/>
      <c r="K1065" s="906"/>
      <c r="L1065" s="906"/>
      <c r="M1065" s="906"/>
      <c r="N1065" s="906"/>
      <c r="O1065" s="906"/>
      <c r="P1065" s="906"/>
      <c r="Q1065" s="906"/>
      <c r="S1065" s="87"/>
      <c r="T1065" s="87"/>
    </row>
    <row r="1066" spans="1:20" ht="13.5" thickBot="1">
      <c r="A1066" s="935" t="s">
        <v>810</v>
      </c>
      <c r="B1066" s="935"/>
      <c r="C1066" s="935"/>
      <c r="D1066" s="935"/>
      <c r="E1066" s="935"/>
      <c r="F1066" s="935"/>
      <c r="G1066" s="935"/>
      <c r="H1066" s="935"/>
      <c r="I1066" s="935"/>
      <c r="J1066" s="935"/>
      <c r="K1066" s="935"/>
      <c r="L1066" s="935"/>
      <c r="M1066" s="935"/>
      <c r="N1066" s="935"/>
      <c r="O1066" s="935"/>
      <c r="P1066" s="935"/>
      <c r="Q1066" s="935"/>
      <c r="S1066" s="87"/>
      <c r="T1066" s="87"/>
    </row>
    <row r="1067" spans="1:20" ht="12.75" customHeight="1">
      <c r="A1067" s="890" t="s">
        <v>1</v>
      </c>
      <c r="B1067" s="892" t="s">
        <v>0</v>
      </c>
      <c r="C1067" s="888" t="s">
        <v>2</v>
      </c>
      <c r="D1067" s="888" t="s">
        <v>3</v>
      </c>
      <c r="E1067" s="888" t="s">
        <v>13</v>
      </c>
      <c r="F1067" s="896" t="s">
        <v>14</v>
      </c>
      <c r="G1067" s="897"/>
      <c r="H1067" s="897"/>
      <c r="I1067" s="898"/>
      <c r="J1067" s="888" t="s">
        <v>4</v>
      </c>
      <c r="K1067" s="888" t="s">
        <v>15</v>
      </c>
      <c r="L1067" s="888" t="s">
        <v>5</v>
      </c>
      <c r="M1067" s="888" t="s">
        <v>6</v>
      </c>
      <c r="N1067" s="888" t="s">
        <v>16</v>
      </c>
      <c r="O1067" s="949" t="s">
        <v>17</v>
      </c>
      <c r="P1067" s="888" t="s">
        <v>25</v>
      </c>
      <c r="Q1067" s="878" t="s">
        <v>26</v>
      </c>
      <c r="S1067" s="87"/>
      <c r="T1067" s="87"/>
    </row>
    <row r="1068" spans="1:20" s="2" customFormat="1" ht="33.75">
      <c r="A1068" s="891"/>
      <c r="B1068" s="893"/>
      <c r="C1068" s="894"/>
      <c r="D1068" s="889"/>
      <c r="E1068" s="889"/>
      <c r="F1068" s="36" t="s">
        <v>18</v>
      </c>
      <c r="G1068" s="36" t="s">
        <v>19</v>
      </c>
      <c r="H1068" s="36" t="s">
        <v>20</v>
      </c>
      <c r="I1068" s="36" t="s">
        <v>21</v>
      </c>
      <c r="J1068" s="889"/>
      <c r="K1068" s="889"/>
      <c r="L1068" s="889"/>
      <c r="M1068" s="889"/>
      <c r="N1068" s="889"/>
      <c r="O1068" s="950"/>
      <c r="P1068" s="889"/>
      <c r="Q1068" s="879"/>
      <c r="S1068" s="87"/>
      <c r="T1068" s="87"/>
    </row>
    <row r="1069" spans="1:20" s="3" customFormat="1" ht="13.5" customHeight="1" thickBot="1">
      <c r="A1069" s="945"/>
      <c r="B1069" s="946"/>
      <c r="C1069" s="895"/>
      <c r="D1069" s="59" t="s">
        <v>7</v>
      </c>
      <c r="E1069" s="59" t="s">
        <v>8</v>
      </c>
      <c r="F1069" s="59" t="s">
        <v>9</v>
      </c>
      <c r="G1069" s="59" t="s">
        <v>9</v>
      </c>
      <c r="H1069" s="59" t="s">
        <v>9</v>
      </c>
      <c r="I1069" s="59" t="s">
        <v>9</v>
      </c>
      <c r="J1069" s="59" t="s">
        <v>22</v>
      </c>
      <c r="K1069" s="59" t="s">
        <v>9</v>
      </c>
      <c r="L1069" s="59" t="s">
        <v>22</v>
      </c>
      <c r="M1069" s="59" t="s">
        <v>128</v>
      </c>
      <c r="N1069" s="59" t="s">
        <v>10</v>
      </c>
      <c r="O1069" s="59" t="s">
        <v>129</v>
      </c>
      <c r="P1069" s="60" t="s">
        <v>27</v>
      </c>
      <c r="Q1069" s="61" t="s">
        <v>28</v>
      </c>
      <c r="S1069" s="87"/>
      <c r="T1069" s="87"/>
    </row>
    <row r="1070" spans="1:20" s="96" customFormat="1" ht="12.75" customHeight="1">
      <c r="A1070" s="977" t="s">
        <v>11</v>
      </c>
      <c r="B1070" s="98">
        <v>1</v>
      </c>
      <c r="C1070" s="63" t="s">
        <v>811</v>
      </c>
      <c r="D1070" s="62">
        <v>40</v>
      </c>
      <c r="E1070" s="62" t="s">
        <v>238</v>
      </c>
      <c r="F1070" s="249">
        <f>+G1070+H1070+I1070</f>
        <v>26.028001000000003</v>
      </c>
      <c r="G1070" s="249">
        <v>3.754704</v>
      </c>
      <c r="H1070" s="249">
        <v>6.17</v>
      </c>
      <c r="I1070" s="249">
        <v>16.103297</v>
      </c>
      <c r="J1070" s="93">
        <v>2233.8</v>
      </c>
      <c r="K1070" s="249">
        <v>16.103297</v>
      </c>
      <c r="L1070" s="93">
        <v>2233.8</v>
      </c>
      <c r="M1070" s="251">
        <f>K1070/L1070</f>
        <v>0.007208925149968663</v>
      </c>
      <c r="N1070" s="250">
        <v>275.7</v>
      </c>
      <c r="O1070" s="252">
        <f>M1070*N1070</f>
        <v>1.9875006638463604</v>
      </c>
      <c r="P1070" s="252">
        <f>M1070*60*1000</f>
        <v>432.5355089981198</v>
      </c>
      <c r="Q1070" s="253">
        <f>P1070*N1070/1000</f>
        <v>119.25003983078162</v>
      </c>
      <c r="R1070" s="100"/>
      <c r="S1070" s="87"/>
      <c r="T1070" s="87"/>
    </row>
    <row r="1071" spans="1:20" s="96" customFormat="1" ht="12.75">
      <c r="A1071" s="978"/>
      <c r="B1071" s="101">
        <v>2</v>
      </c>
      <c r="C1071" s="16" t="s">
        <v>812</v>
      </c>
      <c r="D1071" s="31">
        <v>45</v>
      </c>
      <c r="E1071" s="31" t="s">
        <v>238</v>
      </c>
      <c r="F1071" s="146">
        <f>+G1071+H1071+I1071</f>
        <v>31.595996</v>
      </c>
      <c r="G1071" s="146">
        <v>3.197631</v>
      </c>
      <c r="H1071" s="146">
        <v>6.48</v>
      </c>
      <c r="I1071" s="146">
        <v>21.918365</v>
      </c>
      <c r="J1071" s="176">
        <v>2324.7</v>
      </c>
      <c r="K1071" s="146">
        <v>21.918365</v>
      </c>
      <c r="L1071" s="176">
        <v>2324.47</v>
      </c>
      <c r="M1071" s="133">
        <f>K1071/L1071</f>
        <v>0.009429403261818825</v>
      </c>
      <c r="N1071" s="132">
        <v>275.7</v>
      </c>
      <c r="O1071" s="132">
        <f>M1071*N1071</f>
        <v>2.59968647928345</v>
      </c>
      <c r="P1071" s="252">
        <f>M1071*60*1000</f>
        <v>565.7641957091295</v>
      </c>
      <c r="Q1071" s="134">
        <f>P1071*N1071/1000</f>
        <v>155.98118875700698</v>
      </c>
      <c r="R1071" s="100"/>
      <c r="S1071" s="87"/>
      <c r="T1071" s="87"/>
    </row>
    <row r="1072" spans="1:20" s="96" customFormat="1" ht="12.75">
      <c r="A1072" s="925"/>
      <c r="B1072" s="95">
        <v>3</v>
      </c>
      <c r="C1072" s="16" t="s">
        <v>813</v>
      </c>
      <c r="D1072" s="31">
        <v>45</v>
      </c>
      <c r="E1072" s="31" t="s">
        <v>238</v>
      </c>
      <c r="F1072" s="146">
        <f>+G1072+H1072+I1072</f>
        <v>32.500002</v>
      </c>
      <c r="G1072" s="146">
        <v>3.424332</v>
      </c>
      <c r="H1072" s="146">
        <v>6.8</v>
      </c>
      <c r="I1072" s="146">
        <v>22.27567</v>
      </c>
      <c r="J1072" s="176">
        <v>2290.41</v>
      </c>
      <c r="K1072" s="146">
        <v>22.27567</v>
      </c>
      <c r="L1072" s="176">
        <v>2290.41</v>
      </c>
      <c r="M1072" s="133">
        <f>K1072/L1072</f>
        <v>0.009725625543025048</v>
      </c>
      <c r="N1072" s="132">
        <v>275.7</v>
      </c>
      <c r="O1072" s="132">
        <f>M1072*N1072</f>
        <v>2.681354962212006</v>
      </c>
      <c r="P1072" s="252">
        <f>M1072*60*1000</f>
        <v>583.5375325815029</v>
      </c>
      <c r="Q1072" s="134">
        <f>P1072*N1072/1000</f>
        <v>160.88129773272033</v>
      </c>
      <c r="S1072" s="87"/>
      <c r="T1072" s="87"/>
    </row>
    <row r="1073" spans="1:20" s="96" customFormat="1" ht="12.75" customHeight="1">
      <c r="A1073" s="925"/>
      <c r="B1073" s="95">
        <v>4</v>
      </c>
      <c r="C1073" s="16" t="s">
        <v>815</v>
      </c>
      <c r="D1073" s="31">
        <v>25</v>
      </c>
      <c r="E1073" s="31" t="s">
        <v>238</v>
      </c>
      <c r="F1073" s="146">
        <f>+G1073+H1073+I1073</f>
        <v>16.73</v>
      </c>
      <c r="G1073" s="146">
        <v>1.52076</v>
      </c>
      <c r="H1073" s="146">
        <v>1.86</v>
      </c>
      <c r="I1073" s="146">
        <v>13.34924</v>
      </c>
      <c r="J1073" s="176">
        <v>1312.39</v>
      </c>
      <c r="K1073" s="146">
        <v>13.34924</v>
      </c>
      <c r="L1073" s="176">
        <v>1312.39</v>
      </c>
      <c r="M1073" s="133">
        <f>K1073/L1073</f>
        <v>0.010171702009311256</v>
      </c>
      <c r="N1073" s="132">
        <v>275.7</v>
      </c>
      <c r="O1073" s="132">
        <f>M1073*N1073</f>
        <v>2.804338243967113</v>
      </c>
      <c r="P1073" s="252">
        <f>M1073*60*1000</f>
        <v>610.3021205586754</v>
      </c>
      <c r="Q1073" s="134">
        <f>P1073*N1073/1000</f>
        <v>168.2602946380268</v>
      </c>
      <c r="S1073" s="87"/>
      <c r="T1073" s="87"/>
    </row>
    <row r="1074" spans="1:20" s="96" customFormat="1" ht="12.75">
      <c r="A1074" s="925"/>
      <c r="B1074" s="95">
        <v>5</v>
      </c>
      <c r="C1074" s="16" t="s">
        <v>814</v>
      </c>
      <c r="D1074" s="31">
        <v>40</v>
      </c>
      <c r="E1074" s="31" t="s">
        <v>238</v>
      </c>
      <c r="F1074" s="146">
        <f>+G1074+H1074+I1074</f>
        <v>32.609999</v>
      </c>
      <c r="G1074" s="146">
        <v>3.188352</v>
      </c>
      <c r="H1074" s="146">
        <v>6.08</v>
      </c>
      <c r="I1074" s="146">
        <v>23.341647</v>
      </c>
      <c r="J1074" s="176">
        <v>2260.27</v>
      </c>
      <c r="K1074" s="146">
        <v>23.341647</v>
      </c>
      <c r="L1074" s="176">
        <v>2260.27</v>
      </c>
      <c r="M1074" s="133">
        <f>K1074/L1074</f>
        <v>0.01032692864126852</v>
      </c>
      <c r="N1074" s="132">
        <v>275.7</v>
      </c>
      <c r="O1074" s="132">
        <f>M1074*N1074</f>
        <v>2.847134226397731</v>
      </c>
      <c r="P1074" s="252">
        <f>M1074*60*1000</f>
        <v>619.6157184761112</v>
      </c>
      <c r="Q1074" s="134">
        <f>P1074*N1074/1000</f>
        <v>170.82805358386383</v>
      </c>
      <c r="S1074" s="87"/>
      <c r="T1074" s="87"/>
    </row>
    <row r="1075" spans="1:20" s="96" customFormat="1" ht="12.75">
      <c r="A1075" s="925"/>
      <c r="B1075" s="102"/>
      <c r="C1075" s="16"/>
      <c r="D1075" s="31"/>
      <c r="E1075" s="31"/>
      <c r="F1075" s="254"/>
      <c r="G1075" s="254"/>
      <c r="H1075" s="254"/>
      <c r="I1075" s="254"/>
      <c r="J1075" s="176"/>
      <c r="K1075" s="254"/>
      <c r="L1075" s="176"/>
      <c r="M1075" s="133"/>
      <c r="N1075" s="132"/>
      <c r="O1075" s="132"/>
      <c r="P1075" s="252"/>
      <c r="Q1075" s="134"/>
      <c r="S1075" s="87"/>
      <c r="T1075" s="87"/>
    </row>
    <row r="1076" spans="1:20" s="96" customFormat="1" ht="12.75">
      <c r="A1076" s="925"/>
      <c r="B1076" s="102"/>
      <c r="C1076" s="16"/>
      <c r="D1076" s="31"/>
      <c r="E1076" s="31"/>
      <c r="F1076" s="254"/>
      <c r="G1076" s="254"/>
      <c r="H1076" s="254"/>
      <c r="I1076" s="254"/>
      <c r="J1076" s="176"/>
      <c r="K1076" s="254"/>
      <c r="L1076" s="176"/>
      <c r="M1076" s="133"/>
      <c r="N1076" s="132"/>
      <c r="O1076" s="132"/>
      <c r="P1076" s="252"/>
      <c r="Q1076" s="134"/>
      <c r="S1076" s="87"/>
      <c r="T1076" s="87"/>
    </row>
    <row r="1077" spans="1:20" s="96" customFormat="1" ht="13.5" thickBot="1">
      <c r="A1077" s="926"/>
      <c r="B1077" s="99" t="s">
        <v>44</v>
      </c>
      <c r="C1077" s="219"/>
      <c r="D1077" s="220"/>
      <c r="E1077" s="221"/>
      <c r="F1077" s="398"/>
      <c r="G1077" s="398"/>
      <c r="H1077" s="398"/>
      <c r="I1077" s="398"/>
      <c r="J1077" s="220"/>
      <c r="K1077" s="398"/>
      <c r="L1077" s="220"/>
      <c r="M1077" s="396"/>
      <c r="N1077" s="395"/>
      <c r="O1077" s="395"/>
      <c r="P1077" s="395"/>
      <c r="Q1077" s="397"/>
      <c r="S1077" s="87"/>
      <c r="T1077" s="87"/>
    </row>
    <row r="1078" spans="1:20" s="96" customFormat="1" ht="12.75" customHeight="1">
      <c r="A1078" s="942" t="s">
        <v>29</v>
      </c>
      <c r="B1078" s="122">
        <v>1</v>
      </c>
      <c r="C1078" s="34" t="s">
        <v>816</v>
      </c>
      <c r="D1078" s="35">
        <v>40</v>
      </c>
      <c r="E1078" s="35" t="s">
        <v>238</v>
      </c>
      <c r="F1078" s="262">
        <f>+G1078+H1078+I1078</f>
        <v>41.3</v>
      </c>
      <c r="G1078" s="262">
        <v>3.595286</v>
      </c>
      <c r="H1078" s="262">
        <v>6.32</v>
      </c>
      <c r="I1078" s="263">
        <v>31.384714</v>
      </c>
      <c r="J1078" s="432">
        <v>2370.01</v>
      </c>
      <c r="K1078" s="262">
        <v>31.384714</v>
      </c>
      <c r="L1078" s="432">
        <v>2370.01</v>
      </c>
      <c r="M1078" s="147">
        <f>K1078/L1078</f>
        <v>0.013242439483377706</v>
      </c>
      <c r="N1078" s="148">
        <v>275.7</v>
      </c>
      <c r="O1078" s="148">
        <f>M1078*N1078</f>
        <v>3.6509405655672333</v>
      </c>
      <c r="P1078" s="148">
        <f>M1078*60*1000</f>
        <v>794.5463690026623</v>
      </c>
      <c r="Q1078" s="170">
        <f>P1078*N1078/1000</f>
        <v>219.056433934034</v>
      </c>
      <c r="S1078" s="87"/>
      <c r="T1078" s="87"/>
    </row>
    <row r="1079" spans="1:20" s="96" customFormat="1" ht="12.75" customHeight="1">
      <c r="A1079" s="943"/>
      <c r="B1079" s="103">
        <v>2</v>
      </c>
      <c r="C1079" s="34" t="s">
        <v>817</v>
      </c>
      <c r="D1079" s="35">
        <v>8</v>
      </c>
      <c r="E1079" s="35" t="s">
        <v>238</v>
      </c>
      <c r="F1079" s="263">
        <f>+G1079+H1079+I1079</f>
        <v>5.015999</v>
      </c>
      <c r="G1079" s="263">
        <v>0</v>
      </c>
      <c r="H1079" s="263">
        <v>0</v>
      </c>
      <c r="I1079" s="263">
        <v>5.015999</v>
      </c>
      <c r="J1079" s="118">
        <v>375.31</v>
      </c>
      <c r="K1079" s="263">
        <v>5.015999</v>
      </c>
      <c r="L1079" s="118">
        <v>375.31</v>
      </c>
      <c r="M1079" s="147">
        <f>K1079/L1079</f>
        <v>0.013364948975513574</v>
      </c>
      <c r="N1079" s="138">
        <v>275.7</v>
      </c>
      <c r="O1079" s="148">
        <f>M1079*N1079</f>
        <v>3.6847164325490924</v>
      </c>
      <c r="P1079" s="148">
        <f>M1079*60*1000</f>
        <v>801.8969385308144</v>
      </c>
      <c r="Q1079" s="170">
        <f>P1079*N1079/1000</f>
        <v>221.0829859529455</v>
      </c>
      <c r="S1079" s="87"/>
      <c r="T1079" s="87"/>
    </row>
    <row r="1080" spans="1:20" ht="12.75" customHeight="1">
      <c r="A1080" s="943"/>
      <c r="B1080" s="35">
        <v>3</v>
      </c>
      <c r="C1080" s="34" t="s">
        <v>818</v>
      </c>
      <c r="D1080" s="35">
        <v>10</v>
      </c>
      <c r="E1080" s="35" t="s">
        <v>238</v>
      </c>
      <c r="F1080" s="263">
        <f>+G1080+H1080+I1080</f>
        <v>11.610999999999999</v>
      </c>
      <c r="G1080" s="263">
        <v>1.235208</v>
      </c>
      <c r="H1080" s="263">
        <v>1.6</v>
      </c>
      <c r="I1080" s="263">
        <v>8.775792</v>
      </c>
      <c r="J1080" s="118">
        <v>606.63</v>
      </c>
      <c r="K1080" s="263">
        <v>8.775792</v>
      </c>
      <c r="L1080" s="118">
        <v>606.63</v>
      </c>
      <c r="M1080" s="139">
        <f>K1080/L1080</f>
        <v>0.014466465555610503</v>
      </c>
      <c r="N1080" s="138">
        <v>275.7</v>
      </c>
      <c r="O1080" s="148">
        <f>M1080*N1080</f>
        <v>3.9884045536818156</v>
      </c>
      <c r="P1080" s="148">
        <f>M1080*60*1000</f>
        <v>867.9879333366301</v>
      </c>
      <c r="Q1080" s="168">
        <f>P1080*N1080/1000</f>
        <v>239.30427322090893</v>
      </c>
      <c r="S1080" s="87"/>
      <c r="T1080" s="87"/>
    </row>
    <row r="1081" spans="1:20" ht="12.75" customHeight="1">
      <c r="A1081" s="943"/>
      <c r="B1081" s="35">
        <v>4</v>
      </c>
      <c r="C1081" s="34" t="s">
        <v>819</v>
      </c>
      <c r="D1081" s="35">
        <v>103</v>
      </c>
      <c r="E1081" s="35" t="s">
        <v>238</v>
      </c>
      <c r="F1081" s="263">
        <f>+G1081+H1081+I1081</f>
        <v>88.550007</v>
      </c>
      <c r="G1081" s="263">
        <v>5.731692</v>
      </c>
      <c r="H1081" s="263">
        <v>14.45</v>
      </c>
      <c r="I1081" s="263">
        <v>68.368315</v>
      </c>
      <c r="J1081" s="118">
        <v>4386.74</v>
      </c>
      <c r="K1081" s="263">
        <v>68.368315</v>
      </c>
      <c r="L1081" s="118">
        <v>4386.74</v>
      </c>
      <c r="M1081" s="139">
        <f>K1081/L1081</f>
        <v>0.015585221599638911</v>
      </c>
      <c r="N1081" s="138">
        <v>275.7</v>
      </c>
      <c r="O1081" s="138">
        <f>M1081*N1081</f>
        <v>4.296845595020447</v>
      </c>
      <c r="P1081" s="148">
        <f>M1081*60*1000</f>
        <v>935.1132959783347</v>
      </c>
      <c r="Q1081" s="168">
        <f>P1081*N1081/1000</f>
        <v>257.81073570122686</v>
      </c>
      <c r="S1081" s="87"/>
      <c r="T1081" s="87"/>
    </row>
    <row r="1082" spans="1:20" ht="12.75" customHeight="1">
      <c r="A1082" s="943"/>
      <c r="B1082" s="35"/>
      <c r="C1082" s="34" t="s">
        <v>820</v>
      </c>
      <c r="D1082" s="35">
        <v>50</v>
      </c>
      <c r="E1082" s="35" t="s">
        <v>238</v>
      </c>
      <c r="F1082" s="263">
        <f>+G1082+H1082+I1082</f>
        <v>50.399997</v>
      </c>
      <c r="G1082" s="263">
        <v>2.630659</v>
      </c>
      <c r="H1082" s="263">
        <v>6.37</v>
      </c>
      <c r="I1082" s="263">
        <v>41.399338</v>
      </c>
      <c r="J1082" s="118">
        <v>2602.6</v>
      </c>
      <c r="K1082" s="263">
        <v>41.399338</v>
      </c>
      <c r="L1082" s="118">
        <v>2602.6</v>
      </c>
      <c r="M1082" s="139">
        <f>K1082/L1082</f>
        <v>0.01590691539230001</v>
      </c>
      <c r="N1082" s="138">
        <v>275.7</v>
      </c>
      <c r="O1082" s="138">
        <f>M1082*N1082</f>
        <v>4.385536573657112</v>
      </c>
      <c r="P1082" s="148">
        <f>M1082*60*1000</f>
        <v>954.4149235380005</v>
      </c>
      <c r="Q1082" s="168">
        <f>P1082*N1082/1000</f>
        <v>263.13219441942675</v>
      </c>
      <c r="S1082" s="87"/>
      <c r="T1082" s="87"/>
    </row>
    <row r="1083" spans="1:20" ht="12.75" customHeight="1">
      <c r="A1083" s="943"/>
      <c r="B1083" s="35"/>
      <c r="C1083" s="34"/>
      <c r="D1083" s="35"/>
      <c r="E1083" s="35"/>
      <c r="F1083" s="263"/>
      <c r="G1083" s="263"/>
      <c r="H1083" s="263"/>
      <c r="I1083" s="263"/>
      <c r="J1083" s="118"/>
      <c r="K1083" s="263"/>
      <c r="L1083" s="118"/>
      <c r="M1083" s="139"/>
      <c r="N1083" s="138"/>
      <c r="O1083" s="138"/>
      <c r="P1083" s="148"/>
      <c r="Q1083" s="168"/>
      <c r="S1083" s="87"/>
      <c r="T1083" s="87"/>
    </row>
    <row r="1084" spans="1:20" ht="13.5" customHeight="1" thickBot="1">
      <c r="A1084" s="944"/>
      <c r="B1084" s="90"/>
      <c r="C1084" s="83"/>
      <c r="D1084" s="38"/>
      <c r="E1084" s="38"/>
      <c r="F1084" s="265"/>
      <c r="G1084" s="265"/>
      <c r="H1084" s="265"/>
      <c r="I1084" s="265"/>
      <c r="J1084" s="184"/>
      <c r="K1084" s="265"/>
      <c r="L1084" s="184"/>
      <c r="M1084" s="218"/>
      <c r="N1084" s="171"/>
      <c r="O1084" s="171"/>
      <c r="P1084" s="171"/>
      <c r="Q1084" s="172"/>
      <c r="S1084" s="87"/>
      <c r="T1084" s="87"/>
    </row>
    <row r="1085" spans="1:20" ht="13.5" customHeight="1">
      <c r="A1085" s="1048" t="s">
        <v>403</v>
      </c>
      <c r="B1085" s="280">
        <v>1</v>
      </c>
      <c r="C1085" s="270" t="s">
        <v>821</v>
      </c>
      <c r="D1085" s="231">
        <v>91</v>
      </c>
      <c r="E1085" s="231" t="s">
        <v>238</v>
      </c>
      <c r="F1085" s="423">
        <f aca="true" t="shared" si="147" ref="F1085:F1091">+G1085+H1085+I1085</f>
        <v>128.834999</v>
      </c>
      <c r="G1085" s="423">
        <v>4.091766</v>
      </c>
      <c r="H1085" s="423">
        <v>11.41</v>
      </c>
      <c r="I1085" s="423">
        <v>113.333233</v>
      </c>
      <c r="J1085" s="434">
        <v>4578.33</v>
      </c>
      <c r="K1085" s="423">
        <v>113.333233</v>
      </c>
      <c r="L1085" s="356">
        <v>4578.33</v>
      </c>
      <c r="M1085" s="286">
        <f aca="true" t="shared" si="148" ref="M1085:M1091">K1085/L1085</f>
        <v>0.024754273501473245</v>
      </c>
      <c r="N1085" s="285">
        <v>275.7</v>
      </c>
      <c r="O1085" s="285">
        <f aca="true" t="shared" si="149" ref="O1085:O1091">M1085*N1085</f>
        <v>6.824753204356173</v>
      </c>
      <c r="P1085" s="285">
        <f aca="true" t="shared" si="150" ref="P1085:P1091">M1085*60*1000</f>
        <v>1485.2564100883947</v>
      </c>
      <c r="Q1085" s="287">
        <f aca="true" t="shared" si="151" ref="Q1085:Q1091">P1085*N1085/1000</f>
        <v>409.48519226137034</v>
      </c>
      <c r="S1085" s="87"/>
      <c r="T1085" s="87"/>
    </row>
    <row r="1086" spans="1:20" ht="13.5" customHeight="1">
      <c r="A1086" s="957"/>
      <c r="B1086" s="232">
        <v>2</v>
      </c>
      <c r="C1086" s="272" t="s">
        <v>822</v>
      </c>
      <c r="D1086" s="232">
        <v>20</v>
      </c>
      <c r="E1086" s="232" t="s">
        <v>238</v>
      </c>
      <c r="F1086" s="288">
        <f t="shared" si="147"/>
        <v>27.290005</v>
      </c>
      <c r="G1086" s="288">
        <v>0</v>
      </c>
      <c r="H1086" s="288">
        <v>0</v>
      </c>
      <c r="I1086" s="288">
        <v>27.290005</v>
      </c>
      <c r="J1086" s="279">
        <v>1097.3</v>
      </c>
      <c r="K1086" s="288">
        <v>27.290005</v>
      </c>
      <c r="L1086" s="279">
        <v>1097.3</v>
      </c>
      <c r="M1086" s="290">
        <f t="shared" si="148"/>
        <v>0.02487014034448191</v>
      </c>
      <c r="N1086" s="289">
        <v>275.7</v>
      </c>
      <c r="O1086" s="289">
        <f t="shared" si="149"/>
        <v>6.856697692973662</v>
      </c>
      <c r="P1086" s="285">
        <f t="shared" si="150"/>
        <v>1492.2084206689146</v>
      </c>
      <c r="Q1086" s="291">
        <f t="shared" si="151"/>
        <v>411.40186157841976</v>
      </c>
      <c r="S1086" s="87"/>
      <c r="T1086" s="87"/>
    </row>
    <row r="1087" spans="1:20" ht="13.5" customHeight="1">
      <c r="A1087" s="957"/>
      <c r="B1087" s="232">
        <v>3</v>
      </c>
      <c r="C1087" s="272" t="s">
        <v>823</v>
      </c>
      <c r="D1087" s="232">
        <v>90</v>
      </c>
      <c r="E1087" s="232" t="s">
        <v>238</v>
      </c>
      <c r="F1087" s="288">
        <f t="shared" si="147"/>
        <v>131.21901200000002</v>
      </c>
      <c r="G1087" s="288">
        <v>6.990252</v>
      </c>
      <c r="H1087" s="288">
        <v>11.95</v>
      </c>
      <c r="I1087" s="288">
        <v>112.27876</v>
      </c>
      <c r="J1087" s="279">
        <v>4473.08</v>
      </c>
      <c r="K1087" s="288">
        <v>112.27876</v>
      </c>
      <c r="L1087" s="279">
        <v>4473.08</v>
      </c>
      <c r="M1087" s="290">
        <f t="shared" si="148"/>
        <v>0.02510099528736352</v>
      </c>
      <c r="N1087" s="289">
        <v>275.7</v>
      </c>
      <c r="O1087" s="289">
        <f t="shared" si="149"/>
        <v>6.920344400726122</v>
      </c>
      <c r="P1087" s="285">
        <f t="shared" si="150"/>
        <v>1506.059717241811</v>
      </c>
      <c r="Q1087" s="291">
        <f t="shared" si="151"/>
        <v>415.2206640435673</v>
      </c>
      <c r="S1087" s="87"/>
      <c r="T1087" s="87"/>
    </row>
    <row r="1088" spans="1:20" ht="13.5" customHeight="1">
      <c r="A1088" s="957"/>
      <c r="B1088" s="232">
        <v>4</v>
      </c>
      <c r="C1088" s="272" t="s">
        <v>824</v>
      </c>
      <c r="D1088" s="232">
        <v>45</v>
      </c>
      <c r="E1088" s="232" t="s">
        <v>238</v>
      </c>
      <c r="F1088" s="288">
        <f t="shared" si="147"/>
        <v>68.223005</v>
      </c>
      <c r="G1088" s="288">
        <v>1.9474</v>
      </c>
      <c r="H1088" s="288">
        <v>6.8</v>
      </c>
      <c r="I1088" s="288">
        <v>59.475605</v>
      </c>
      <c r="J1088" s="279">
        <v>2324.5</v>
      </c>
      <c r="K1088" s="288">
        <v>59.47561</v>
      </c>
      <c r="L1088" s="279">
        <v>2324.5</v>
      </c>
      <c r="M1088" s="290">
        <f t="shared" si="148"/>
        <v>0.025586409980641</v>
      </c>
      <c r="N1088" s="289">
        <v>275.7</v>
      </c>
      <c r="O1088" s="289">
        <f t="shared" si="149"/>
        <v>7.054173231662723</v>
      </c>
      <c r="P1088" s="285">
        <f t="shared" si="150"/>
        <v>1535.18459883846</v>
      </c>
      <c r="Q1088" s="291">
        <f t="shared" si="151"/>
        <v>423.2503938997634</v>
      </c>
      <c r="S1088" s="87"/>
      <c r="T1088" s="87"/>
    </row>
    <row r="1089" spans="1:20" ht="13.5" customHeight="1">
      <c r="A1089" s="957"/>
      <c r="B1089" s="232"/>
      <c r="C1089" s="272" t="s">
        <v>825</v>
      </c>
      <c r="D1089" s="232">
        <v>41</v>
      </c>
      <c r="E1089" s="232" t="s">
        <v>238</v>
      </c>
      <c r="F1089" s="288">
        <f t="shared" si="147"/>
        <v>67.359996</v>
      </c>
      <c r="G1089" s="288">
        <v>3.308964</v>
      </c>
      <c r="H1089" s="288">
        <v>6.32</v>
      </c>
      <c r="I1089" s="288">
        <v>57.731032</v>
      </c>
      <c r="J1089" s="279">
        <v>2253.49</v>
      </c>
      <c r="K1089" s="288">
        <v>57.731032</v>
      </c>
      <c r="L1089" s="279">
        <v>2253.49</v>
      </c>
      <c r="M1089" s="290">
        <f t="shared" si="148"/>
        <v>0.02561849930552166</v>
      </c>
      <c r="N1089" s="289">
        <v>275.7</v>
      </c>
      <c r="O1089" s="289">
        <f t="shared" si="149"/>
        <v>7.063020258532322</v>
      </c>
      <c r="P1089" s="285">
        <f t="shared" si="150"/>
        <v>1537.1099583312996</v>
      </c>
      <c r="Q1089" s="291">
        <f t="shared" si="151"/>
        <v>423.78121551193925</v>
      </c>
      <c r="S1089" s="87"/>
      <c r="T1089" s="87"/>
    </row>
    <row r="1090" spans="1:20" ht="13.5" customHeight="1">
      <c r="A1090" s="957"/>
      <c r="B1090" s="232"/>
      <c r="C1090" s="272" t="s">
        <v>826</v>
      </c>
      <c r="D1090" s="232">
        <v>90</v>
      </c>
      <c r="E1090" s="232" t="s">
        <v>238</v>
      </c>
      <c r="F1090" s="288">
        <f t="shared" si="147"/>
        <v>138.886007</v>
      </c>
      <c r="G1090" s="288">
        <v>9.213708</v>
      </c>
      <c r="H1090" s="288">
        <v>13.52</v>
      </c>
      <c r="I1090" s="288">
        <v>116.152299</v>
      </c>
      <c r="J1090" s="279">
        <v>4475.37</v>
      </c>
      <c r="K1090" s="288">
        <v>116.152299</v>
      </c>
      <c r="L1090" s="279">
        <v>4475.37</v>
      </c>
      <c r="M1090" s="290">
        <f t="shared" si="148"/>
        <v>0.025953675115130147</v>
      </c>
      <c r="N1090" s="289">
        <v>275.7</v>
      </c>
      <c r="O1090" s="289">
        <f t="shared" si="149"/>
        <v>7.155428229241381</v>
      </c>
      <c r="P1090" s="285">
        <f t="shared" si="150"/>
        <v>1557.2205069078088</v>
      </c>
      <c r="Q1090" s="291">
        <f t="shared" si="151"/>
        <v>429.32569375448287</v>
      </c>
      <c r="S1090" s="87"/>
      <c r="T1090" s="87"/>
    </row>
    <row r="1091" spans="1:20" ht="13.5" customHeight="1">
      <c r="A1091" s="957"/>
      <c r="B1091" s="232"/>
      <c r="C1091" s="272" t="s">
        <v>827</v>
      </c>
      <c r="D1091" s="232">
        <v>90</v>
      </c>
      <c r="E1091" s="232" t="s">
        <v>238</v>
      </c>
      <c r="F1091" s="288">
        <f t="shared" si="147"/>
        <v>135.180012</v>
      </c>
      <c r="G1091" s="288">
        <v>6.439632</v>
      </c>
      <c r="H1091" s="288">
        <v>12.27</v>
      </c>
      <c r="I1091" s="288">
        <v>116.47038</v>
      </c>
      <c r="J1091" s="279">
        <v>4484.76</v>
      </c>
      <c r="K1091" s="288">
        <v>116.47038</v>
      </c>
      <c r="L1091" s="279">
        <v>4484.76</v>
      </c>
      <c r="M1091" s="290">
        <f t="shared" si="148"/>
        <v>0.02597025927808846</v>
      </c>
      <c r="N1091" s="289">
        <v>275.7</v>
      </c>
      <c r="O1091" s="289">
        <f t="shared" si="149"/>
        <v>7.1600004829689885</v>
      </c>
      <c r="P1091" s="285">
        <f t="shared" si="150"/>
        <v>1558.2155566853078</v>
      </c>
      <c r="Q1091" s="291">
        <f t="shared" si="151"/>
        <v>429.60002897813933</v>
      </c>
      <c r="S1091" s="87"/>
      <c r="T1091" s="87"/>
    </row>
    <row r="1092" spans="1:20" ht="13.5" customHeight="1" thickBot="1">
      <c r="A1092" s="958"/>
      <c r="B1092" s="246"/>
      <c r="C1092" s="276"/>
      <c r="D1092" s="246"/>
      <c r="E1092" s="246"/>
      <c r="F1092" s="292"/>
      <c r="G1092" s="292"/>
      <c r="H1092" s="292"/>
      <c r="I1092" s="292"/>
      <c r="J1092" s="281"/>
      <c r="K1092" s="292"/>
      <c r="L1092" s="281"/>
      <c r="M1092" s="294"/>
      <c r="N1092" s="293"/>
      <c r="O1092" s="293"/>
      <c r="P1092" s="293"/>
      <c r="Q1092" s="295"/>
      <c r="S1092" s="87"/>
      <c r="T1092" s="87"/>
    </row>
    <row r="1093" spans="1:20" ht="13.5" customHeight="1">
      <c r="A1093" s="932" t="s">
        <v>404</v>
      </c>
      <c r="B1093" s="80">
        <v>1</v>
      </c>
      <c r="C1093" s="238" t="s">
        <v>828</v>
      </c>
      <c r="D1093" s="39">
        <v>22</v>
      </c>
      <c r="E1093" s="39" t="s">
        <v>238</v>
      </c>
      <c r="F1093" s="429">
        <f aca="true" t="shared" si="152" ref="F1093:F1099">+G1093+H1093+I1093</f>
        <v>33.9</v>
      </c>
      <c r="G1093" s="429">
        <v>0</v>
      </c>
      <c r="H1093" s="429">
        <v>0</v>
      </c>
      <c r="I1093" s="429">
        <v>33.9</v>
      </c>
      <c r="J1093" s="360">
        <v>896.07</v>
      </c>
      <c r="K1093" s="429">
        <v>33.900001</v>
      </c>
      <c r="L1093" s="357">
        <v>896.07</v>
      </c>
      <c r="M1093" s="226">
        <f aca="true" t="shared" si="153" ref="M1093:M1099">K1093/L1093</f>
        <v>0.03783186693003895</v>
      </c>
      <c r="N1093" s="177">
        <v>275.7</v>
      </c>
      <c r="O1093" s="177">
        <f aca="true" t="shared" si="154" ref="O1093:O1099">M1093*N1093</f>
        <v>10.430245712611738</v>
      </c>
      <c r="P1093" s="177">
        <f aca="true" t="shared" si="155" ref="P1093:P1099">M1093*60*1000</f>
        <v>2269.912015802337</v>
      </c>
      <c r="Q1093" s="305">
        <f aca="true" t="shared" si="156" ref="Q1093:Q1099">P1093*N1093/1000</f>
        <v>625.8147427567044</v>
      </c>
      <c r="S1093" s="87"/>
      <c r="T1093" s="87"/>
    </row>
    <row r="1094" spans="1:20" ht="13.5" customHeight="1">
      <c r="A1094" s="933"/>
      <c r="B1094" s="41">
        <v>2</v>
      </c>
      <c r="C1094" s="49" t="s">
        <v>525</v>
      </c>
      <c r="D1094" s="41">
        <v>8</v>
      </c>
      <c r="E1094" s="41" t="s">
        <v>238</v>
      </c>
      <c r="F1094" s="185">
        <f t="shared" si="152"/>
        <v>15.120002</v>
      </c>
      <c r="G1094" s="185">
        <v>0.083904</v>
      </c>
      <c r="H1094" s="185">
        <v>0.06</v>
      </c>
      <c r="I1094" s="185">
        <v>14.976098</v>
      </c>
      <c r="J1094" s="317">
        <v>388.27</v>
      </c>
      <c r="K1094" s="185">
        <v>14.976098</v>
      </c>
      <c r="L1094" s="317">
        <v>388.27</v>
      </c>
      <c r="M1094" s="227">
        <f t="shared" si="153"/>
        <v>0.03857134983387849</v>
      </c>
      <c r="N1094" s="310">
        <v>275.7</v>
      </c>
      <c r="O1094" s="310">
        <f t="shared" si="154"/>
        <v>10.6341211492003</v>
      </c>
      <c r="P1094" s="177">
        <f t="shared" si="155"/>
        <v>2314.2809900327097</v>
      </c>
      <c r="Q1094" s="311">
        <f t="shared" si="156"/>
        <v>638.047268952018</v>
      </c>
      <c r="S1094" s="87"/>
      <c r="T1094" s="87"/>
    </row>
    <row r="1095" spans="1:20" ht="13.5" customHeight="1">
      <c r="A1095" s="933"/>
      <c r="B1095" s="41">
        <v>3</v>
      </c>
      <c r="C1095" s="49" t="s">
        <v>829</v>
      </c>
      <c r="D1095" s="41">
        <v>12</v>
      </c>
      <c r="E1095" s="41" t="s">
        <v>238</v>
      </c>
      <c r="F1095" s="185">
        <f t="shared" si="152"/>
        <v>23.394655</v>
      </c>
      <c r="G1095" s="185">
        <v>0.356639</v>
      </c>
      <c r="H1095" s="185">
        <v>1.04</v>
      </c>
      <c r="I1095" s="185">
        <v>21.998016</v>
      </c>
      <c r="J1095" s="317">
        <v>529.87</v>
      </c>
      <c r="K1095" s="185">
        <v>21.998016</v>
      </c>
      <c r="L1095" s="317">
        <v>529.87</v>
      </c>
      <c r="M1095" s="227">
        <f t="shared" si="153"/>
        <v>0.041515873704871004</v>
      </c>
      <c r="N1095" s="310">
        <v>275.7</v>
      </c>
      <c r="O1095" s="310">
        <f t="shared" si="154"/>
        <v>11.445926380432935</v>
      </c>
      <c r="P1095" s="177">
        <f t="shared" si="155"/>
        <v>2490.9524222922605</v>
      </c>
      <c r="Q1095" s="311">
        <f t="shared" si="156"/>
        <v>686.7555828259761</v>
      </c>
      <c r="S1095" s="87"/>
      <c r="T1095" s="87"/>
    </row>
    <row r="1096" spans="1:20" ht="13.5" customHeight="1">
      <c r="A1096" s="933"/>
      <c r="B1096" s="41">
        <v>4</v>
      </c>
      <c r="C1096" s="49" t="s">
        <v>830</v>
      </c>
      <c r="D1096" s="41">
        <v>14</v>
      </c>
      <c r="E1096" s="41" t="s">
        <v>238</v>
      </c>
      <c r="F1096" s="185">
        <f t="shared" si="152"/>
        <v>20.893999</v>
      </c>
      <c r="G1096" s="185">
        <v>0</v>
      </c>
      <c r="H1096" s="185">
        <v>0</v>
      </c>
      <c r="I1096" s="185">
        <v>20.893999</v>
      </c>
      <c r="J1096" s="317">
        <v>496.54</v>
      </c>
      <c r="K1096" s="185">
        <v>20.893999</v>
      </c>
      <c r="L1096" s="317">
        <v>496.54</v>
      </c>
      <c r="M1096" s="227">
        <f t="shared" si="153"/>
        <v>0.042079185966890885</v>
      </c>
      <c r="N1096" s="310">
        <v>275.7</v>
      </c>
      <c r="O1096" s="310">
        <f t="shared" si="154"/>
        <v>11.601231571071816</v>
      </c>
      <c r="P1096" s="177">
        <f t="shared" si="155"/>
        <v>2524.7511580134533</v>
      </c>
      <c r="Q1096" s="311">
        <f t="shared" si="156"/>
        <v>696.073894264309</v>
      </c>
      <c r="S1096" s="87"/>
      <c r="T1096" s="87"/>
    </row>
    <row r="1097" spans="1:20" ht="13.5" customHeight="1">
      <c r="A1097" s="933"/>
      <c r="B1097" s="41"/>
      <c r="C1097" s="49" t="s">
        <v>831</v>
      </c>
      <c r="D1097" s="41">
        <v>24</v>
      </c>
      <c r="E1097" s="41" t="s">
        <v>238</v>
      </c>
      <c r="F1097" s="185">
        <f t="shared" si="152"/>
        <v>49.050000999999995</v>
      </c>
      <c r="G1097" s="185">
        <v>2.20248</v>
      </c>
      <c r="H1097" s="185">
        <v>1.66</v>
      </c>
      <c r="I1097" s="185">
        <v>45.187521</v>
      </c>
      <c r="J1097" s="317">
        <v>1071.29</v>
      </c>
      <c r="K1097" s="185">
        <v>45.18752</v>
      </c>
      <c r="L1097" s="317">
        <v>1071.29</v>
      </c>
      <c r="M1097" s="227">
        <f t="shared" si="153"/>
        <v>0.042180474007971695</v>
      </c>
      <c r="N1097" s="310">
        <v>275.7</v>
      </c>
      <c r="O1097" s="310">
        <f t="shared" si="154"/>
        <v>11.629156683997795</v>
      </c>
      <c r="P1097" s="177">
        <f t="shared" si="155"/>
        <v>2530.828440478302</v>
      </c>
      <c r="Q1097" s="311">
        <f t="shared" si="156"/>
        <v>697.7494010398678</v>
      </c>
      <c r="S1097" s="87"/>
      <c r="T1097" s="87"/>
    </row>
    <row r="1098" spans="1:20" ht="13.5" customHeight="1">
      <c r="A1098" s="933"/>
      <c r="B1098" s="41"/>
      <c r="C1098" s="49" t="s">
        <v>832</v>
      </c>
      <c r="D1098" s="41">
        <v>6</v>
      </c>
      <c r="E1098" s="41" t="s">
        <v>238</v>
      </c>
      <c r="F1098" s="185">
        <f t="shared" si="152"/>
        <v>7.04577</v>
      </c>
      <c r="G1098" s="185">
        <v>0.08346</v>
      </c>
      <c r="H1098" s="185">
        <v>0.02</v>
      </c>
      <c r="I1098" s="185">
        <v>6.94231</v>
      </c>
      <c r="J1098" s="317">
        <v>156.39</v>
      </c>
      <c r="K1098" s="185">
        <v>6.94231</v>
      </c>
      <c r="L1098" s="317">
        <v>156.39</v>
      </c>
      <c r="M1098" s="227">
        <f t="shared" si="153"/>
        <v>0.04439100965534881</v>
      </c>
      <c r="N1098" s="310">
        <v>275.7</v>
      </c>
      <c r="O1098" s="310">
        <f t="shared" si="154"/>
        <v>12.238601361979667</v>
      </c>
      <c r="P1098" s="177">
        <f t="shared" si="155"/>
        <v>2663.460579320929</v>
      </c>
      <c r="Q1098" s="311">
        <f t="shared" si="156"/>
        <v>734.3160817187801</v>
      </c>
      <c r="S1098" s="87"/>
      <c r="T1098" s="87"/>
    </row>
    <row r="1099" spans="1:20" ht="13.5" customHeight="1">
      <c r="A1099" s="933"/>
      <c r="B1099" s="41"/>
      <c r="C1099" s="49" t="s">
        <v>526</v>
      </c>
      <c r="D1099" s="41">
        <v>12</v>
      </c>
      <c r="E1099" s="41" t="s">
        <v>238</v>
      </c>
      <c r="F1099" s="185">
        <f t="shared" si="152"/>
        <v>26.530001000000002</v>
      </c>
      <c r="G1099" s="185">
        <v>0.5244</v>
      </c>
      <c r="H1099" s="185">
        <v>0.39</v>
      </c>
      <c r="I1099" s="185">
        <v>25.615601</v>
      </c>
      <c r="J1099" s="317">
        <v>543.67</v>
      </c>
      <c r="K1099" s="185">
        <v>25.615601</v>
      </c>
      <c r="L1099" s="317">
        <v>543.67</v>
      </c>
      <c r="M1099" s="227">
        <f t="shared" si="153"/>
        <v>0.04711608328581677</v>
      </c>
      <c r="N1099" s="310">
        <v>275.7</v>
      </c>
      <c r="O1099" s="310">
        <f t="shared" si="154"/>
        <v>12.989904161899682</v>
      </c>
      <c r="P1099" s="177">
        <f t="shared" si="155"/>
        <v>2826.964997149006</v>
      </c>
      <c r="Q1099" s="311">
        <f t="shared" si="156"/>
        <v>779.3942497139809</v>
      </c>
      <c r="S1099" s="87"/>
      <c r="T1099" s="87"/>
    </row>
    <row r="1100" spans="1:20" ht="13.5" customHeight="1" thickBot="1">
      <c r="A1100" s="934"/>
      <c r="B1100" s="46"/>
      <c r="C1100" s="51"/>
      <c r="D1100" s="46"/>
      <c r="E1100" s="46"/>
      <c r="F1100" s="57"/>
      <c r="G1100" s="57"/>
      <c r="H1100" s="57"/>
      <c r="I1100" s="57"/>
      <c r="J1100" s="58"/>
      <c r="K1100" s="52"/>
      <c r="L1100" s="58"/>
      <c r="M1100" s="81"/>
      <c r="N1100" s="57"/>
      <c r="O1100" s="47"/>
      <c r="P1100" s="47"/>
      <c r="Q1100" s="48"/>
      <c r="S1100" s="87"/>
      <c r="T1100" s="87"/>
    </row>
    <row r="1101" spans="19:20" ht="12.75">
      <c r="S1101" s="87"/>
      <c r="T1101" s="87"/>
    </row>
    <row r="1102" spans="19:20" ht="12.75">
      <c r="S1102" s="87"/>
      <c r="T1102" s="87"/>
    </row>
    <row r="1103" spans="19:20" ht="12.75">
      <c r="S1103" s="87"/>
      <c r="T1103" s="87"/>
    </row>
    <row r="1104" spans="19:20" ht="12.75">
      <c r="S1104" s="87"/>
      <c r="T1104" s="87"/>
    </row>
    <row r="1105" spans="19:20" ht="12.75">
      <c r="S1105" s="87"/>
      <c r="T1105" s="87"/>
    </row>
    <row r="1106" spans="19:20" ht="12.75">
      <c r="S1106" s="87"/>
      <c r="T1106" s="87"/>
    </row>
    <row r="1107" spans="19:20" ht="12.75">
      <c r="S1107" s="87"/>
      <c r="T1107" s="87"/>
    </row>
    <row r="1108" spans="1:20" ht="15">
      <c r="A1108" s="906" t="s">
        <v>50</v>
      </c>
      <c r="B1108" s="906"/>
      <c r="C1108" s="906"/>
      <c r="D1108" s="906"/>
      <c r="E1108" s="906"/>
      <c r="F1108" s="906"/>
      <c r="G1108" s="906"/>
      <c r="H1108" s="906"/>
      <c r="I1108" s="906"/>
      <c r="J1108" s="906"/>
      <c r="K1108" s="906"/>
      <c r="L1108" s="906"/>
      <c r="M1108" s="906"/>
      <c r="N1108" s="906"/>
      <c r="O1108" s="906"/>
      <c r="P1108" s="906"/>
      <c r="Q1108" s="906"/>
      <c r="S1108" s="87"/>
      <c r="T1108" s="87"/>
    </row>
    <row r="1109" spans="1:20" ht="13.5" thickBot="1">
      <c r="A1109" s="935" t="s">
        <v>833</v>
      </c>
      <c r="B1109" s="935"/>
      <c r="C1109" s="935"/>
      <c r="D1109" s="935"/>
      <c r="E1109" s="935"/>
      <c r="F1109" s="935"/>
      <c r="G1109" s="935"/>
      <c r="H1109" s="935"/>
      <c r="I1109" s="935"/>
      <c r="J1109" s="935"/>
      <c r="K1109" s="935"/>
      <c r="L1109" s="935"/>
      <c r="M1109" s="935"/>
      <c r="N1109" s="935"/>
      <c r="O1109" s="935"/>
      <c r="P1109" s="935"/>
      <c r="Q1109" s="935"/>
      <c r="S1109" s="87"/>
      <c r="T1109" s="87"/>
    </row>
    <row r="1110" spans="1:20" ht="12.75" customHeight="1">
      <c r="A1110" s="890" t="s">
        <v>1</v>
      </c>
      <c r="B1110" s="892" t="s">
        <v>0</v>
      </c>
      <c r="C1110" s="888" t="s">
        <v>2</v>
      </c>
      <c r="D1110" s="888" t="s">
        <v>3</v>
      </c>
      <c r="E1110" s="888" t="s">
        <v>13</v>
      </c>
      <c r="F1110" s="896" t="s">
        <v>14</v>
      </c>
      <c r="G1110" s="897"/>
      <c r="H1110" s="897"/>
      <c r="I1110" s="898"/>
      <c r="J1110" s="888" t="s">
        <v>4</v>
      </c>
      <c r="K1110" s="888" t="s">
        <v>15</v>
      </c>
      <c r="L1110" s="888" t="s">
        <v>5</v>
      </c>
      <c r="M1110" s="888" t="s">
        <v>6</v>
      </c>
      <c r="N1110" s="888" t="s">
        <v>16</v>
      </c>
      <c r="O1110" s="949" t="s">
        <v>17</v>
      </c>
      <c r="P1110" s="888" t="s">
        <v>25</v>
      </c>
      <c r="Q1110" s="878" t="s">
        <v>26</v>
      </c>
      <c r="S1110" s="87"/>
      <c r="T1110" s="87"/>
    </row>
    <row r="1111" spans="1:20" s="2" customFormat="1" ht="33.75">
      <c r="A1111" s="891"/>
      <c r="B1111" s="893"/>
      <c r="C1111" s="894"/>
      <c r="D1111" s="889"/>
      <c r="E1111" s="889"/>
      <c r="F1111" s="36" t="s">
        <v>18</v>
      </c>
      <c r="G1111" s="36" t="s">
        <v>19</v>
      </c>
      <c r="H1111" s="36" t="s">
        <v>20</v>
      </c>
      <c r="I1111" s="36" t="s">
        <v>21</v>
      </c>
      <c r="J1111" s="889"/>
      <c r="K1111" s="889"/>
      <c r="L1111" s="889"/>
      <c r="M1111" s="889"/>
      <c r="N1111" s="889"/>
      <c r="O1111" s="950"/>
      <c r="P1111" s="889"/>
      <c r="Q1111" s="879"/>
      <c r="S1111" s="87"/>
      <c r="T1111" s="87"/>
    </row>
    <row r="1112" spans="1:20" s="3" customFormat="1" ht="13.5" customHeight="1" thickBot="1">
      <c r="A1112" s="945"/>
      <c r="B1112" s="946"/>
      <c r="C1112" s="895"/>
      <c r="D1112" s="59" t="s">
        <v>7</v>
      </c>
      <c r="E1112" s="59" t="s">
        <v>8</v>
      </c>
      <c r="F1112" s="59" t="s">
        <v>9</v>
      </c>
      <c r="G1112" s="59" t="s">
        <v>9</v>
      </c>
      <c r="H1112" s="59" t="s">
        <v>9</v>
      </c>
      <c r="I1112" s="59" t="s">
        <v>9</v>
      </c>
      <c r="J1112" s="59" t="s">
        <v>22</v>
      </c>
      <c r="K1112" s="59" t="s">
        <v>9</v>
      </c>
      <c r="L1112" s="59" t="s">
        <v>22</v>
      </c>
      <c r="M1112" s="59" t="s">
        <v>23</v>
      </c>
      <c r="N1112" s="59" t="s">
        <v>10</v>
      </c>
      <c r="O1112" s="59" t="s">
        <v>24</v>
      </c>
      <c r="P1112" s="60" t="s">
        <v>27</v>
      </c>
      <c r="Q1112" s="61" t="s">
        <v>28</v>
      </c>
      <c r="S1112" s="87"/>
      <c r="T1112" s="87"/>
    </row>
    <row r="1113" spans="1:20" ht="12.75">
      <c r="A1113" s="956" t="s">
        <v>30</v>
      </c>
      <c r="B1113" s="280">
        <v>1</v>
      </c>
      <c r="C1113" s="270" t="s">
        <v>834</v>
      </c>
      <c r="D1113" s="231">
        <v>32</v>
      </c>
      <c r="E1113" s="231">
        <v>1977</v>
      </c>
      <c r="F1113" s="423">
        <v>56.409</v>
      </c>
      <c r="G1113" s="423">
        <v>2.091</v>
      </c>
      <c r="H1113" s="423">
        <v>5.12</v>
      </c>
      <c r="I1113" s="423">
        <v>49.197996</v>
      </c>
      <c r="J1113" s="434">
        <v>1796.17</v>
      </c>
      <c r="K1113" s="423">
        <v>49.2</v>
      </c>
      <c r="L1113" s="356">
        <v>1796.17</v>
      </c>
      <c r="M1113" s="286">
        <f aca="true" t="shared" si="157" ref="M1113:M1122">K1113/L1113</f>
        <v>0.02739161660644594</v>
      </c>
      <c r="N1113" s="285">
        <v>236.75</v>
      </c>
      <c r="O1113" s="285">
        <f aca="true" t="shared" si="158" ref="O1113:O1122">M1113*N1113</f>
        <v>6.484965231576076</v>
      </c>
      <c r="P1113" s="285">
        <f aca="true" t="shared" si="159" ref="P1113:P1122">M1113*60*1000</f>
        <v>1643.4969963867563</v>
      </c>
      <c r="Q1113" s="287">
        <f aca="true" t="shared" si="160" ref="Q1113:Q1122">P1113*N1113/1000</f>
        <v>389.09791389456456</v>
      </c>
      <c r="R1113" s="6"/>
      <c r="S1113" s="87"/>
      <c r="T1113" s="87"/>
    </row>
    <row r="1114" spans="1:20" ht="12.75">
      <c r="A1114" s="957"/>
      <c r="B1114" s="232">
        <v>2</v>
      </c>
      <c r="C1114" s="272" t="s">
        <v>527</v>
      </c>
      <c r="D1114" s="232">
        <v>30</v>
      </c>
      <c r="E1114" s="232">
        <v>1990</v>
      </c>
      <c r="F1114" s="288">
        <v>60.471198</v>
      </c>
      <c r="G1114" s="288">
        <v>2.652</v>
      </c>
      <c r="H1114" s="288">
        <v>4.64</v>
      </c>
      <c r="I1114" s="288">
        <v>53.179198</v>
      </c>
      <c r="J1114" s="279">
        <v>1929.58</v>
      </c>
      <c r="K1114" s="288">
        <v>53.179198</v>
      </c>
      <c r="L1114" s="279">
        <v>1929.58</v>
      </c>
      <c r="M1114" s="290">
        <f t="shared" si="157"/>
        <v>0.027559986110967154</v>
      </c>
      <c r="N1114" s="289">
        <v>236.75</v>
      </c>
      <c r="O1114" s="289">
        <f t="shared" si="158"/>
        <v>6.524826711771474</v>
      </c>
      <c r="P1114" s="285">
        <f t="shared" si="159"/>
        <v>1653.5991666580292</v>
      </c>
      <c r="Q1114" s="291">
        <f t="shared" si="160"/>
        <v>391.4896027062884</v>
      </c>
      <c r="R1114" s="6"/>
      <c r="S1114" s="87"/>
      <c r="T1114" s="87"/>
    </row>
    <row r="1115" spans="1:20" ht="12.75">
      <c r="A1115" s="957"/>
      <c r="B1115" s="232">
        <v>3</v>
      </c>
      <c r="C1115" s="272" t="s">
        <v>835</v>
      </c>
      <c r="D1115" s="232">
        <v>36</v>
      </c>
      <c r="E1115" s="232">
        <v>1970</v>
      </c>
      <c r="F1115" s="288">
        <v>40.432</v>
      </c>
      <c r="G1115" s="288">
        <v>2.55</v>
      </c>
      <c r="H1115" s="288">
        <v>0.35</v>
      </c>
      <c r="I1115" s="288">
        <v>37.531997</v>
      </c>
      <c r="J1115" s="279">
        <v>1274.2</v>
      </c>
      <c r="K1115" s="288">
        <v>37.531997</v>
      </c>
      <c r="L1115" s="279">
        <v>1274.2</v>
      </c>
      <c r="M1115" s="290">
        <f t="shared" si="157"/>
        <v>0.02945534217548265</v>
      </c>
      <c r="N1115" s="289">
        <v>236.75</v>
      </c>
      <c r="O1115" s="289">
        <f t="shared" si="158"/>
        <v>6.973552260045518</v>
      </c>
      <c r="P1115" s="285">
        <f t="shared" si="159"/>
        <v>1767.3205305289591</v>
      </c>
      <c r="Q1115" s="291">
        <f t="shared" si="160"/>
        <v>418.4131356027311</v>
      </c>
      <c r="R1115" s="6"/>
      <c r="S1115" s="87"/>
      <c r="T1115" s="87"/>
    </row>
    <row r="1116" spans="1:20" ht="12.75">
      <c r="A1116" s="957"/>
      <c r="B1116" s="232">
        <v>4</v>
      </c>
      <c r="C1116" s="272" t="s">
        <v>528</v>
      </c>
      <c r="D1116" s="232">
        <v>20</v>
      </c>
      <c r="E1116" s="232">
        <v>1980</v>
      </c>
      <c r="F1116" s="288">
        <v>36.777</v>
      </c>
      <c r="G1116" s="288">
        <v>2.04</v>
      </c>
      <c r="H1116" s="288">
        <v>3.2</v>
      </c>
      <c r="I1116" s="288">
        <v>31.536998</v>
      </c>
      <c r="J1116" s="279">
        <v>1049.88</v>
      </c>
      <c r="K1116" s="288">
        <v>31.5</v>
      </c>
      <c r="L1116" s="279">
        <v>1049.9</v>
      </c>
      <c r="M1116" s="290">
        <f t="shared" si="157"/>
        <v>0.030002857414991903</v>
      </c>
      <c r="N1116" s="289">
        <v>236.75</v>
      </c>
      <c r="O1116" s="289">
        <f t="shared" si="158"/>
        <v>7.103176492999333</v>
      </c>
      <c r="P1116" s="285">
        <f t="shared" si="159"/>
        <v>1800.171444899514</v>
      </c>
      <c r="Q1116" s="291">
        <f t="shared" si="160"/>
        <v>426.1905895799599</v>
      </c>
      <c r="R1116" s="6"/>
      <c r="S1116" s="87"/>
      <c r="T1116" s="87"/>
    </row>
    <row r="1117" spans="1:20" ht="12.75">
      <c r="A1117" s="957"/>
      <c r="B1117" s="232">
        <v>5</v>
      </c>
      <c r="C1117" s="272" t="s">
        <v>529</v>
      </c>
      <c r="D1117" s="232">
        <v>20</v>
      </c>
      <c r="E1117" s="232">
        <v>1982</v>
      </c>
      <c r="F1117" s="288">
        <v>37.765</v>
      </c>
      <c r="G1117" s="288">
        <v>2.397</v>
      </c>
      <c r="H1117" s="288">
        <v>3.491</v>
      </c>
      <c r="I1117" s="288">
        <v>31.877</v>
      </c>
      <c r="J1117" s="279">
        <v>1036.5</v>
      </c>
      <c r="K1117" s="288">
        <v>31.877</v>
      </c>
      <c r="L1117" s="279">
        <v>1036.5</v>
      </c>
      <c r="M1117" s="290">
        <f t="shared" si="157"/>
        <v>0.03075446213217559</v>
      </c>
      <c r="N1117" s="289">
        <v>236.75</v>
      </c>
      <c r="O1117" s="289">
        <f t="shared" si="158"/>
        <v>7.281118909792571</v>
      </c>
      <c r="P1117" s="285">
        <f t="shared" si="159"/>
        <v>1845.2677279305353</v>
      </c>
      <c r="Q1117" s="291">
        <f t="shared" si="160"/>
        <v>436.86713458755423</v>
      </c>
      <c r="R1117" s="6"/>
      <c r="S1117" s="87"/>
      <c r="T1117" s="87"/>
    </row>
    <row r="1118" spans="1:20" ht="13.5" thickBot="1">
      <c r="A1118" s="958"/>
      <c r="B1118" s="276">
        <v>6</v>
      </c>
      <c r="C1118" s="272" t="s">
        <v>836</v>
      </c>
      <c r="D1118" s="232">
        <v>12</v>
      </c>
      <c r="E1118" s="232">
        <v>1989</v>
      </c>
      <c r="F1118" s="288">
        <v>26.13</v>
      </c>
      <c r="G1118" s="288">
        <v>1.03989</v>
      </c>
      <c r="H1118" s="288">
        <v>1.92</v>
      </c>
      <c r="I1118" s="288">
        <v>23.170112</v>
      </c>
      <c r="J1118" s="279">
        <v>704.6</v>
      </c>
      <c r="K1118" s="288">
        <v>23.170112</v>
      </c>
      <c r="L1118" s="279">
        <v>704.6</v>
      </c>
      <c r="M1118" s="290">
        <f t="shared" si="157"/>
        <v>0.03288406471757025</v>
      </c>
      <c r="N1118" s="289">
        <v>236.75</v>
      </c>
      <c r="O1118" s="289">
        <f t="shared" si="158"/>
        <v>7.785302321884757</v>
      </c>
      <c r="P1118" s="285">
        <f t="shared" si="159"/>
        <v>1973.043883054215</v>
      </c>
      <c r="Q1118" s="291">
        <f t="shared" si="160"/>
        <v>467.1181393130854</v>
      </c>
      <c r="R1118" s="6"/>
      <c r="S1118" s="87"/>
      <c r="T1118" s="87"/>
    </row>
    <row r="1119" spans="1:20" ht="12.75" customHeight="1">
      <c r="A1119" s="908" t="s">
        <v>12</v>
      </c>
      <c r="B1119" s="80">
        <v>1</v>
      </c>
      <c r="C1119" s="238" t="s">
        <v>837</v>
      </c>
      <c r="D1119" s="39">
        <v>8</v>
      </c>
      <c r="E1119" s="39">
        <v>1982</v>
      </c>
      <c r="F1119" s="429">
        <v>15.7</v>
      </c>
      <c r="G1119" s="429">
        <v>0.816</v>
      </c>
      <c r="H1119" s="429">
        <v>1.28</v>
      </c>
      <c r="I1119" s="429">
        <v>13.604</v>
      </c>
      <c r="J1119" s="360">
        <v>394.56</v>
      </c>
      <c r="K1119" s="429">
        <v>13.604</v>
      </c>
      <c r="L1119" s="357">
        <v>394.56</v>
      </c>
      <c r="M1119" s="226">
        <f t="shared" si="157"/>
        <v>0.03447891321978913</v>
      </c>
      <c r="N1119" s="177">
        <v>236.75</v>
      </c>
      <c r="O1119" s="177">
        <f t="shared" si="158"/>
        <v>8.162882704785076</v>
      </c>
      <c r="P1119" s="177">
        <f t="shared" si="159"/>
        <v>2068.734793187348</v>
      </c>
      <c r="Q1119" s="305">
        <f t="shared" si="160"/>
        <v>489.7729622871046</v>
      </c>
      <c r="R1119" s="6"/>
      <c r="S1119" s="87"/>
      <c r="T1119" s="87"/>
    </row>
    <row r="1120" spans="1:20" ht="12.75">
      <c r="A1120" s="909"/>
      <c r="B1120" s="41">
        <v>2</v>
      </c>
      <c r="C1120" s="49" t="s">
        <v>838</v>
      </c>
      <c r="D1120" s="41">
        <v>8</v>
      </c>
      <c r="E1120" s="41">
        <v>1981</v>
      </c>
      <c r="F1120" s="185">
        <v>16.78</v>
      </c>
      <c r="G1120" s="185">
        <v>1.122</v>
      </c>
      <c r="H1120" s="185">
        <v>1.38557</v>
      </c>
      <c r="I1120" s="185">
        <v>14.272429</v>
      </c>
      <c r="J1120" s="317">
        <v>411.28</v>
      </c>
      <c r="K1120" s="185">
        <v>14.272429</v>
      </c>
      <c r="L1120" s="317">
        <v>411.28</v>
      </c>
      <c r="M1120" s="227">
        <f t="shared" si="157"/>
        <v>0.03470246304220969</v>
      </c>
      <c r="N1120" s="310">
        <v>236.75</v>
      </c>
      <c r="O1120" s="310">
        <f t="shared" si="158"/>
        <v>8.215808125243145</v>
      </c>
      <c r="P1120" s="177">
        <f t="shared" si="159"/>
        <v>2082.1477825325815</v>
      </c>
      <c r="Q1120" s="311">
        <f t="shared" si="160"/>
        <v>492.94848751458863</v>
      </c>
      <c r="R1120" s="6"/>
      <c r="S1120" s="87"/>
      <c r="T1120" s="87"/>
    </row>
    <row r="1121" spans="1:20" ht="12.75">
      <c r="A1121" s="909"/>
      <c r="B1121" s="41">
        <v>3</v>
      </c>
      <c r="C1121" s="49" t="s">
        <v>839</v>
      </c>
      <c r="D1121" s="41">
        <v>8</v>
      </c>
      <c r="E1121" s="41">
        <v>1967</v>
      </c>
      <c r="F1121" s="185">
        <v>13.409643</v>
      </c>
      <c r="G1121" s="185">
        <v>0.408</v>
      </c>
      <c r="H1121" s="185">
        <v>1.171</v>
      </c>
      <c r="I1121" s="185">
        <v>11.830644</v>
      </c>
      <c r="J1121" s="317">
        <v>335.29</v>
      </c>
      <c r="K1121" s="185">
        <v>11.8</v>
      </c>
      <c r="L1121" s="317">
        <v>335.3</v>
      </c>
      <c r="M1121" s="227">
        <f t="shared" si="157"/>
        <v>0.03519236504622726</v>
      </c>
      <c r="N1121" s="310">
        <v>236.75</v>
      </c>
      <c r="O1121" s="310">
        <f t="shared" si="158"/>
        <v>8.331792424694305</v>
      </c>
      <c r="P1121" s="177">
        <f t="shared" si="159"/>
        <v>2111.5419027736357</v>
      </c>
      <c r="Q1121" s="311">
        <f t="shared" si="160"/>
        <v>499.90754548165825</v>
      </c>
      <c r="R1121" s="6"/>
      <c r="S1121" s="87"/>
      <c r="T1121" s="87"/>
    </row>
    <row r="1122" spans="1:20" ht="12.75">
      <c r="A1122" s="909"/>
      <c r="B1122" s="41">
        <v>4</v>
      </c>
      <c r="C1122" s="49" t="s">
        <v>840</v>
      </c>
      <c r="D1122" s="41">
        <v>8</v>
      </c>
      <c r="E1122" s="41">
        <v>1968</v>
      </c>
      <c r="F1122" s="185">
        <v>15.522</v>
      </c>
      <c r="G1122" s="185">
        <v>0.306</v>
      </c>
      <c r="H1122" s="185">
        <v>1.28</v>
      </c>
      <c r="I1122" s="185">
        <v>13.93599</v>
      </c>
      <c r="J1122" s="317">
        <v>390.08</v>
      </c>
      <c r="K1122" s="185">
        <v>13.9</v>
      </c>
      <c r="L1122" s="317">
        <v>390.1</v>
      </c>
      <c r="M1122" s="227">
        <f t="shared" si="157"/>
        <v>0.035631889259164315</v>
      </c>
      <c r="N1122" s="310">
        <v>236.748</v>
      </c>
      <c r="O1122" s="310">
        <f t="shared" si="158"/>
        <v>8.435778518328632</v>
      </c>
      <c r="P1122" s="177">
        <f t="shared" si="159"/>
        <v>2137.9133555498593</v>
      </c>
      <c r="Q1122" s="311">
        <f t="shared" si="160"/>
        <v>506.14671109971806</v>
      </c>
      <c r="S1122" s="87"/>
      <c r="T1122" s="87"/>
    </row>
    <row r="1123" spans="1:20" ht="12.75">
      <c r="A1123" s="909"/>
      <c r="B1123" s="41">
        <v>5</v>
      </c>
      <c r="C1123" s="167"/>
      <c r="D1123" s="153"/>
      <c r="E1123" s="153"/>
      <c r="F1123" s="190"/>
      <c r="G1123" s="190"/>
      <c r="H1123" s="190"/>
      <c r="I1123" s="190"/>
      <c r="J1123" s="190"/>
      <c r="K1123" s="190"/>
      <c r="L1123" s="190"/>
      <c r="M1123" s="163"/>
      <c r="N1123" s="164"/>
      <c r="O1123" s="165"/>
      <c r="P1123" s="165"/>
      <c r="Q1123" s="166"/>
      <c r="S1123" s="87"/>
      <c r="T1123" s="87"/>
    </row>
    <row r="1124" spans="1:20" ht="12.75">
      <c r="A1124" s="909"/>
      <c r="B1124" s="41">
        <v>6</v>
      </c>
      <c r="C1124" s="49"/>
      <c r="D1124" s="41"/>
      <c r="E1124" s="41"/>
      <c r="F1124" s="54"/>
      <c r="G1124" s="42"/>
      <c r="H1124" s="42"/>
      <c r="I1124" s="42"/>
      <c r="J1124" s="43"/>
      <c r="K1124" s="42"/>
      <c r="L1124" s="43"/>
      <c r="M1124" s="44"/>
      <c r="N1124" s="42"/>
      <c r="O1124" s="42"/>
      <c r="P1124" s="42"/>
      <c r="Q1124" s="45"/>
      <c r="S1124" s="87"/>
      <c r="T1124" s="87"/>
    </row>
    <row r="1125" spans="1:20" ht="13.5" thickBot="1">
      <c r="A1125" s="910"/>
      <c r="B1125" s="46">
        <v>7</v>
      </c>
      <c r="C1125" s="79"/>
      <c r="D1125" s="46"/>
      <c r="E1125" s="46"/>
      <c r="F1125" s="51"/>
      <c r="G1125" s="222"/>
      <c r="H1125" s="222"/>
      <c r="I1125" s="222"/>
      <c r="J1125" s="222"/>
      <c r="K1125" s="222"/>
      <c r="L1125" s="222"/>
      <c r="M1125" s="222"/>
      <c r="N1125" s="222"/>
      <c r="O1125" s="222"/>
      <c r="P1125" s="222"/>
      <c r="Q1125" s="223"/>
      <c r="S1125" s="87"/>
      <c r="T1125" s="87"/>
    </row>
    <row r="1126" spans="19:20" ht="12.75">
      <c r="S1126" s="87"/>
      <c r="T1126" s="87"/>
    </row>
    <row r="1127" spans="1:20" ht="15">
      <c r="A1127" s="906" t="s">
        <v>923</v>
      </c>
      <c r="B1127" s="906"/>
      <c r="C1127" s="906"/>
      <c r="D1127" s="906"/>
      <c r="E1127" s="906"/>
      <c r="F1127" s="906"/>
      <c r="G1127" s="906"/>
      <c r="H1127" s="906"/>
      <c r="I1127" s="906"/>
      <c r="J1127" s="906"/>
      <c r="K1127" s="906"/>
      <c r="L1127" s="906"/>
      <c r="M1127" s="906"/>
      <c r="N1127" s="906"/>
      <c r="O1127" s="906"/>
      <c r="P1127" s="906"/>
      <c r="Q1127" s="906"/>
      <c r="S1127" s="87"/>
      <c r="T1127" s="87"/>
    </row>
    <row r="1128" spans="1:20" ht="13.5" thickBot="1">
      <c r="A1128" s="935" t="s">
        <v>841</v>
      </c>
      <c r="B1128" s="935"/>
      <c r="C1128" s="935"/>
      <c r="D1128" s="935"/>
      <c r="E1128" s="935"/>
      <c r="F1128" s="935"/>
      <c r="G1128" s="935"/>
      <c r="H1128" s="935"/>
      <c r="I1128" s="935"/>
      <c r="J1128" s="935"/>
      <c r="K1128" s="935"/>
      <c r="L1128" s="935"/>
      <c r="M1128" s="935"/>
      <c r="N1128" s="935"/>
      <c r="O1128" s="935"/>
      <c r="P1128" s="935"/>
      <c r="Q1128" s="935"/>
      <c r="S1128" s="87"/>
      <c r="T1128" s="87"/>
    </row>
    <row r="1129" spans="1:20" ht="12.75" customHeight="1">
      <c r="A1129" s="890" t="s">
        <v>1</v>
      </c>
      <c r="B1129" s="892" t="s">
        <v>0</v>
      </c>
      <c r="C1129" s="888" t="s">
        <v>2</v>
      </c>
      <c r="D1129" s="888" t="s">
        <v>3</v>
      </c>
      <c r="E1129" s="888" t="s">
        <v>13</v>
      </c>
      <c r="F1129" s="896" t="s">
        <v>14</v>
      </c>
      <c r="G1129" s="897"/>
      <c r="H1129" s="897"/>
      <c r="I1129" s="898"/>
      <c r="J1129" s="888" t="s">
        <v>4</v>
      </c>
      <c r="K1129" s="888" t="s">
        <v>15</v>
      </c>
      <c r="L1129" s="888" t="s">
        <v>5</v>
      </c>
      <c r="M1129" s="888" t="s">
        <v>6</v>
      </c>
      <c r="N1129" s="888" t="s">
        <v>16</v>
      </c>
      <c r="O1129" s="949" t="s">
        <v>17</v>
      </c>
      <c r="P1129" s="888" t="s">
        <v>25</v>
      </c>
      <c r="Q1129" s="878" t="s">
        <v>26</v>
      </c>
      <c r="S1129" s="87"/>
      <c r="T1129" s="87"/>
    </row>
    <row r="1130" spans="1:20" s="2" customFormat="1" ht="33.75">
      <c r="A1130" s="891"/>
      <c r="B1130" s="893"/>
      <c r="C1130" s="894"/>
      <c r="D1130" s="889"/>
      <c r="E1130" s="889"/>
      <c r="F1130" s="36" t="s">
        <v>18</v>
      </c>
      <c r="G1130" s="36" t="s">
        <v>19</v>
      </c>
      <c r="H1130" s="36" t="s">
        <v>20</v>
      </c>
      <c r="I1130" s="36" t="s">
        <v>21</v>
      </c>
      <c r="J1130" s="889"/>
      <c r="K1130" s="889"/>
      <c r="L1130" s="889"/>
      <c r="M1130" s="889"/>
      <c r="N1130" s="889"/>
      <c r="O1130" s="950"/>
      <c r="P1130" s="889"/>
      <c r="Q1130" s="879"/>
      <c r="S1130" s="87"/>
      <c r="T1130" s="87"/>
    </row>
    <row r="1131" spans="1:20" s="3" customFormat="1" ht="13.5" customHeight="1" thickBot="1">
      <c r="A1131" s="945"/>
      <c r="B1131" s="946"/>
      <c r="C1131" s="895"/>
      <c r="D1131" s="59" t="s">
        <v>7</v>
      </c>
      <c r="E1131" s="59" t="s">
        <v>8</v>
      </c>
      <c r="F1131" s="59" t="s">
        <v>9</v>
      </c>
      <c r="G1131" s="59" t="s">
        <v>9</v>
      </c>
      <c r="H1131" s="59" t="s">
        <v>9</v>
      </c>
      <c r="I1131" s="59" t="s">
        <v>9</v>
      </c>
      <c r="J1131" s="59" t="s">
        <v>22</v>
      </c>
      <c r="K1131" s="59" t="s">
        <v>9</v>
      </c>
      <c r="L1131" s="59" t="s">
        <v>22</v>
      </c>
      <c r="M1131" s="59" t="s">
        <v>128</v>
      </c>
      <c r="N1131" s="59" t="s">
        <v>10</v>
      </c>
      <c r="O1131" s="59" t="s">
        <v>129</v>
      </c>
      <c r="P1131" s="60" t="s">
        <v>27</v>
      </c>
      <c r="Q1131" s="61" t="s">
        <v>28</v>
      </c>
      <c r="S1131" s="87"/>
      <c r="T1131" s="87"/>
    </row>
    <row r="1132" spans="1:20" ht="12.75">
      <c r="A1132" s="947" t="s">
        <v>11</v>
      </c>
      <c r="B1132" s="30">
        <v>1</v>
      </c>
      <c r="C1132" s="63"/>
      <c r="D1132" s="62"/>
      <c r="E1132" s="62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822"/>
      <c r="R1132" s="6"/>
      <c r="S1132" s="87"/>
      <c r="T1132" s="87"/>
    </row>
    <row r="1133" spans="1:20" ht="12.75">
      <c r="A1133" s="928"/>
      <c r="B1133" s="31">
        <v>2</v>
      </c>
      <c r="C1133" s="16"/>
      <c r="D1133" s="31"/>
      <c r="E1133" s="31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823"/>
      <c r="S1133" s="87"/>
      <c r="T1133" s="87"/>
    </row>
    <row r="1134" spans="1:20" ht="12.75">
      <c r="A1134" s="928"/>
      <c r="B1134" s="31">
        <v>3</v>
      </c>
      <c r="C1134" s="16"/>
      <c r="D1134" s="31"/>
      <c r="E1134" s="31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823"/>
      <c r="S1134" s="87"/>
      <c r="T1134" s="87"/>
    </row>
    <row r="1135" spans="1:20" ht="12.75">
      <c r="A1135" s="928"/>
      <c r="B1135" s="31">
        <v>4</v>
      </c>
      <c r="C1135" s="16"/>
      <c r="D1135" s="31"/>
      <c r="E1135" s="31"/>
      <c r="F1135" s="146"/>
      <c r="G1135" s="254"/>
      <c r="H1135" s="146"/>
      <c r="I1135" s="254"/>
      <c r="J1135" s="176"/>
      <c r="K1135" s="146"/>
      <c r="L1135" s="176"/>
      <c r="M1135" s="133"/>
      <c r="N1135" s="132"/>
      <c r="O1135" s="132"/>
      <c r="P1135" s="652"/>
      <c r="Q1135" s="134"/>
      <c r="S1135" s="87"/>
      <c r="T1135" s="87"/>
    </row>
    <row r="1136" spans="1:20" ht="12.75">
      <c r="A1136" s="928"/>
      <c r="B1136" s="31">
        <v>5</v>
      </c>
      <c r="C1136" s="16"/>
      <c r="D1136" s="31"/>
      <c r="E1136" s="31"/>
      <c r="F1136" s="146"/>
      <c r="G1136" s="146"/>
      <c r="H1136" s="146"/>
      <c r="I1136" s="146"/>
      <c r="J1136" s="176"/>
      <c r="K1136" s="146"/>
      <c r="L1136" s="176"/>
      <c r="M1136" s="133"/>
      <c r="N1136" s="132"/>
      <c r="O1136" s="132"/>
      <c r="P1136" s="652"/>
      <c r="Q1136" s="134"/>
      <c r="S1136" s="87"/>
      <c r="T1136" s="87"/>
    </row>
    <row r="1137" spans="1:20" ht="12.75">
      <c r="A1137" s="928"/>
      <c r="B1137" s="31">
        <v>6</v>
      </c>
      <c r="C1137" s="205"/>
      <c r="D1137" s="204"/>
      <c r="E1137" s="204"/>
      <c r="F1137" s="374"/>
      <c r="G1137" s="374"/>
      <c r="H1137" s="374"/>
      <c r="I1137" s="374"/>
      <c r="J1137" s="376"/>
      <c r="K1137" s="374"/>
      <c r="L1137" s="376"/>
      <c r="M1137" s="156"/>
      <c r="N1137" s="157"/>
      <c r="O1137" s="206"/>
      <c r="P1137" s="474"/>
      <c r="Q1137" s="158"/>
      <c r="S1137" s="87"/>
      <c r="T1137" s="87"/>
    </row>
    <row r="1138" spans="1:20" ht="12.75">
      <c r="A1138" s="928"/>
      <c r="B1138" s="31">
        <v>7</v>
      </c>
      <c r="C1138" s="205"/>
      <c r="D1138" s="204"/>
      <c r="E1138" s="204"/>
      <c r="F1138" s="374"/>
      <c r="G1138" s="374"/>
      <c r="H1138" s="374"/>
      <c r="I1138" s="374"/>
      <c r="J1138" s="376"/>
      <c r="K1138" s="374"/>
      <c r="L1138" s="376"/>
      <c r="M1138" s="156"/>
      <c r="N1138" s="203"/>
      <c r="O1138" s="206"/>
      <c r="P1138" s="186"/>
      <c r="Q1138" s="158"/>
      <c r="S1138" s="87"/>
      <c r="T1138" s="87"/>
    </row>
    <row r="1139" spans="1:20" ht="13.5" thickBot="1">
      <c r="A1139" s="928"/>
      <c r="B1139" s="31">
        <v>8</v>
      </c>
      <c r="C1139" s="829"/>
      <c r="D1139" s="234"/>
      <c r="E1139" s="234"/>
      <c r="F1139" s="375"/>
      <c r="G1139" s="375"/>
      <c r="H1139" s="375"/>
      <c r="I1139" s="375"/>
      <c r="J1139" s="516"/>
      <c r="K1139" s="375"/>
      <c r="L1139" s="516"/>
      <c r="M1139" s="386"/>
      <c r="N1139" s="369"/>
      <c r="O1139" s="830"/>
      <c r="P1139" s="540"/>
      <c r="Q1139" s="371"/>
      <c r="S1139" s="87"/>
      <c r="T1139" s="87"/>
    </row>
    <row r="1140" spans="1:20" ht="11.25" customHeight="1">
      <c r="A1140" s="942" t="s">
        <v>29</v>
      </c>
      <c r="B1140" s="128">
        <v>1</v>
      </c>
      <c r="C1140" s="88" t="s">
        <v>535</v>
      </c>
      <c r="D1140" s="67">
        <v>40</v>
      </c>
      <c r="E1140" s="67">
        <v>1975</v>
      </c>
      <c r="F1140" s="267">
        <v>49.4</v>
      </c>
      <c r="G1140" s="267">
        <v>3.57</v>
      </c>
      <c r="H1140" s="267">
        <v>6.4</v>
      </c>
      <c r="I1140" s="267">
        <v>39.43</v>
      </c>
      <c r="J1140" s="121">
        <v>1908</v>
      </c>
      <c r="K1140" s="267">
        <v>39.43</v>
      </c>
      <c r="L1140" s="121">
        <v>1908</v>
      </c>
      <c r="M1140" s="147">
        <f>I1140/L1140</f>
        <v>0.020665618448637315</v>
      </c>
      <c r="N1140" s="148">
        <v>222.9</v>
      </c>
      <c r="O1140" s="148">
        <f>M1140*N1140</f>
        <v>4.606366352201258</v>
      </c>
      <c r="P1140" s="828">
        <f>M1140*60*1000</f>
        <v>1239.937106918239</v>
      </c>
      <c r="Q1140" s="170">
        <f>O1140*60</f>
        <v>276.38198113207545</v>
      </c>
      <c r="S1140" s="87"/>
      <c r="T1140" s="87"/>
    </row>
    <row r="1141" spans="1:20" ht="12.75" customHeight="1">
      <c r="A1141" s="943"/>
      <c r="B1141" s="129">
        <v>2</v>
      </c>
      <c r="C1141" s="34" t="s">
        <v>537</v>
      </c>
      <c r="D1141" s="35">
        <v>40</v>
      </c>
      <c r="E1141" s="35">
        <v>1983</v>
      </c>
      <c r="F1141" s="263">
        <v>55.7</v>
      </c>
      <c r="G1141" s="263">
        <v>3.21</v>
      </c>
      <c r="H1141" s="263">
        <v>6.4</v>
      </c>
      <c r="I1141" s="263">
        <v>46.09</v>
      </c>
      <c r="J1141" s="118">
        <v>1992</v>
      </c>
      <c r="K1141" s="263">
        <v>46.09</v>
      </c>
      <c r="L1141" s="118">
        <v>1992</v>
      </c>
      <c r="M1141" s="139">
        <f>I1141/L1141</f>
        <v>0.023137550200803214</v>
      </c>
      <c r="N1141" s="138">
        <v>222.9</v>
      </c>
      <c r="O1141" s="138">
        <f>M1141*N1141</f>
        <v>5.157359939759036</v>
      </c>
      <c r="P1141" s="711">
        <f>M1141*60*1000</f>
        <v>1388.2530120481929</v>
      </c>
      <c r="Q1141" s="168">
        <f>O1141*60</f>
        <v>309.4415963855422</v>
      </c>
      <c r="S1141" s="87"/>
      <c r="T1141" s="87"/>
    </row>
    <row r="1142" spans="1:20" ht="12.75" customHeight="1">
      <c r="A1142" s="943"/>
      <c r="B1142" s="129">
        <v>3</v>
      </c>
      <c r="C1142" s="34" t="s">
        <v>534</v>
      </c>
      <c r="D1142" s="35">
        <v>27</v>
      </c>
      <c r="E1142" s="35">
        <v>1974</v>
      </c>
      <c r="F1142" s="263">
        <v>40</v>
      </c>
      <c r="G1142" s="263">
        <v>2.3</v>
      </c>
      <c r="H1142" s="263">
        <v>4.32</v>
      </c>
      <c r="I1142" s="263">
        <v>33.38</v>
      </c>
      <c r="J1142" s="118">
        <v>1417</v>
      </c>
      <c r="K1142" s="263">
        <v>33.38</v>
      </c>
      <c r="L1142" s="118">
        <v>1417</v>
      </c>
      <c r="M1142" s="139">
        <f>I1142/L1142</f>
        <v>0.023556810162314753</v>
      </c>
      <c r="N1142" s="138">
        <v>222.9</v>
      </c>
      <c r="O1142" s="138">
        <f>M1142*N1142</f>
        <v>5.250812985179959</v>
      </c>
      <c r="P1142" s="711">
        <f>M1142*60*1000</f>
        <v>1413.4086097388852</v>
      </c>
      <c r="Q1142" s="168">
        <f>O1142*60</f>
        <v>315.0487791107975</v>
      </c>
      <c r="S1142" s="87"/>
      <c r="T1142" s="87"/>
    </row>
    <row r="1143" spans="1:20" ht="12.75" customHeight="1">
      <c r="A1143" s="943"/>
      <c r="B1143" s="129">
        <v>4</v>
      </c>
      <c r="C1143" s="34"/>
      <c r="D1143" s="35"/>
      <c r="E1143" s="35"/>
      <c r="F1143" s="263"/>
      <c r="G1143" s="263"/>
      <c r="H1143" s="263"/>
      <c r="I1143" s="263"/>
      <c r="J1143" s="118"/>
      <c r="K1143" s="263"/>
      <c r="L1143" s="118"/>
      <c r="M1143" s="139"/>
      <c r="N1143" s="138"/>
      <c r="O1143" s="138"/>
      <c r="P1143" s="138"/>
      <c r="Q1143" s="168"/>
      <c r="S1143" s="87"/>
      <c r="T1143" s="87"/>
    </row>
    <row r="1144" spans="1:20" ht="12.75" customHeight="1">
      <c r="A1144" s="943"/>
      <c r="B1144" s="129">
        <v>5</v>
      </c>
      <c r="C1144" s="34"/>
      <c r="D1144" s="35"/>
      <c r="E1144" s="35"/>
      <c r="F1144" s="263"/>
      <c r="G1144" s="263"/>
      <c r="H1144" s="263"/>
      <c r="I1144" s="263"/>
      <c r="J1144" s="118"/>
      <c r="K1144" s="263"/>
      <c r="L1144" s="118"/>
      <c r="M1144" s="139"/>
      <c r="N1144" s="148"/>
      <c r="O1144" s="138"/>
      <c r="P1144" s="148"/>
      <c r="Q1144" s="168"/>
      <c r="S1144" s="87"/>
      <c r="T1144" s="87"/>
    </row>
    <row r="1145" spans="1:20" ht="12.75" customHeight="1">
      <c r="A1145" s="943"/>
      <c r="B1145" s="129">
        <v>6</v>
      </c>
      <c r="C1145" s="199"/>
      <c r="D1145" s="150"/>
      <c r="E1145" s="150"/>
      <c r="F1145" s="263"/>
      <c r="G1145" s="263"/>
      <c r="H1145" s="263"/>
      <c r="I1145" s="263"/>
      <c r="J1145" s="118"/>
      <c r="K1145" s="263"/>
      <c r="L1145" s="118"/>
      <c r="M1145" s="139"/>
      <c r="N1145" s="148"/>
      <c r="O1145" s="138"/>
      <c r="P1145" s="148"/>
      <c r="Q1145" s="168"/>
      <c r="S1145" s="87"/>
      <c r="T1145" s="87"/>
    </row>
    <row r="1146" spans="1:20" ht="12.75" customHeight="1">
      <c r="A1146" s="943"/>
      <c r="B1146" s="129">
        <v>7</v>
      </c>
      <c r="C1146" s="187"/>
      <c r="D1146" s="35"/>
      <c r="E1146" s="35"/>
      <c r="F1146" s="263"/>
      <c r="G1146" s="263"/>
      <c r="H1146" s="263"/>
      <c r="I1146" s="263"/>
      <c r="J1146" s="118"/>
      <c r="K1146" s="263"/>
      <c r="L1146" s="118"/>
      <c r="M1146" s="139"/>
      <c r="N1146" s="148"/>
      <c r="O1146" s="138"/>
      <c r="P1146" s="148"/>
      <c r="Q1146" s="168"/>
      <c r="S1146" s="87"/>
      <c r="T1146" s="87"/>
    </row>
    <row r="1147" spans="1:20" ht="12.75" customHeight="1">
      <c r="A1147" s="943"/>
      <c r="B1147" s="35">
        <v>8</v>
      </c>
      <c r="C1147" s="34"/>
      <c r="D1147" s="35"/>
      <c r="E1147" s="35"/>
      <c r="F1147" s="263"/>
      <c r="G1147" s="263"/>
      <c r="H1147" s="263"/>
      <c r="I1147" s="263"/>
      <c r="J1147" s="118"/>
      <c r="K1147" s="263"/>
      <c r="L1147" s="118"/>
      <c r="M1147" s="139"/>
      <c r="N1147" s="148"/>
      <c r="O1147" s="138"/>
      <c r="P1147" s="148"/>
      <c r="Q1147" s="168"/>
      <c r="S1147" s="87"/>
      <c r="T1147" s="87"/>
    </row>
    <row r="1148" spans="1:20" ht="12.75" customHeight="1">
      <c r="A1148" s="943"/>
      <c r="B1148" s="35">
        <v>9</v>
      </c>
      <c r="C1148" s="34"/>
      <c r="D1148" s="35"/>
      <c r="E1148" s="35"/>
      <c r="F1148" s="263"/>
      <c r="G1148" s="263"/>
      <c r="H1148" s="263"/>
      <c r="I1148" s="263"/>
      <c r="J1148" s="118"/>
      <c r="K1148" s="263"/>
      <c r="L1148" s="118"/>
      <c r="M1148" s="139"/>
      <c r="N1148" s="148"/>
      <c r="O1148" s="138"/>
      <c r="P1148" s="148"/>
      <c r="Q1148" s="168"/>
      <c r="S1148" s="87"/>
      <c r="T1148" s="87"/>
    </row>
    <row r="1149" spans="1:20" ht="13.5" customHeight="1" thickBot="1">
      <c r="A1149" s="944"/>
      <c r="B1149" s="90"/>
      <c r="C1149" s="83"/>
      <c r="D1149" s="38"/>
      <c r="E1149" s="38"/>
      <c r="F1149" s="265"/>
      <c r="G1149" s="265"/>
      <c r="H1149" s="265"/>
      <c r="I1149" s="265"/>
      <c r="J1149" s="184"/>
      <c r="K1149" s="265"/>
      <c r="L1149" s="184"/>
      <c r="M1149" s="218"/>
      <c r="N1149" s="171"/>
      <c r="O1149" s="239"/>
      <c r="P1149" s="171"/>
      <c r="Q1149" s="172"/>
      <c r="S1149" s="87"/>
      <c r="T1149" s="87"/>
    </row>
    <row r="1150" spans="1:20" ht="12.75">
      <c r="A1150" s="956" t="s">
        <v>30</v>
      </c>
      <c r="B1150" s="280">
        <v>1</v>
      </c>
      <c r="C1150" s="272" t="s">
        <v>540</v>
      </c>
      <c r="D1150" s="232">
        <v>16</v>
      </c>
      <c r="E1150" s="232">
        <v>1990</v>
      </c>
      <c r="F1150" s="288">
        <v>25.1</v>
      </c>
      <c r="G1150" s="288">
        <v>0.97</v>
      </c>
      <c r="H1150" s="288">
        <v>2.56</v>
      </c>
      <c r="I1150" s="288">
        <v>21.57</v>
      </c>
      <c r="J1150" s="279">
        <v>912</v>
      </c>
      <c r="K1150" s="348">
        <v>21.57</v>
      </c>
      <c r="L1150" s="279">
        <v>912</v>
      </c>
      <c r="M1150" s="286">
        <f>I1150/L1150</f>
        <v>0.023651315789473683</v>
      </c>
      <c r="N1150" s="289">
        <v>222.9</v>
      </c>
      <c r="O1150" s="605">
        <f>M1150*N1150</f>
        <v>5.271878289473684</v>
      </c>
      <c r="P1150" s="605">
        <f>M1150*60*1000</f>
        <v>1419.078947368421</v>
      </c>
      <c r="Q1150" s="287">
        <f>O1150*60</f>
        <v>316.312697368421</v>
      </c>
      <c r="S1150" s="87"/>
      <c r="T1150" s="87"/>
    </row>
    <row r="1151" spans="1:20" ht="12.75">
      <c r="A1151" s="957"/>
      <c r="B1151" s="232">
        <v>2</v>
      </c>
      <c r="C1151" s="272" t="s">
        <v>539</v>
      </c>
      <c r="D1151" s="232">
        <v>40</v>
      </c>
      <c r="E1151" s="232">
        <v>1983</v>
      </c>
      <c r="F1151" s="288">
        <v>57.5</v>
      </c>
      <c r="G1151" s="288">
        <v>2.63</v>
      </c>
      <c r="H1151" s="288">
        <v>6.4</v>
      </c>
      <c r="I1151" s="288">
        <v>48.47</v>
      </c>
      <c r="J1151" s="279">
        <v>1927</v>
      </c>
      <c r="K1151" s="288">
        <v>48.47</v>
      </c>
      <c r="L1151" s="279">
        <v>1927</v>
      </c>
      <c r="M1151" s="290">
        <f>I1151/L1151</f>
        <v>0.025153087701089778</v>
      </c>
      <c r="N1151" s="289">
        <v>222.9</v>
      </c>
      <c r="O1151" s="605">
        <f>M1151*N1151</f>
        <v>5.6066232485729115</v>
      </c>
      <c r="P1151" s="629">
        <f>M1151*60*1000</f>
        <v>1509.1852620653867</v>
      </c>
      <c r="Q1151" s="630">
        <f>O1151*60</f>
        <v>336.3973949143747</v>
      </c>
      <c r="S1151" s="87"/>
      <c r="T1151" s="87"/>
    </row>
    <row r="1152" spans="1:20" ht="12.75">
      <c r="A1152" s="957"/>
      <c r="B1152" s="232">
        <v>3</v>
      </c>
      <c r="C1152" s="300" t="s">
        <v>538</v>
      </c>
      <c r="D1152" s="280">
        <v>28</v>
      </c>
      <c r="E1152" s="280">
        <v>1974</v>
      </c>
      <c r="F1152" s="348">
        <v>42.5</v>
      </c>
      <c r="G1152" s="348">
        <v>1.86</v>
      </c>
      <c r="H1152" s="348">
        <v>4.48</v>
      </c>
      <c r="I1152" s="348">
        <v>36.14</v>
      </c>
      <c r="J1152" s="356">
        <v>1391</v>
      </c>
      <c r="K1152" s="348">
        <v>36.14</v>
      </c>
      <c r="L1152" s="356">
        <v>1391</v>
      </c>
      <c r="M1152" s="286">
        <f>I1152/L1152</f>
        <v>0.025981308411214953</v>
      </c>
      <c r="N1152" s="285">
        <v>222.9</v>
      </c>
      <c r="O1152" s="285">
        <f>M1152*N1152</f>
        <v>5.791233644859813</v>
      </c>
      <c r="P1152" s="631">
        <f>M1152*60*1000</f>
        <v>1558.8785046728972</v>
      </c>
      <c r="Q1152" s="287">
        <f>O1152*60</f>
        <v>347.47401869158875</v>
      </c>
      <c r="S1152" s="87"/>
      <c r="T1152" s="87"/>
    </row>
    <row r="1153" spans="1:20" ht="12.75">
      <c r="A1153" s="957"/>
      <c r="B1153" s="232">
        <v>4</v>
      </c>
      <c r="C1153" s="272" t="s">
        <v>541</v>
      </c>
      <c r="D1153" s="232">
        <v>28</v>
      </c>
      <c r="E1153" s="232">
        <v>1974</v>
      </c>
      <c r="F1153" s="288">
        <v>44.6</v>
      </c>
      <c r="G1153" s="288">
        <v>2.38</v>
      </c>
      <c r="H1153" s="288">
        <v>4.48</v>
      </c>
      <c r="I1153" s="288">
        <v>37.74</v>
      </c>
      <c r="J1153" s="279">
        <v>1389</v>
      </c>
      <c r="K1153" s="288">
        <v>37.74</v>
      </c>
      <c r="L1153" s="279">
        <v>1389</v>
      </c>
      <c r="M1153" s="290">
        <f>I1153/L1153</f>
        <v>0.02717062634989201</v>
      </c>
      <c r="N1153" s="289">
        <v>222.9</v>
      </c>
      <c r="O1153" s="289">
        <f>M1153*N1153</f>
        <v>6.056332613390929</v>
      </c>
      <c r="P1153" s="302">
        <f>M1153*60*1000</f>
        <v>1630.2375809935206</v>
      </c>
      <c r="Q1153" s="824">
        <f>O1153*60</f>
        <v>363.37995680345574</v>
      </c>
      <c r="S1153" s="87"/>
      <c r="T1153" s="87"/>
    </row>
    <row r="1154" spans="1:20" ht="12.75">
      <c r="A1154" s="957"/>
      <c r="B1154" s="232">
        <v>5</v>
      </c>
      <c r="C1154" s="272" t="s">
        <v>536</v>
      </c>
      <c r="D1154" s="232">
        <v>28</v>
      </c>
      <c r="E1154" s="232">
        <v>1973</v>
      </c>
      <c r="F1154" s="288">
        <v>44.9</v>
      </c>
      <c r="G1154" s="288">
        <v>2.18</v>
      </c>
      <c r="H1154" s="288">
        <v>4.48</v>
      </c>
      <c r="I1154" s="288">
        <v>38.24</v>
      </c>
      <c r="J1154" s="279">
        <v>1359</v>
      </c>
      <c r="K1154" s="288">
        <v>38.24</v>
      </c>
      <c r="L1154" s="279">
        <v>1359</v>
      </c>
      <c r="M1154" s="290">
        <f>I1154/L1154</f>
        <v>0.028138337012509198</v>
      </c>
      <c r="N1154" s="289">
        <v>222.9</v>
      </c>
      <c r="O1154" s="289">
        <f>M1154*N1154</f>
        <v>6.272035320088301</v>
      </c>
      <c r="P1154" s="632">
        <f>M1154*60*1000</f>
        <v>1688.300220750552</v>
      </c>
      <c r="Q1154" s="291">
        <f>O1154*60</f>
        <v>376.322119205298</v>
      </c>
      <c r="S1154" s="87"/>
      <c r="T1154" s="87"/>
    </row>
    <row r="1155" spans="1:20" ht="12.75">
      <c r="A1155" s="957"/>
      <c r="B1155" s="232">
        <v>6</v>
      </c>
      <c r="C1155" s="244"/>
      <c r="D1155" s="233"/>
      <c r="E1155" s="233"/>
      <c r="F1155" s="288"/>
      <c r="G1155" s="288"/>
      <c r="H1155" s="288"/>
      <c r="I1155" s="288"/>
      <c r="J1155" s="279"/>
      <c r="K1155" s="288"/>
      <c r="L1155" s="279"/>
      <c r="M1155" s="290"/>
      <c r="N1155" s="289"/>
      <c r="O1155" s="289"/>
      <c r="P1155" s="289"/>
      <c r="Q1155" s="291"/>
      <c r="S1155" s="87"/>
      <c r="T1155" s="87"/>
    </row>
    <row r="1156" spans="1:20" ht="12.75">
      <c r="A1156" s="957"/>
      <c r="B1156" s="232">
        <v>7</v>
      </c>
      <c r="C1156" s="272"/>
      <c r="D1156" s="232"/>
      <c r="E1156" s="232"/>
      <c r="F1156" s="288"/>
      <c r="G1156" s="288"/>
      <c r="H1156" s="288"/>
      <c r="I1156" s="288"/>
      <c r="J1156" s="279"/>
      <c r="K1156" s="288"/>
      <c r="L1156" s="279"/>
      <c r="M1156" s="290"/>
      <c r="N1156" s="289"/>
      <c r="O1156" s="289"/>
      <c r="P1156" s="289"/>
      <c r="Q1156" s="291"/>
      <c r="S1156" s="87"/>
      <c r="T1156" s="87"/>
    </row>
    <row r="1157" spans="1:20" ht="12.75">
      <c r="A1157" s="957"/>
      <c r="B1157" s="232">
        <v>8</v>
      </c>
      <c r="C1157" s="272"/>
      <c r="D1157" s="232"/>
      <c r="E1157" s="232"/>
      <c r="F1157" s="288"/>
      <c r="G1157" s="288"/>
      <c r="H1157" s="288"/>
      <c r="I1157" s="288"/>
      <c r="J1157" s="279"/>
      <c r="K1157" s="288"/>
      <c r="L1157" s="279"/>
      <c r="M1157" s="290"/>
      <c r="N1157" s="289"/>
      <c r="O1157" s="289"/>
      <c r="P1157" s="289"/>
      <c r="Q1157" s="291"/>
      <c r="S1157" s="87"/>
      <c r="T1157" s="87"/>
    </row>
    <row r="1158" spans="1:20" ht="12.75">
      <c r="A1158" s="957"/>
      <c r="B1158" s="232">
        <v>9</v>
      </c>
      <c r="C1158" s="272"/>
      <c r="D1158" s="232"/>
      <c r="E1158" s="232"/>
      <c r="F1158" s="288"/>
      <c r="G1158" s="288"/>
      <c r="H1158" s="288"/>
      <c r="I1158" s="288"/>
      <c r="J1158" s="279"/>
      <c r="K1158" s="288"/>
      <c r="L1158" s="279"/>
      <c r="M1158" s="290"/>
      <c r="N1158" s="289"/>
      <c r="O1158" s="289"/>
      <c r="P1158" s="289"/>
      <c r="Q1158" s="291"/>
      <c r="S1158" s="87"/>
      <c r="T1158" s="87"/>
    </row>
    <row r="1159" spans="1:20" ht="13.5" thickBot="1">
      <c r="A1159" s="958"/>
      <c r="B1159" s="246">
        <v>10</v>
      </c>
      <c r="C1159" s="350"/>
      <c r="D1159" s="246"/>
      <c r="E1159" s="246"/>
      <c r="F1159" s="292"/>
      <c r="G1159" s="292"/>
      <c r="H1159" s="292"/>
      <c r="I1159" s="292"/>
      <c r="J1159" s="281"/>
      <c r="K1159" s="292"/>
      <c r="L1159" s="281"/>
      <c r="M1159" s="294"/>
      <c r="N1159" s="293"/>
      <c r="O1159" s="293"/>
      <c r="P1159" s="293"/>
      <c r="Q1159" s="295"/>
      <c r="S1159" s="87"/>
      <c r="T1159" s="87"/>
    </row>
    <row r="1160" spans="1:20" ht="12.75">
      <c r="A1160" s="908" t="s">
        <v>12</v>
      </c>
      <c r="B1160" s="80">
        <v>1</v>
      </c>
      <c r="C1160" s="611" t="s">
        <v>542</v>
      </c>
      <c r="D1160" s="612">
        <v>7</v>
      </c>
      <c r="E1160" s="612">
        <v>1990</v>
      </c>
      <c r="F1160" s="459">
        <v>13.1</v>
      </c>
      <c r="G1160" s="459">
        <v>0.26</v>
      </c>
      <c r="H1160" s="459">
        <v>1.12</v>
      </c>
      <c r="I1160" s="459">
        <v>11.72</v>
      </c>
      <c r="J1160" s="636">
        <v>382</v>
      </c>
      <c r="K1160" s="459">
        <v>11.72</v>
      </c>
      <c r="L1160" s="636">
        <v>382</v>
      </c>
      <c r="M1160" s="740">
        <f>I1160/L1160</f>
        <v>0.03068062827225131</v>
      </c>
      <c r="N1160" s="310">
        <v>222.9</v>
      </c>
      <c r="O1160" s="310">
        <f>M1160*N1160</f>
        <v>6.8387120418848175</v>
      </c>
      <c r="P1160" s="401">
        <f>M1160*60*1000</f>
        <v>1840.8376963350786</v>
      </c>
      <c r="Q1160" s="825">
        <f>O1160*60</f>
        <v>410.32272251308905</v>
      </c>
      <c r="S1160" s="87"/>
      <c r="T1160" s="87"/>
    </row>
    <row r="1161" spans="1:20" ht="12.75">
      <c r="A1161" s="909"/>
      <c r="B1161" s="41">
        <v>2</v>
      </c>
      <c r="C1161" s="49" t="s">
        <v>544</v>
      </c>
      <c r="D1161" s="41">
        <v>9</v>
      </c>
      <c r="E1161" s="41">
        <v>1986</v>
      </c>
      <c r="F1161" s="185">
        <v>17.5</v>
      </c>
      <c r="G1161" s="185">
        <v>0.79</v>
      </c>
      <c r="H1161" s="185">
        <v>1.44</v>
      </c>
      <c r="I1161" s="185">
        <v>15.27</v>
      </c>
      <c r="J1161" s="317">
        <v>430</v>
      </c>
      <c r="K1161" s="185">
        <v>15.27</v>
      </c>
      <c r="L1161" s="317">
        <v>430</v>
      </c>
      <c r="M1161" s="227">
        <f>I1161/L1161</f>
        <v>0.03551162790697674</v>
      </c>
      <c r="N1161" s="177">
        <v>222.9</v>
      </c>
      <c r="O1161" s="177">
        <f>M1161*N1161</f>
        <v>7.915541860465115</v>
      </c>
      <c r="P1161" s="633">
        <f>M1161*60*1000</f>
        <v>2130.6976744186045</v>
      </c>
      <c r="Q1161" s="826">
        <f>O1161*60</f>
        <v>474.93251162790693</v>
      </c>
      <c r="S1161" s="87"/>
      <c r="T1161" s="87"/>
    </row>
    <row r="1162" spans="1:20" ht="12.75">
      <c r="A1162" s="909"/>
      <c r="B1162" s="41">
        <v>3</v>
      </c>
      <c r="C1162" s="49" t="s">
        <v>543</v>
      </c>
      <c r="D1162" s="41">
        <v>6</v>
      </c>
      <c r="E1162" s="41">
        <v>1984</v>
      </c>
      <c r="F1162" s="185">
        <v>15.5</v>
      </c>
      <c r="G1162" s="185">
        <v>0.26</v>
      </c>
      <c r="H1162" s="185">
        <v>0.96</v>
      </c>
      <c r="I1162" s="185">
        <v>14.28</v>
      </c>
      <c r="J1162" s="317">
        <v>368</v>
      </c>
      <c r="K1162" s="185">
        <v>14.28</v>
      </c>
      <c r="L1162" s="317">
        <v>368</v>
      </c>
      <c r="M1162" s="227">
        <f>I1162/L1162</f>
        <v>0.03880434782608695</v>
      </c>
      <c r="N1162" s="310">
        <v>222.9</v>
      </c>
      <c r="O1162" s="310">
        <f>M1162*N1162</f>
        <v>8.649489130434782</v>
      </c>
      <c r="P1162" s="401">
        <f>M1162*60*1000</f>
        <v>2328.260869565217</v>
      </c>
      <c r="Q1162" s="827">
        <f>O1162*60</f>
        <v>518.969347826087</v>
      </c>
      <c r="S1162" s="87"/>
      <c r="T1162" s="87"/>
    </row>
    <row r="1163" spans="1:20" ht="12.75">
      <c r="A1163" s="909"/>
      <c r="B1163" s="41">
        <v>4</v>
      </c>
      <c r="C1163" s="49" t="s">
        <v>546</v>
      </c>
      <c r="D1163" s="41">
        <v>6</v>
      </c>
      <c r="E1163" s="41">
        <v>1981</v>
      </c>
      <c r="F1163" s="185">
        <v>15.9</v>
      </c>
      <c r="G1163" s="185">
        <v>0.36</v>
      </c>
      <c r="H1163" s="185">
        <v>0.96</v>
      </c>
      <c r="I1163" s="185">
        <v>14.58</v>
      </c>
      <c r="J1163" s="317">
        <v>347</v>
      </c>
      <c r="K1163" s="185">
        <v>14.58</v>
      </c>
      <c r="L1163" s="317">
        <v>347</v>
      </c>
      <c r="M1163" s="227">
        <f>I1163/L1163</f>
        <v>0.04201729106628242</v>
      </c>
      <c r="N1163" s="310">
        <v>222.9</v>
      </c>
      <c r="O1163" s="310">
        <f>M1163*N1163</f>
        <v>9.365654178674353</v>
      </c>
      <c r="P1163" s="401">
        <f>M1163*60*1000</f>
        <v>2521.0374639769457</v>
      </c>
      <c r="Q1163" s="827">
        <f>O1163*60</f>
        <v>561.9392507204611</v>
      </c>
      <c r="S1163" s="87"/>
      <c r="T1163" s="87"/>
    </row>
    <row r="1164" spans="1:20" ht="12.75">
      <c r="A1164" s="909"/>
      <c r="B1164" s="41">
        <v>5</v>
      </c>
      <c r="C1164" s="49" t="s">
        <v>545</v>
      </c>
      <c r="D1164" s="41">
        <v>6</v>
      </c>
      <c r="E1164" s="41">
        <v>1984</v>
      </c>
      <c r="F1164" s="185">
        <v>13.41</v>
      </c>
      <c r="G1164" s="185">
        <v>0.31</v>
      </c>
      <c r="H1164" s="185">
        <v>0.96</v>
      </c>
      <c r="I1164" s="185">
        <v>12.13</v>
      </c>
      <c r="J1164" s="317">
        <v>281</v>
      </c>
      <c r="K1164" s="185">
        <v>12.13</v>
      </c>
      <c r="L1164" s="317">
        <v>281</v>
      </c>
      <c r="M1164" s="227">
        <f>I1164/L1164</f>
        <v>0.04316725978647687</v>
      </c>
      <c r="N1164" s="310">
        <v>222.9</v>
      </c>
      <c r="O1164" s="310">
        <f>M1164*N1164</f>
        <v>9.621982206405695</v>
      </c>
      <c r="P1164" s="401">
        <f>M1164*60*1000</f>
        <v>2590.035587188612</v>
      </c>
      <c r="Q1164" s="827">
        <f>O1164*60</f>
        <v>577.3189323843417</v>
      </c>
      <c r="S1164" s="87"/>
      <c r="T1164" s="87"/>
    </row>
    <row r="1165" spans="1:20" ht="12.75">
      <c r="A1165" s="909"/>
      <c r="B1165" s="41">
        <v>6</v>
      </c>
      <c r="C1165" s="49"/>
      <c r="D1165" s="41"/>
      <c r="E1165" s="41"/>
      <c r="F1165" s="54"/>
      <c r="G1165" s="42"/>
      <c r="H1165" s="42"/>
      <c r="I1165" s="42"/>
      <c r="J1165" s="43"/>
      <c r="K1165" s="359"/>
      <c r="L1165" s="43"/>
      <c r="M1165" s="44"/>
      <c r="N1165" s="42"/>
      <c r="O1165" s="42"/>
      <c r="P1165" s="42"/>
      <c r="Q1165" s="45"/>
      <c r="S1165" s="87"/>
      <c r="T1165" s="87"/>
    </row>
    <row r="1166" spans="1:20" ht="13.5" customHeight="1" thickBot="1">
      <c r="A1166" s="910"/>
      <c r="B1166" s="46">
        <v>7</v>
      </c>
      <c r="C1166" s="79"/>
      <c r="D1166" s="46"/>
      <c r="E1166" s="46"/>
      <c r="F1166" s="51"/>
      <c r="G1166" s="222"/>
      <c r="H1166" s="222"/>
      <c r="I1166" s="222"/>
      <c r="J1166" s="222"/>
      <c r="K1166" s="222"/>
      <c r="L1166" s="222"/>
      <c r="M1166" s="222"/>
      <c r="N1166" s="222"/>
      <c r="O1166" s="222"/>
      <c r="P1166" s="222"/>
      <c r="Q1166" s="223"/>
      <c r="S1166" s="87"/>
      <c r="T1166" s="87"/>
    </row>
    <row r="1167" spans="19:20" ht="13.5" customHeight="1">
      <c r="S1167" s="87"/>
      <c r="T1167" s="87"/>
    </row>
    <row r="1168" spans="19:20" ht="12.75">
      <c r="S1168" s="87"/>
      <c r="T1168" s="87"/>
    </row>
    <row r="1169" spans="19:20" ht="12.75">
      <c r="S1169" s="87"/>
      <c r="T1169" s="87"/>
    </row>
    <row r="1170" spans="19:20" ht="12.75">
      <c r="S1170" s="87"/>
      <c r="T1170" s="87"/>
    </row>
    <row r="1171" spans="19:20" ht="12.75">
      <c r="S1171" s="87"/>
      <c r="T1171" s="87"/>
    </row>
    <row r="1172" spans="1:20" ht="15">
      <c r="A1172" s="906" t="s">
        <v>68</v>
      </c>
      <c r="B1172" s="906"/>
      <c r="C1172" s="906"/>
      <c r="D1172" s="906"/>
      <c r="E1172" s="906"/>
      <c r="F1172" s="906"/>
      <c r="G1172" s="906"/>
      <c r="H1172" s="906"/>
      <c r="I1172" s="906"/>
      <c r="J1172" s="906"/>
      <c r="K1172" s="906"/>
      <c r="L1172" s="906"/>
      <c r="M1172" s="906"/>
      <c r="N1172" s="906"/>
      <c r="O1172" s="906"/>
      <c r="P1172" s="906"/>
      <c r="Q1172" s="906"/>
      <c r="S1172" s="87"/>
      <c r="T1172" s="87"/>
    </row>
    <row r="1173" spans="1:20" ht="13.5" thickBot="1">
      <c r="A1173" s="935" t="s">
        <v>842</v>
      </c>
      <c r="B1173" s="935"/>
      <c r="C1173" s="935"/>
      <c r="D1173" s="935"/>
      <c r="E1173" s="935"/>
      <c r="F1173" s="935"/>
      <c r="G1173" s="935"/>
      <c r="H1173" s="935"/>
      <c r="I1173" s="935"/>
      <c r="J1173" s="935"/>
      <c r="K1173" s="935"/>
      <c r="L1173" s="935"/>
      <c r="M1173" s="935"/>
      <c r="N1173" s="935"/>
      <c r="O1173" s="935"/>
      <c r="P1173" s="935"/>
      <c r="Q1173" s="935"/>
      <c r="S1173" s="87"/>
      <c r="T1173" s="87"/>
    </row>
    <row r="1174" spans="1:20" ht="12.75" customHeight="1">
      <c r="A1174" s="890" t="s">
        <v>1</v>
      </c>
      <c r="B1174" s="892" t="s">
        <v>0</v>
      </c>
      <c r="C1174" s="888" t="s">
        <v>2</v>
      </c>
      <c r="D1174" s="888" t="s">
        <v>3</v>
      </c>
      <c r="E1174" s="888" t="s">
        <v>13</v>
      </c>
      <c r="F1174" s="896" t="s">
        <v>14</v>
      </c>
      <c r="G1174" s="897"/>
      <c r="H1174" s="897"/>
      <c r="I1174" s="898"/>
      <c r="J1174" s="888" t="s">
        <v>4</v>
      </c>
      <c r="K1174" s="888" t="s">
        <v>15</v>
      </c>
      <c r="L1174" s="888" t="s">
        <v>5</v>
      </c>
      <c r="M1174" s="888" t="s">
        <v>6</v>
      </c>
      <c r="N1174" s="888" t="s">
        <v>16</v>
      </c>
      <c r="O1174" s="949" t="s">
        <v>17</v>
      </c>
      <c r="P1174" s="888" t="s">
        <v>25</v>
      </c>
      <c r="Q1174" s="878" t="s">
        <v>26</v>
      </c>
      <c r="S1174" s="87"/>
      <c r="T1174" s="87"/>
    </row>
    <row r="1175" spans="1:20" s="2" customFormat="1" ht="33.75">
      <c r="A1175" s="891"/>
      <c r="B1175" s="893"/>
      <c r="C1175" s="894"/>
      <c r="D1175" s="889"/>
      <c r="E1175" s="889"/>
      <c r="F1175" s="36" t="s">
        <v>18</v>
      </c>
      <c r="G1175" s="36" t="s">
        <v>19</v>
      </c>
      <c r="H1175" s="36" t="s">
        <v>20</v>
      </c>
      <c r="I1175" s="36" t="s">
        <v>21</v>
      </c>
      <c r="J1175" s="889"/>
      <c r="K1175" s="889"/>
      <c r="L1175" s="889"/>
      <c r="M1175" s="889"/>
      <c r="N1175" s="889"/>
      <c r="O1175" s="950"/>
      <c r="P1175" s="889"/>
      <c r="Q1175" s="879"/>
      <c r="S1175" s="87"/>
      <c r="T1175" s="87"/>
    </row>
    <row r="1176" spans="1:20" s="3" customFormat="1" ht="13.5" customHeight="1" thickBot="1">
      <c r="A1176" s="945"/>
      <c r="B1176" s="946"/>
      <c r="C1176" s="895"/>
      <c r="D1176" s="59" t="s">
        <v>7</v>
      </c>
      <c r="E1176" s="59" t="s">
        <v>8</v>
      </c>
      <c r="F1176" s="59" t="s">
        <v>9</v>
      </c>
      <c r="G1176" s="59" t="s">
        <v>9</v>
      </c>
      <c r="H1176" s="59" t="s">
        <v>9</v>
      </c>
      <c r="I1176" s="59" t="s">
        <v>9</v>
      </c>
      <c r="J1176" s="59" t="s">
        <v>22</v>
      </c>
      <c r="K1176" s="59" t="s">
        <v>9</v>
      </c>
      <c r="L1176" s="59" t="s">
        <v>22</v>
      </c>
      <c r="M1176" s="59" t="s">
        <v>128</v>
      </c>
      <c r="N1176" s="59" t="s">
        <v>10</v>
      </c>
      <c r="O1176" s="59" t="s">
        <v>129</v>
      </c>
      <c r="P1176" s="60" t="s">
        <v>27</v>
      </c>
      <c r="Q1176" s="61" t="s">
        <v>28</v>
      </c>
      <c r="S1176" s="87"/>
      <c r="T1176" s="87"/>
    </row>
    <row r="1177" spans="1:20" s="3" customFormat="1" ht="13.5" customHeight="1">
      <c r="A1177" s="911" t="s">
        <v>51</v>
      </c>
      <c r="B1177" s="341">
        <v>1</v>
      </c>
      <c r="C1177" s="63" t="s">
        <v>530</v>
      </c>
      <c r="D1177" s="62">
        <v>11</v>
      </c>
      <c r="E1177" s="62">
        <v>2011</v>
      </c>
      <c r="F1177" s="249">
        <f>G1177+H1177+I1177</f>
        <v>10.757001</v>
      </c>
      <c r="G1177" s="249">
        <v>0.886794</v>
      </c>
      <c r="H1177" s="249">
        <v>1.76</v>
      </c>
      <c r="I1177" s="249">
        <v>8.110207</v>
      </c>
      <c r="J1177" s="93">
        <v>708.6</v>
      </c>
      <c r="K1177" s="249">
        <f>I1177</f>
        <v>8.110207</v>
      </c>
      <c r="L1177" s="93">
        <f>J1177</f>
        <v>708.6</v>
      </c>
      <c r="M1177" s="251">
        <f>K1177/L1177</f>
        <v>0.011445395145357043</v>
      </c>
      <c r="N1177" s="250">
        <f>328.7*1.09</f>
        <v>358.283</v>
      </c>
      <c r="O1177" s="252">
        <f>M1177*N1177</f>
        <v>4.100690508863957</v>
      </c>
      <c r="P1177" s="252">
        <f>M1177*60*1000</f>
        <v>686.7237087214227</v>
      </c>
      <c r="Q1177" s="253">
        <f>P1177*N1177/1000</f>
        <v>246.04143053183748</v>
      </c>
      <c r="S1177" s="87"/>
      <c r="T1177" s="87"/>
    </row>
    <row r="1178" spans="1:20" s="3" customFormat="1" ht="13.5" customHeight="1">
      <c r="A1178" s="912"/>
      <c r="B1178" s="123"/>
      <c r="C1178" s="256"/>
      <c r="D1178" s="257"/>
      <c r="E1178" s="257"/>
      <c r="F1178" s="365"/>
      <c r="G1178" s="365"/>
      <c r="H1178" s="365"/>
      <c r="I1178" s="365"/>
      <c r="J1178" s="367"/>
      <c r="K1178" s="365"/>
      <c r="L1178" s="367"/>
      <c r="M1178" s="257"/>
      <c r="N1178" s="257"/>
      <c r="O1178" s="257"/>
      <c r="P1178" s="257"/>
      <c r="Q1178" s="344"/>
      <c r="S1178" s="87"/>
      <c r="T1178" s="87"/>
    </row>
    <row r="1179" spans="1:20" s="3" customFormat="1" ht="13.5" customHeight="1">
      <c r="A1179" s="912"/>
      <c r="B1179" s="123"/>
      <c r="C1179" s="256"/>
      <c r="D1179" s="257"/>
      <c r="E1179" s="257"/>
      <c r="F1179" s="365"/>
      <c r="G1179" s="365"/>
      <c r="H1179" s="365"/>
      <c r="I1179" s="365"/>
      <c r="J1179" s="367"/>
      <c r="K1179" s="365"/>
      <c r="L1179" s="367"/>
      <c r="M1179" s="257"/>
      <c r="N1179" s="257"/>
      <c r="O1179" s="257"/>
      <c r="P1179" s="257"/>
      <c r="Q1179" s="344"/>
      <c r="S1179" s="87"/>
      <c r="T1179" s="87"/>
    </row>
    <row r="1180" spans="1:20" s="3" customFormat="1" ht="13.5" customHeight="1">
      <c r="A1180" s="912"/>
      <c r="B1180" s="123"/>
      <c r="C1180" s="256"/>
      <c r="D1180" s="257"/>
      <c r="E1180" s="257"/>
      <c r="F1180" s="365"/>
      <c r="G1180" s="365"/>
      <c r="H1180" s="365"/>
      <c r="I1180" s="365"/>
      <c r="J1180" s="367"/>
      <c r="K1180" s="365"/>
      <c r="L1180" s="367"/>
      <c r="M1180" s="257"/>
      <c r="N1180" s="257"/>
      <c r="O1180" s="257"/>
      <c r="P1180" s="257"/>
      <c r="Q1180" s="344"/>
      <c r="S1180" s="87"/>
      <c r="T1180" s="87"/>
    </row>
    <row r="1181" spans="1:20" s="3" customFormat="1" ht="13.5" customHeight="1">
      <c r="A1181" s="912"/>
      <c r="B1181" s="123"/>
      <c r="C1181" s="256"/>
      <c r="D1181" s="257"/>
      <c r="E1181" s="257"/>
      <c r="F1181" s="365"/>
      <c r="G1181" s="365"/>
      <c r="H1181" s="365"/>
      <c r="I1181" s="365"/>
      <c r="J1181" s="367"/>
      <c r="K1181" s="365"/>
      <c r="L1181" s="367"/>
      <c r="M1181" s="257"/>
      <c r="N1181" s="257"/>
      <c r="O1181" s="257"/>
      <c r="P1181" s="257"/>
      <c r="Q1181" s="344"/>
      <c r="S1181" s="87"/>
      <c r="T1181" s="87"/>
    </row>
    <row r="1182" spans="1:20" s="3" customFormat="1" ht="13.5" customHeight="1" thickBot="1">
      <c r="A1182" s="913"/>
      <c r="B1182" s="173"/>
      <c r="C1182" s="342"/>
      <c r="D1182" s="343"/>
      <c r="E1182" s="343"/>
      <c r="F1182" s="366"/>
      <c r="G1182" s="366"/>
      <c r="H1182" s="366"/>
      <c r="I1182" s="366"/>
      <c r="J1182" s="368"/>
      <c r="K1182" s="366"/>
      <c r="L1182" s="368"/>
      <c r="M1182" s="343"/>
      <c r="N1182" s="343"/>
      <c r="O1182" s="343"/>
      <c r="P1182" s="343"/>
      <c r="Q1182" s="345"/>
      <c r="S1182" s="87"/>
      <c r="T1182" s="87"/>
    </row>
    <row r="1183" spans="1:20" ht="12.75" customHeight="1">
      <c r="A1183" s="908" t="s">
        <v>12</v>
      </c>
      <c r="B1183" s="80">
        <v>1</v>
      </c>
      <c r="C1183" s="238" t="s">
        <v>843</v>
      </c>
      <c r="D1183" s="80">
        <v>44</v>
      </c>
      <c r="E1183" s="80">
        <v>1970</v>
      </c>
      <c r="F1183" s="217">
        <f aca="true" t="shared" si="161" ref="F1183:F1192">G1183+H1183+I1183</f>
        <v>61.757001</v>
      </c>
      <c r="G1183" s="217">
        <v>3.645411</v>
      </c>
      <c r="H1183" s="217">
        <v>7.04</v>
      </c>
      <c r="I1183" s="217">
        <v>51.07159</v>
      </c>
      <c r="J1183" s="357">
        <v>2310.7</v>
      </c>
      <c r="K1183" s="217">
        <f aca="true" t="shared" si="162" ref="K1183:K1192">I1183</f>
        <v>51.07159</v>
      </c>
      <c r="L1183" s="357">
        <f aca="true" t="shared" si="163" ref="L1183:L1192">J1183</f>
        <v>2310.7</v>
      </c>
      <c r="M1183" s="226">
        <f aca="true" t="shared" si="164" ref="M1183:M1192">K1183/L1183</f>
        <v>0.02210221577876834</v>
      </c>
      <c r="N1183" s="177">
        <f aca="true" t="shared" si="165" ref="N1183:N1192">328.7*1.09</f>
        <v>358.283</v>
      </c>
      <c r="O1183" s="177">
        <f aca="true" t="shared" si="166" ref="O1183:O1192">M1183*N1183</f>
        <v>7.918848175864457</v>
      </c>
      <c r="P1183" s="177">
        <f aca="true" t="shared" si="167" ref="P1183:P1192">M1183*60*1000</f>
        <v>1326.1329467261003</v>
      </c>
      <c r="Q1183" s="451">
        <f aca="true" t="shared" si="168" ref="Q1183:Q1192">P1183*N1183/1000</f>
        <v>475.1308905518674</v>
      </c>
      <c r="R1183" s="6"/>
      <c r="S1183" s="87"/>
      <c r="T1183" s="87"/>
    </row>
    <row r="1184" spans="1:20" ht="12.75" customHeight="1">
      <c r="A1184" s="909"/>
      <c r="B1184" s="41">
        <v>2</v>
      </c>
      <c r="C1184" s="49" t="s">
        <v>844</v>
      </c>
      <c r="D1184" s="41">
        <v>50</v>
      </c>
      <c r="E1184" s="41">
        <v>1972</v>
      </c>
      <c r="F1184" s="185">
        <f t="shared" si="161"/>
        <v>67.96999699999999</v>
      </c>
      <c r="G1184" s="185">
        <v>3.253005</v>
      </c>
      <c r="H1184" s="185">
        <v>8</v>
      </c>
      <c r="I1184" s="185">
        <v>56.716992</v>
      </c>
      <c r="J1184" s="317">
        <v>2563.1</v>
      </c>
      <c r="K1184" s="185">
        <f t="shared" si="162"/>
        <v>56.716992</v>
      </c>
      <c r="L1184" s="317">
        <f t="shared" si="163"/>
        <v>2563.1</v>
      </c>
      <c r="M1184" s="227">
        <f t="shared" si="164"/>
        <v>0.02212827903710351</v>
      </c>
      <c r="N1184" s="310">
        <f t="shared" si="165"/>
        <v>358.283</v>
      </c>
      <c r="O1184" s="310">
        <f t="shared" si="166"/>
        <v>7.928186198250557</v>
      </c>
      <c r="P1184" s="310">
        <f t="shared" si="167"/>
        <v>1327.6967422262105</v>
      </c>
      <c r="Q1184" s="311">
        <f t="shared" si="168"/>
        <v>475.6911718950334</v>
      </c>
      <c r="R1184" s="6"/>
      <c r="S1184" s="87"/>
      <c r="T1184" s="87"/>
    </row>
    <row r="1185" spans="1:20" ht="12.75">
      <c r="A1185" s="909"/>
      <c r="B1185" s="41">
        <v>3</v>
      </c>
      <c r="C1185" s="49" t="s">
        <v>531</v>
      </c>
      <c r="D1185" s="41">
        <v>20</v>
      </c>
      <c r="E1185" s="41">
        <v>1989</v>
      </c>
      <c r="F1185" s="185">
        <f t="shared" si="161"/>
        <v>29.13749768</v>
      </c>
      <c r="G1185" s="185">
        <f>34.676*53.68/1000</f>
        <v>1.8614076800000001</v>
      </c>
      <c r="H1185" s="185">
        <v>3.425</v>
      </c>
      <c r="I1185" s="185">
        <v>23.85109</v>
      </c>
      <c r="J1185" s="317">
        <v>1048.7</v>
      </c>
      <c r="K1185" s="185">
        <f t="shared" si="162"/>
        <v>23.85109</v>
      </c>
      <c r="L1185" s="317">
        <f t="shared" si="163"/>
        <v>1048.7</v>
      </c>
      <c r="M1185" s="227">
        <f t="shared" si="164"/>
        <v>0.022743482406789358</v>
      </c>
      <c r="N1185" s="310">
        <f t="shared" si="165"/>
        <v>358.283</v>
      </c>
      <c r="O1185" s="310">
        <f t="shared" si="166"/>
        <v>8.148603107151711</v>
      </c>
      <c r="P1185" s="310">
        <f t="shared" si="167"/>
        <v>1364.6089444073614</v>
      </c>
      <c r="Q1185" s="311">
        <f t="shared" si="168"/>
        <v>488.91618642910265</v>
      </c>
      <c r="R1185" s="6"/>
      <c r="S1185" s="87"/>
      <c r="T1185" s="87"/>
    </row>
    <row r="1186" spans="1:20" ht="12.75">
      <c r="A1186" s="909"/>
      <c r="B1186" s="41">
        <v>4</v>
      </c>
      <c r="C1186" s="49" t="s">
        <v>405</v>
      </c>
      <c r="D1186" s="41">
        <v>30</v>
      </c>
      <c r="E1186" s="41">
        <v>1990</v>
      </c>
      <c r="F1186" s="185">
        <f t="shared" si="161"/>
        <v>45.86199964</v>
      </c>
      <c r="G1186" s="185">
        <f>58.173*53.68/1000</f>
        <v>3.1227266399999998</v>
      </c>
      <c r="H1186" s="185">
        <v>5.1</v>
      </c>
      <c r="I1186" s="185">
        <v>37.639273</v>
      </c>
      <c r="J1186" s="317">
        <v>1607</v>
      </c>
      <c r="K1186" s="185">
        <f t="shared" si="162"/>
        <v>37.639273</v>
      </c>
      <c r="L1186" s="317">
        <f t="shared" si="163"/>
        <v>1607</v>
      </c>
      <c r="M1186" s="227">
        <f t="shared" si="164"/>
        <v>0.02342207405102676</v>
      </c>
      <c r="N1186" s="310">
        <f t="shared" si="165"/>
        <v>358.283</v>
      </c>
      <c r="O1186" s="310">
        <f t="shared" si="166"/>
        <v>8.391730957224022</v>
      </c>
      <c r="P1186" s="310">
        <f t="shared" si="167"/>
        <v>1405.3244430616057</v>
      </c>
      <c r="Q1186" s="311">
        <f t="shared" si="168"/>
        <v>503.50385743344134</v>
      </c>
      <c r="R1186" s="6"/>
      <c r="S1186" s="87"/>
      <c r="T1186" s="87"/>
    </row>
    <row r="1187" spans="1:20" ht="12.75">
      <c r="A1187" s="909"/>
      <c r="B1187" s="41">
        <v>5</v>
      </c>
      <c r="C1187" s="49" t="s">
        <v>532</v>
      </c>
      <c r="D1187" s="41">
        <v>22</v>
      </c>
      <c r="E1187" s="41">
        <v>1985</v>
      </c>
      <c r="F1187" s="185">
        <f t="shared" si="161"/>
        <v>34.721998</v>
      </c>
      <c r="G1187" s="185">
        <v>3.204158</v>
      </c>
      <c r="H1187" s="185">
        <v>3.74</v>
      </c>
      <c r="I1187" s="185">
        <v>27.77784</v>
      </c>
      <c r="J1187" s="317">
        <v>1124.8</v>
      </c>
      <c r="K1187" s="185">
        <f t="shared" si="162"/>
        <v>27.77784</v>
      </c>
      <c r="L1187" s="317">
        <f t="shared" si="163"/>
        <v>1124.8</v>
      </c>
      <c r="M1187" s="227">
        <f t="shared" si="164"/>
        <v>0.02469580369843528</v>
      </c>
      <c r="N1187" s="310">
        <f t="shared" si="165"/>
        <v>358.283</v>
      </c>
      <c r="O1187" s="310">
        <f t="shared" si="166"/>
        <v>8.848086636486489</v>
      </c>
      <c r="P1187" s="310">
        <f t="shared" si="167"/>
        <v>1481.748221906117</v>
      </c>
      <c r="Q1187" s="311">
        <f t="shared" si="168"/>
        <v>530.8851981891893</v>
      </c>
      <c r="R1187" s="6"/>
      <c r="S1187" s="87"/>
      <c r="T1187" s="87"/>
    </row>
    <row r="1188" spans="1:20" ht="12.75">
      <c r="A1188" s="909"/>
      <c r="B1188" s="41">
        <v>6</v>
      </c>
      <c r="C1188" s="49" t="s">
        <v>845</v>
      </c>
      <c r="D1188" s="41">
        <v>44</v>
      </c>
      <c r="E1188" s="41">
        <v>1968</v>
      </c>
      <c r="F1188" s="185">
        <f t="shared" si="161"/>
        <v>73.39509699999999</v>
      </c>
      <c r="G1188" s="185">
        <v>3.270186</v>
      </c>
      <c r="H1188" s="185">
        <v>7.84</v>
      </c>
      <c r="I1188" s="185">
        <v>62.284911</v>
      </c>
      <c r="J1188" s="317">
        <v>2515.7</v>
      </c>
      <c r="K1188" s="185">
        <f t="shared" si="162"/>
        <v>62.284911</v>
      </c>
      <c r="L1188" s="317">
        <f t="shared" si="163"/>
        <v>2515.7</v>
      </c>
      <c r="M1188" s="227">
        <f t="shared" si="164"/>
        <v>0.02475848113845053</v>
      </c>
      <c r="N1188" s="310">
        <f t="shared" si="165"/>
        <v>358.283</v>
      </c>
      <c r="O1188" s="310">
        <f t="shared" si="166"/>
        <v>8.870542897727471</v>
      </c>
      <c r="P1188" s="310">
        <f t="shared" si="167"/>
        <v>1485.508868307032</v>
      </c>
      <c r="Q1188" s="311">
        <f t="shared" si="168"/>
        <v>532.2325738636483</v>
      </c>
      <c r="R1188" s="6"/>
      <c r="S1188" s="87"/>
      <c r="T1188" s="87"/>
    </row>
    <row r="1189" spans="1:20" ht="12.75">
      <c r="A1189" s="909"/>
      <c r="B1189" s="41">
        <v>7</v>
      </c>
      <c r="C1189" s="82" t="s">
        <v>846</v>
      </c>
      <c r="D1189" s="41">
        <v>22</v>
      </c>
      <c r="E1189" s="41">
        <v>1987</v>
      </c>
      <c r="F1189" s="185">
        <f t="shared" si="161"/>
        <v>32.873</v>
      </c>
      <c r="G1189" s="185">
        <v>2.089225</v>
      </c>
      <c r="H1189" s="185">
        <v>3.4</v>
      </c>
      <c r="I1189" s="185">
        <v>27.383775</v>
      </c>
      <c r="J1189" s="317">
        <v>1082.63</v>
      </c>
      <c r="K1189" s="185">
        <f t="shared" si="162"/>
        <v>27.383775</v>
      </c>
      <c r="L1189" s="317">
        <f t="shared" si="163"/>
        <v>1082.63</v>
      </c>
      <c r="M1189" s="227">
        <f t="shared" si="164"/>
        <v>0.025293752251461715</v>
      </c>
      <c r="N1189" s="310">
        <f t="shared" si="165"/>
        <v>358.283</v>
      </c>
      <c r="O1189" s="310">
        <f t="shared" si="166"/>
        <v>9.062321437910459</v>
      </c>
      <c r="P1189" s="310">
        <f t="shared" si="167"/>
        <v>1517.625135087703</v>
      </c>
      <c r="Q1189" s="311">
        <f t="shared" si="168"/>
        <v>543.7392862746276</v>
      </c>
      <c r="S1189" s="87"/>
      <c r="T1189" s="87"/>
    </row>
    <row r="1190" spans="1:20" ht="12.75">
      <c r="A1190" s="909"/>
      <c r="B1190" s="41">
        <v>8</v>
      </c>
      <c r="C1190" s="49" t="s">
        <v>847</v>
      </c>
      <c r="D1190" s="41">
        <v>44</v>
      </c>
      <c r="E1190" s="41">
        <v>1966</v>
      </c>
      <c r="F1190" s="185">
        <f t="shared" si="161"/>
        <v>57.744002</v>
      </c>
      <c r="G1190" s="185">
        <v>2.819276</v>
      </c>
      <c r="H1190" s="185">
        <v>7.04</v>
      </c>
      <c r="I1190" s="185">
        <v>47.884726</v>
      </c>
      <c r="J1190" s="317">
        <v>1849.2</v>
      </c>
      <c r="K1190" s="185">
        <f t="shared" si="162"/>
        <v>47.884726</v>
      </c>
      <c r="L1190" s="317">
        <f t="shared" si="163"/>
        <v>1849.2</v>
      </c>
      <c r="M1190" s="227">
        <f t="shared" si="164"/>
        <v>0.02589483344148821</v>
      </c>
      <c r="N1190" s="310">
        <f t="shared" si="165"/>
        <v>358.283</v>
      </c>
      <c r="O1190" s="310">
        <f t="shared" si="166"/>
        <v>9.277678609916721</v>
      </c>
      <c r="P1190" s="310">
        <f t="shared" si="167"/>
        <v>1553.6900064892927</v>
      </c>
      <c r="Q1190" s="311">
        <f t="shared" si="168"/>
        <v>556.6607165950032</v>
      </c>
      <c r="S1190" s="87"/>
      <c r="T1190" s="87"/>
    </row>
    <row r="1191" spans="1:20" ht="12.75">
      <c r="A1191" s="909"/>
      <c r="B1191" s="41">
        <v>9</v>
      </c>
      <c r="C1191" s="82" t="s">
        <v>406</v>
      </c>
      <c r="D1191" s="41">
        <v>22</v>
      </c>
      <c r="E1191" s="41">
        <v>1987</v>
      </c>
      <c r="F1191" s="185">
        <f t="shared" si="161"/>
        <v>38.982001000000004</v>
      </c>
      <c r="G1191" s="185">
        <v>3.060834</v>
      </c>
      <c r="H1191" s="185">
        <v>3.80579</v>
      </c>
      <c r="I1191" s="185">
        <v>32.115377</v>
      </c>
      <c r="J1191" s="317">
        <v>1206.54</v>
      </c>
      <c r="K1191" s="185">
        <f t="shared" si="162"/>
        <v>32.115377</v>
      </c>
      <c r="L1191" s="317">
        <f t="shared" si="163"/>
        <v>1206.54</v>
      </c>
      <c r="M1191" s="227">
        <f t="shared" si="164"/>
        <v>0.026617747443101764</v>
      </c>
      <c r="N1191" s="310">
        <f t="shared" si="165"/>
        <v>358.283</v>
      </c>
      <c r="O1191" s="310">
        <f t="shared" si="166"/>
        <v>9.53668640715683</v>
      </c>
      <c r="P1191" s="310">
        <f t="shared" si="167"/>
        <v>1597.064846586106</v>
      </c>
      <c r="Q1191" s="311">
        <f t="shared" si="168"/>
        <v>572.2011844294098</v>
      </c>
      <c r="S1191" s="87"/>
      <c r="T1191" s="87"/>
    </row>
    <row r="1192" spans="1:20" ht="12.75">
      <c r="A1192" s="909"/>
      <c r="B1192" s="41">
        <v>10</v>
      </c>
      <c r="C1192" s="49" t="s">
        <v>533</v>
      </c>
      <c r="D1192" s="41">
        <v>9</v>
      </c>
      <c r="E1192" s="41">
        <v>1990</v>
      </c>
      <c r="F1192" s="185">
        <f t="shared" si="161"/>
        <v>16.35800056</v>
      </c>
      <c r="G1192" s="185">
        <f>19.717*53.68/1000</f>
        <v>1.05840856</v>
      </c>
      <c r="H1192" s="185">
        <v>1.44</v>
      </c>
      <c r="I1192" s="185">
        <v>13.859592</v>
      </c>
      <c r="J1192" s="317">
        <v>464.1</v>
      </c>
      <c r="K1192" s="185">
        <f t="shared" si="162"/>
        <v>13.859592</v>
      </c>
      <c r="L1192" s="317">
        <f t="shared" si="163"/>
        <v>464.1</v>
      </c>
      <c r="M1192" s="227">
        <f t="shared" si="164"/>
        <v>0.029863374272786035</v>
      </c>
      <c r="N1192" s="310">
        <f t="shared" si="165"/>
        <v>358.283</v>
      </c>
      <c r="O1192" s="310">
        <f t="shared" si="166"/>
        <v>10.6995393245766</v>
      </c>
      <c r="P1192" s="310">
        <f t="shared" si="167"/>
        <v>1791.8024563671622</v>
      </c>
      <c r="Q1192" s="311">
        <f t="shared" si="168"/>
        <v>641.972359474596</v>
      </c>
      <c r="S1192" s="87"/>
      <c r="T1192" s="87"/>
    </row>
    <row r="1193" spans="1:20" ht="13.5" thickBot="1">
      <c r="A1193" s="910"/>
      <c r="B1193" s="46"/>
      <c r="C1193" s="408"/>
      <c r="D1193" s="409"/>
      <c r="E1193" s="409"/>
      <c r="F1193" s="530"/>
      <c r="G1193" s="530"/>
      <c r="H1193" s="530"/>
      <c r="I1193" s="530"/>
      <c r="J1193" s="575"/>
      <c r="K1193" s="522"/>
      <c r="L1193" s="575"/>
      <c r="M1193" s="576"/>
      <c r="N1193" s="522"/>
      <c r="O1193" s="522"/>
      <c r="P1193" s="522"/>
      <c r="Q1193" s="577"/>
      <c r="S1193" s="87"/>
      <c r="T1193" s="87"/>
    </row>
    <row r="1196" spans="1:17" ht="15">
      <c r="A1196" s="906" t="s">
        <v>924</v>
      </c>
      <c r="B1196" s="906"/>
      <c r="C1196" s="906"/>
      <c r="D1196" s="906"/>
      <c r="E1196" s="906"/>
      <c r="F1196" s="906"/>
      <c r="G1196" s="906"/>
      <c r="H1196" s="906"/>
      <c r="I1196" s="906"/>
      <c r="J1196" s="906"/>
      <c r="K1196" s="906"/>
      <c r="L1196" s="906"/>
      <c r="M1196" s="906"/>
      <c r="N1196" s="906"/>
      <c r="O1196" s="906"/>
      <c r="P1196" s="906"/>
      <c r="Q1196" s="906"/>
    </row>
    <row r="1197" spans="1:17" ht="13.5" thickBot="1">
      <c r="A1197" s="907" t="s">
        <v>882</v>
      </c>
      <c r="B1197" s="907"/>
      <c r="C1197" s="907"/>
      <c r="D1197" s="907"/>
      <c r="E1197" s="907"/>
      <c r="F1197" s="907"/>
      <c r="G1197" s="907"/>
      <c r="H1197" s="907"/>
      <c r="I1197" s="907"/>
      <c r="J1197" s="907"/>
      <c r="K1197" s="907"/>
      <c r="L1197" s="907"/>
      <c r="M1197" s="907"/>
      <c r="N1197" s="907"/>
      <c r="O1197" s="907"/>
      <c r="P1197" s="907"/>
      <c r="Q1197" s="907"/>
    </row>
    <row r="1198" spans="1:17" ht="11.25">
      <c r="A1198" s="890" t="s">
        <v>1</v>
      </c>
      <c r="B1198" s="892" t="s">
        <v>0</v>
      </c>
      <c r="C1198" s="888" t="s">
        <v>2</v>
      </c>
      <c r="D1198" s="888" t="s">
        <v>3</v>
      </c>
      <c r="E1198" s="888" t="s">
        <v>13</v>
      </c>
      <c r="F1198" s="896" t="s">
        <v>14</v>
      </c>
      <c r="G1198" s="897"/>
      <c r="H1198" s="897"/>
      <c r="I1198" s="898"/>
      <c r="J1198" s="888" t="s">
        <v>4</v>
      </c>
      <c r="K1198" s="888" t="s">
        <v>15</v>
      </c>
      <c r="L1198" s="888" t="s">
        <v>5</v>
      </c>
      <c r="M1198" s="888" t="s">
        <v>6</v>
      </c>
      <c r="N1198" s="888" t="s">
        <v>16</v>
      </c>
      <c r="O1198" s="888" t="s">
        <v>17</v>
      </c>
      <c r="P1198" s="876" t="s">
        <v>25</v>
      </c>
      <c r="Q1198" s="878" t="s">
        <v>26</v>
      </c>
    </row>
    <row r="1199" spans="1:17" ht="33.75">
      <c r="A1199" s="891"/>
      <c r="B1199" s="893"/>
      <c r="C1199" s="894"/>
      <c r="D1199" s="889"/>
      <c r="E1199" s="889"/>
      <c r="F1199" s="36" t="s">
        <v>18</v>
      </c>
      <c r="G1199" s="36" t="s">
        <v>19</v>
      </c>
      <c r="H1199" s="36" t="s">
        <v>20</v>
      </c>
      <c r="I1199" s="36" t="s">
        <v>21</v>
      </c>
      <c r="J1199" s="889"/>
      <c r="K1199" s="889"/>
      <c r="L1199" s="889"/>
      <c r="M1199" s="889"/>
      <c r="N1199" s="889"/>
      <c r="O1199" s="889"/>
      <c r="P1199" s="877"/>
      <c r="Q1199" s="879"/>
    </row>
    <row r="1200" spans="1:17" ht="12" thickBot="1">
      <c r="A1200" s="891"/>
      <c r="B1200" s="893"/>
      <c r="C1200" s="895"/>
      <c r="D1200" s="59" t="s">
        <v>7</v>
      </c>
      <c r="E1200" s="59" t="s">
        <v>8</v>
      </c>
      <c r="F1200" s="59" t="s">
        <v>9</v>
      </c>
      <c r="G1200" s="59" t="s">
        <v>9</v>
      </c>
      <c r="H1200" s="59" t="s">
        <v>9</v>
      </c>
      <c r="I1200" s="59" t="s">
        <v>9</v>
      </c>
      <c r="J1200" s="59" t="s">
        <v>22</v>
      </c>
      <c r="K1200" s="59" t="s">
        <v>9</v>
      </c>
      <c r="L1200" s="59" t="s">
        <v>22</v>
      </c>
      <c r="M1200" s="59" t="s">
        <v>23</v>
      </c>
      <c r="N1200" s="59" t="s">
        <v>10</v>
      </c>
      <c r="O1200" s="59" t="s">
        <v>24</v>
      </c>
      <c r="P1200" s="66" t="s">
        <v>27</v>
      </c>
      <c r="Q1200" s="61" t="s">
        <v>28</v>
      </c>
    </row>
    <row r="1201" spans="1:17" ht="11.25">
      <c r="A1201" s="899" t="s">
        <v>11</v>
      </c>
      <c r="B1201" s="98">
        <v>1</v>
      </c>
      <c r="C1201" s="63" t="s">
        <v>883</v>
      </c>
      <c r="D1201" s="62">
        <v>60</v>
      </c>
      <c r="E1201" s="62">
        <v>1965</v>
      </c>
      <c r="F1201" s="249">
        <f aca="true" t="shared" si="169" ref="F1201:F1240">G1201+H1201+I1201</f>
        <v>38.803</v>
      </c>
      <c r="G1201" s="249">
        <v>6.182917</v>
      </c>
      <c r="H1201" s="249">
        <v>9.6</v>
      </c>
      <c r="I1201" s="249">
        <v>23.020083</v>
      </c>
      <c r="J1201" s="93">
        <v>2701.06</v>
      </c>
      <c r="K1201" s="249">
        <v>23.020083</v>
      </c>
      <c r="L1201" s="93">
        <v>2701.06</v>
      </c>
      <c r="M1201" s="251">
        <f aca="true" t="shared" si="170" ref="M1201:M1240">K1201/L1201</f>
        <v>0.008522610752815562</v>
      </c>
      <c r="N1201" s="250">
        <v>289.831</v>
      </c>
      <c r="O1201" s="252">
        <f aca="true" t="shared" si="171" ref="O1201:O1240">M1201*N1201</f>
        <v>2.470116797099287</v>
      </c>
      <c r="P1201" s="252">
        <f aca="true" t="shared" si="172" ref="P1201:P1240">M1201*60*1000</f>
        <v>511.35664516893365</v>
      </c>
      <c r="Q1201" s="253">
        <f aca="true" t="shared" si="173" ref="Q1201:Q1240">P1201*N1201/1000</f>
        <v>148.20700782595722</v>
      </c>
    </row>
    <row r="1202" spans="1:17" ht="11.25">
      <c r="A1202" s="900"/>
      <c r="B1202" s="95">
        <v>2</v>
      </c>
      <c r="C1202" s="16" t="s">
        <v>884</v>
      </c>
      <c r="D1202" s="31">
        <v>22</v>
      </c>
      <c r="E1202" s="31" t="s">
        <v>71</v>
      </c>
      <c r="F1202" s="249">
        <f t="shared" si="169"/>
        <v>17.744999999999997</v>
      </c>
      <c r="G1202" s="146">
        <v>3.3816</v>
      </c>
      <c r="H1202" s="146">
        <v>3.52</v>
      </c>
      <c r="I1202" s="146">
        <v>10.843399999999999</v>
      </c>
      <c r="J1202" s="176">
        <v>1230.47</v>
      </c>
      <c r="K1202" s="146">
        <v>10.843399999999999</v>
      </c>
      <c r="L1202" s="176">
        <v>1230.47</v>
      </c>
      <c r="M1202" s="133">
        <f t="shared" si="170"/>
        <v>0.008812405015969506</v>
      </c>
      <c r="N1202" s="250">
        <v>289.831</v>
      </c>
      <c r="O1202" s="132">
        <f t="shared" si="171"/>
        <v>2.554108158183458</v>
      </c>
      <c r="P1202" s="252">
        <f t="shared" si="172"/>
        <v>528.7443009581704</v>
      </c>
      <c r="Q1202" s="134">
        <f t="shared" si="173"/>
        <v>153.24648949100748</v>
      </c>
    </row>
    <row r="1203" spans="1:17" ht="11.25">
      <c r="A1203" s="900"/>
      <c r="B1203" s="95">
        <v>3</v>
      </c>
      <c r="C1203" s="16" t="s">
        <v>885</v>
      </c>
      <c r="D1203" s="31">
        <v>60</v>
      </c>
      <c r="E1203" s="31">
        <v>1964</v>
      </c>
      <c r="F1203" s="249">
        <f t="shared" si="169"/>
        <v>41.002</v>
      </c>
      <c r="G1203" s="146">
        <v>5.1851199999999995</v>
      </c>
      <c r="H1203" s="146">
        <v>9.6</v>
      </c>
      <c r="I1203" s="146">
        <v>26.216880000000003</v>
      </c>
      <c r="J1203" s="176">
        <v>2880.44</v>
      </c>
      <c r="K1203" s="146">
        <v>26.216880000000003</v>
      </c>
      <c r="L1203" s="176">
        <v>2880.44</v>
      </c>
      <c r="M1203" s="133">
        <f t="shared" si="170"/>
        <v>0.009101692796933803</v>
      </c>
      <c r="N1203" s="250">
        <v>289.831</v>
      </c>
      <c r="O1203" s="132">
        <f t="shared" si="171"/>
        <v>2.6379527250281214</v>
      </c>
      <c r="P1203" s="252">
        <f t="shared" si="172"/>
        <v>546.1015678160283</v>
      </c>
      <c r="Q1203" s="134">
        <f t="shared" si="173"/>
        <v>158.27716350168728</v>
      </c>
    </row>
    <row r="1204" spans="1:17" ht="11.25">
      <c r="A1204" s="900"/>
      <c r="B1204" s="31">
        <v>4</v>
      </c>
      <c r="C1204" s="16" t="s">
        <v>886</v>
      </c>
      <c r="D1204" s="31">
        <v>45</v>
      </c>
      <c r="E1204" s="31" t="s">
        <v>71</v>
      </c>
      <c r="F1204" s="249">
        <f t="shared" si="169"/>
        <v>33.604</v>
      </c>
      <c r="G1204" s="146">
        <v>5.0724</v>
      </c>
      <c r="H1204" s="146">
        <v>7.2</v>
      </c>
      <c r="I1204" s="146">
        <v>21.331599999999998</v>
      </c>
      <c r="J1204" s="176">
        <v>2324.67</v>
      </c>
      <c r="K1204" s="146">
        <v>21.331599999999998</v>
      </c>
      <c r="L1204" s="176">
        <v>2324.67</v>
      </c>
      <c r="M1204" s="133">
        <f t="shared" si="170"/>
        <v>0.009176184146567038</v>
      </c>
      <c r="N1204" s="250">
        <v>289.831</v>
      </c>
      <c r="O1204" s="132">
        <f t="shared" si="171"/>
        <v>2.6595426273836713</v>
      </c>
      <c r="P1204" s="252">
        <f t="shared" si="172"/>
        <v>550.5710487940223</v>
      </c>
      <c r="Q1204" s="134">
        <f t="shared" si="173"/>
        <v>159.5725576430203</v>
      </c>
    </row>
    <row r="1205" spans="1:17" ht="11.25">
      <c r="A1205" s="900"/>
      <c r="B1205" s="31">
        <v>5</v>
      </c>
      <c r="C1205" s="16" t="s">
        <v>887</v>
      </c>
      <c r="D1205" s="31">
        <v>60</v>
      </c>
      <c r="E1205" s="31">
        <v>1964</v>
      </c>
      <c r="F1205" s="249">
        <f t="shared" si="169"/>
        <v>42.453</v>
      </c>
      <c r="G1205" s="146">
        <v>6.03052</v>
      </c>
      <c r="H1205" s="146">
        <v>9.6</v>
      </c>
      <c r="I1205" s="146">
        <v>26.822480000000002</v>
      </c>
      <c r="J1205" s="176">
        <v>2880.51</v>
      </c>
      <c r="K1205" s="146">
        <v>26.822480000000002</v>
      </c>
      <c r="L1205" s="176">
        <v>2880.51</v>
      </c>
      <c r="M1205" s="133">
        <f t="shared" si="170"/>
        <v>0.00931171216208241</v>
      </c>
      <c r="N1205" s="250">
        <v>289.831</v>
      </c>
      <c r="O1205" s="132">
        <f t="shared" si="171"/>
        <v>2.698822847648507</v>
      </c>
      <c r="P1205" s="252">
        <f t="shared" si="172"/>
        <v>558.7027297249446</v>
      </c>
      <c r="Q1205" s="134">
        <f t="shared" si="173"/>
        <v>161.9293708589104</v>
      </c>
    </row>
    <row r="1206" spans="1:17" ht="11.25">
      <c r="A1206" s="900"/>
      <c r="B1206" s="31">
        <v>6</v>
      </c>
      <c r="C1206" s="16" t="s">
        <v>888</v>
      </c>
      <c r="D1206" s="31">
        <v>60</v>
      </c>
      <c r="E1206" s="31">
        <v>1966</v>
      </c>
      <c r="F1206" s="249">
        <f t="shared" si="169"/>
        <v>40.571</v>
      </c>
      <c r="G1206" s="146">
        <v>5.732037</v>
      </c>
      <c r="H1206" s="146">
        <v>9.6</v>
      </c>
      <c r="I1206" s="146">
        <v>25.238963</v>
      </c>
      <c r="J1206" s="176">
        <v>2708.28</v>
      </c>
      <c r="K1206" s="146">
        <v>25.238963</v>
      </c>
      <c r="L1206" s="176">
        <v>2708.28</v>
      </c>
      <c r="M1206" s="133">
        <f t="shared" si="170"/>
        <v>0.009319185239340097</v>
      </c>
      <c r="N1206" s="250">
        <v>289.831</v>
      </c>
      <c r="O1206" s="132">
        <f t="shared" si="171"/>
        <v>2.7009887771031797</v>
      </c>
      <c r="P1206" s="252">
        <f t="shared" si="172"/>
        <v>559.1511143604058</v>
      </c>
      <c r="Q1206" s="134">
        <f t="shared" si="173"/>
        <v>162.0593266261908</v>
      </c>
    </row>
    <row r="1207" spans="1:17" ht="11.25">
      <c r="A1207" s="900"/>
      <c r="B1207" s="31">
        <v>7</v>
      </c>
      <c r="C1207" s="16" t="s">
        <v>889</v>
      </c>
      <c r="D1207" s="31">
        <v>26</v>
      </c>
      <c r="E1207" s="31">
        <v>1966</v>
      </c>
      <c r="F1207" s="249">
        <f t="shared" si="169"/>
        <v>18.639000000000003</v>
      </c>
      <c r="G1207" s="146">
        <v>1.224</v>
      </c>
      <c r="H1207" s="146">
        <v>4.16</v>
      </c>
      <c r="I1207" s="146">
        <v>13.255</v>
      </c>
      <c r="J1207" s="176">
        <v>1402.84</v>
      </c>
      <c r="K1207" s="146">
        <v>13.255</v>
      </c>
      <c r="L1207" s="176">
        <v>1402.84</v>
      </c>
      <c r="M1207" s="133">
        <f t="shared" si="170"/>
        <v>0.00944868980069003</v>
      </c>
      <c r="N1207" s="250">
        <v>289.831</v>
      </c>
      <c r="O1207" s="132">
        <f t="shared" si="171"/>
        <v>2.7385232136237923</v>
      </c>
      <c r="P1207" s="252">
        <f t="shared" si="172"/>
        <v>566.9213880414018</v>
      </c>
      <c r="Q1207" s="134">
        <f t="shared" si="173"/>
        <v>164.31139281742753</v>
      </c>
    </row>
    <row r="1208" spans="1:17" ht="11.25">
      <c r="A1208" s="900"/>
      <c r="B1208" s="31">
        <v>8</v>
      </c>
      <c r="C1208" s="16" t="s">
        <v>890</v>
      </c>
      <c r="D1208" s="31">
        <v>40</v>
      </c>
      <c r="E1208" s="31" t="s">
        <v>71</v>
      </c>
      <c r="F1208" s="249">
        <f t="shared" si="169"/>
        <v>33.342</v>
      </c>
      <c r="G1208" s="146">
        <v>5.41056</v>
      </c>
      <c r="H1208" s="146">
        <v>6.4</v>
      </c>
      <c r="I1208" s="146">
        <v>21.53144</v>
      </c>
      <c r="J1208" s="176">
        <v>2270.57</v>
      </c>
      <c r="K1208" s="146">
        <v>21.53144</v>
      </c>
      <c r="L1208" s="176">
        <v>2270.57</v>
      </c>
      <c r="M1208" s="133">
        <f t="shared" si="170"/>
        <v>0.009482834706703603</v>
      </c>
      <c r="N1208" s="250">
        <v>289.831</v>
      </c>
      <c r="O1208" s="132">
        <f t="shared" si="171"/>
        <v>2.748419465878612</v>
      </c>
      <c r="P1208" s="252">
        <f t="shared" si="172"/>
        <v>568.9700824022161</v>
      </c>
      <c r="Q1208" s="134">
        <f t="shared" si="173"/>
        <v>164.9051679527167</v>
      </c>
    </row>
    <row r="1209" spans="1:17" ht="11.25">
      <c r="A1209" s="900"/>
      <c r="B1209" s="31">
        <v>9</v>
      </c>
      <c r="C1209" s="16" t="s">
        <v>891</v>
      </c>
      <c r="D1209" s="31">
        <v>20</v>
      </c>
      <c r="E1209" s="31" t="s">
        <v>71</v>
      </c>
      <c r="F1209" s="249">
        <f t="shared" si="169"/>
        <v>18.429000000000002</v>
      </c>
      <c r="G1209" s="146">
        <v>2.2544</v>
      </c>
      <c r="H1209" s="146">
        <v>3.199997</v>
      </c>
      <c r="I1209" s="146">
        <v>12.974603</v>
      </c>
      <c r="J1209" s="176">
        <v>1298.9</v>
      </c>
      <c r="K1209" s="146">
        <v>12.974603</v>
      </c>
      <c r="L1209" s="176">
        <v>1298.9</v>
      </c>
      <c r="M1209" s="133">
        <f t="shared" si="170"/>
        <v>0.009988916005851105</v>
      </c>
      <c r="N1209" s="250">
        <v>289.831</v>
      </c>
      <c r="O1209" s="132">
        <f t="shared" si="171"/>
        <v>2.8950975148918316</v>
      </c>
      <c r="P1209" s="252">
        <f t="shared" si="172"/>
        <v>599.3349603510662</v>
      </c>
      <c r="Q1209" s="134">
        <f t="shared" si="173"/>
        <v>173.7058508935099</v>
      </c>
    </row>
    <row r="1210" spans="1:17" ht="12" thickBot="1">
      <c r="A1210" s="901"/>
      <c r="B1210" s="64">
        <v>10</v>
      </c>
      <c r="C1210" s="65" t="s">
        <v>892</v>
      </c>
      <c r="D1210" s="64">
        <v>60</v>
      </c>
      <c r="E1210" s="64">
        <v>1965</v>
      </c>
      <c r="F1210" s="249">
        <f t="shared" si="169"/>
        <v>40.878</v>
      </c>
      <c r="G1210" s="216">
        <v>4.28336</v>
      </c>
      <c r="H1210" s="216">
        <v>9.6</v>
      </c>
      <c r="I1210" s="216">
        <v>26.99464</v>
      </c>
      <c r="J1210" s="334">
        <v>2701.1</v>
      </c>
      <c r="K1210" s="216">
        <v>26.99464</v>
      </c>
      <c r="L1210" s="334">
        <v>2701.1</v>
      </c>
      <c r="M1210" s="136">
        <f t="shared" si="170"/>
        <v>0.009993943208322536</v>
      </c>
      <c r="N1210" s="135">
        <v>289.831</v>
      </c>
      <c r="O1210" s="461">
        <f t="shared" si="171"/>
        <v>2.8965545540113293</v>
      </c>
      <c r="P1210" s="135">
        <f t="shared" si="172"/>
        <v>599.6365924993522</v>
      </c>
      <c r="Q1210" s="137">
        <f t="shared" si="173"/>
        <v>173.79327324067975</v>
      </c>
    </row>
    <row r="1211" spans="1:17" ht="11.25">
      <c r="A1211" s="902" t="s">
        <v>29</v>
      </c>
      <c r="B1211" s="67">
        <v>1</v>
      </c>
      <c r="C1211" s="34" t="s">
        <v>893</v>
      </c>
      <c r="D1211" s="35">
        <v>31</v>
      </c>
      <c r="E1211" s="35" t="s">
        <v>71</v>
      </c>
      <c r="F1211" s="262">
        <f t="shared" si="169"/>
        <v>30.145000000000003</v>
      </c>
      <c r="G1211" s="262">
        <v>3.3816</v>
      </c>
      <c r="H1211" s="262">
        <v>4.8</v>
      </c>
      <c r="I1211" s="263">
        <v>21.963400000000004</v>
      </c>
      <c r="J1211" s="432">
        <v>1511.9</v>
      </c>
      <c r="K1211" s="262">
        <v>21.963400000000004</v>
      </c>
      <c r="L1211" s="432">
        <v>1511.9</v>
      </c>
      <c r="M1211" s="147">
        <f t="shared" si="170"/>
        <v>0.014527018982736955</v>
      </c>
      <c r="N1211" s="148">
        <v>289.83</v>
      </c>
      <c r="O1211" s="148">
        <f t="shared" si="171"/>
        <v>4.210365911766652</v>
      </c>
      <c r="P1211" s="148">
        <f t="shared" si="172"/>
        <v>871.6211389642174</v>
      </c>
      <c r="Q1211" s="170">
        <f t="shared" si="173"/>
        <v>252.62195470599912</v>
      </c>
    </row>
    <row r="1212" spans="1:17" ht="11.25">
      <c r="A1212" s="903"/>
      <c r="B1212" s="103">
        <v>2</v>
      </c>
      <c r="C1212" s="34" t="s">
        <v>894</v>
      </c>
      <c r="D1212" s="35">
        <v>100</v>
      </c>
      <c r="E1212" s="35">
        <v>1970</v>
      </c>
      <c r="F1212" s="267">
        <f t="shared" si="169"/>
        <v>91.981</v>
      </c>
      <c r="G1212" s="263">
        <v>9.057277000000001</v>
      </c>
      <c r="H1212" s="263">
        <v>16</v>
      </c>
      <c r="I1212" s="263">
        <v>66.923723</v>
      </c>
      <c r="J1212" s="118">
        <v>4378.83</v>
      </c>
      <c r="K1212" s="263">
        <v>66.923723</v>
      </c>
      <c r="L1212" s="118">
        <v>4378.83</v>
      </c>
      <c r="M1212" s="147">
        <f t="shared" si="170"/>
        <v>0.015283471383908486</v>
      </c>
      <c r="N1212" s="138">
        <v>289.83</v>
      </c>
      <c r="O1212" s="148">
        <f t="shared" si="171"/>
        <v>4.429608511198197</v>
      </c>
      <c r="P1212" s="148">
        <f t="shared" si="172"/>
        <v>917.0082830345092</v>
      </c>
      <c r="Q1212" s="170">
        <f t="shared" si="173"/>
        <v>265.7765106718918</v>
      </c>
    </row>
    <row r="1213" spans="1:17" ht="11.25">
      <c r="A1213" s="903"/>
      <c r="B1213" s="35">
        <v>3</v>
      </c>
      <c r="C1213" s="34" t="s">
        <v>895</v>
      </c>
      <c r="D1213" s="35">
        <v>60</v>
      </c>
      <c r="E1213" s="35">
        <v>1966</v>
      </c>
      <c r="F1213" s="263">
        <f t="shared" si="169"/>
        <v>56.848</v>
      </c>
      <c r="G1213" s="263">
        <v>5.74872</v>
      </c>
      <c r="H1213" s="263">
        <v>9.52</v>
      </c>
      <c r="I1213" s="263">
        <v>41.57928</v>
      </c>
      <c r="J1213" s="118">
        <v>2701.1</v>
      </c>
      <c r="K1213" s="263">
        <v>41.57928</v>
      </c>
      <c r="L1213" s="118">
        <v>2701.1</v>
      </c>
      <c r="M1213" s="139">
        <f t="shared" si="170"/>
        <v>0.015393461922920291</v>
      </c>
      <c r="N1213" s="148">
        <v>289.83</v>
      </c>
      <c r="O1213" s="148">
        <f t="shared" si="171"/>
        <v>4.461487069119988</v>
      </c>
      <c r="P1213" s="148">
        <f t="shared" si="172"/>
        <v>923.6077153752175</v>
      </c>
      <c r="Q1213" s="168">
        <f t="shared" si="173"/>
        <v>267.68922414719924</v>
      </c>
    </row>
    <row r="1214" spans="1:17" ht="11.25">
      <c r="A1214" s="903"/>
      <c r="B1214" s="35">
        <v>4</v>
      </c>
      <c r="C1214" s="34" t="s">
        <v>896</v>
      </c>
      <c r="D1214" s="35">
        <v>54</v>
      </c>
      <c r="E1214" s="35">
        <v>1967</v>
      </c>
      <c r="F1214" s="263">
        <f t="shared" si="169"/>
        <v>54.274</v>
      </c>
      <c r="G1214" s="263">
        <v>5.97416</v>
      </c>
      <c r="H1214" s="263">
        <v>8.56</v>
      </c>
      <c r="I1214" s="263">
        <v>39.73984</v>
      </c>
      <c r="J1214" s="118">
        <v>2559.46</v>
      </c>
      <c r="K1214" s="263">
        <v>39.73984</v>
      </c>
      <c r="L1214" s="118">
        <v>2559.46</v>
      </c>
      <c r="M1214" s="139">
        <f t="shared" si="170"/>
        <v>0.0155266501527666</v>
      </c>
      <c r="N1214" s="148">
        <v>289.83</v>
      </c>
      <c r="O1214" s="138">
        <f t="shared" si="171"/>
        <v>4.500089013776344</v>
      </c>
      <c r="P1214" s="148">
        <f t="shared" si="172"/>
        <v>931.5990091659959</v>
      </c>
      <c r="Q1214" s="168">
        <f t="shared" si="173"/>
        <v>270.0053408265806</v>
      </c>
    </row>
    <row r="1215" spans="1:17" ht="11.25">
      <c r="A1215" s="903"/>
      <c r="B1215" s="35">
        <v>5</v>
      </c>
      <c r="C1215" s="34" t="s">
        <v>897</v>
      </c>
      <c r="D1215" s="35">
        <v>65</v>
      </c>
      <c r="E1215" s="35">
        <v>1988</v>
      </c>
      <c r="F1215" s="263">
        <f t="shared" si="169"/>
        <v>52.234</v>
      </c>
      <c r="G1215" s="263">
        <v>4.73424</v>
      </c>
      <c r="H1215" s="263">
        <v>10.32</v>
      </c>
      <c r="I1215" s="263">
        <v>37.17976</v>
      </c>
      <c r="J1215" s="118">
        <v>2344.15</v>
      </c>
      <c r="K1215" s="263">
        <v>37.17976</v>
      </c>
      <c r="L1215" s="118">
        <v>2344.15</v>
      </c>
      <c r="M1215" s="139">
        <f t="shared" si="170"/>
        <v>0.015860657381140286</v>
      </c>
      <c r="N1215" s="148">
        <v>289.83</v>
      </c>
      <c r="O1215" s="138">
        <f t="shared" si="171"/>
        <v>4.596894328775889</v>
      </c>
      <c r="P1215" s="148">
        <f t="shared" si="172"/>
        <v>951.6394428684172</v>
      </c>
      <c r="Q1215" s="168">
        <f t="shared" si="173"/>
        <v>275.81365972655334</v>
      </c>
    </row>
    <row r="1216" spans="1:17" ht="11.25">
      <c r="A1216" s="903"/>
      <c r="B1216" s="35">
        <v>6</v>
      </c>
      <c r="C1216" s="34" t="s">
        <v>898</v>
      </c>
      <c r="D1216" s="35">
        <v>45</v>
      </c>
      <c r="E1216" s="35">
        <v>1982</v>
      </c>
      <c r="F1216" s="263">
        <f t="shared" si="169"/>
        <v>49.775000000000006</v>
      </c>
      <c r="G1216" s="263">
        <v>5.52328</v>
      </c>
      <c r="H1216" s="263">
        <v>7.2</v>
      </c>
      <c r="I1216" s="263">
        <v>37.05172</v>
      </c>
      <c r="J1216" s="118">
        <v>2332.2000000000003</v>
      </c>
      <c r="K1216" s="263">
        <v>37.05172</v>
      </c>
      <c r="L1216" s="118">
        <v>2332.2000000000003</v>
      </c>
      <c r="M1216" s="139">
        <f t="shared" si="170"/>
        <v>0.01588702512649001</v>
      </c>
      <c r="N1216" s="148">
        <v>289.83</v>
      </c>
      <c r="O1216" s="138">
        <f t="shared" si="171"/>
        <v>4.604536492410599</v>
      </c>
      <c r="P1216" s="148">
        <f t="shared" si="172"/>
        <v>953.2215075894005</v>
      </c>
      <c r="Q1216" s="168">
        <f t="shared" si="173"/>
        <v>276.2721895446359</v>
      </c>
    </row>
    <row r="1217" spans="1:17" ht="11.25">
      <c r="A1217" s="903"/>
      <c r="B1217" s="35">
        <v>7</v>
      </c>
      <c r="C1217" s="34" t="s">
        <v>899</v>
      </c>
      <c r="D1217" s="35">
        <v>40</v>
      </c>
      <c r="E1217" s="35" t="s">
        <v>71</v>
      </c>
      <c r="F1217" s="263">
        <f t="shared" si="169"/>
        <v>45.914</v>
      </c>
      <c r="G1217" s="263">
        <v>6.59412</v>
      </c>
      <c r="H1217" s="263">
        <v>6.4</v>
      </c>
      <c r="I1217" s="263">
        <v>32.91988</v>
      </c>
      <c r="J1217" s="118">
        <v>2054.64</v>
      </c>
      <c r="K1217" s="263">
        <v>32.91988</v>
      </c>
      <c r="L1217" s="118">
        <v>2054.64</v>
      </c>
      <c r="M1217" s="139">
        <f t="shared" si="170"/>
        <v>0.016022213137094576</v>
      </c>
      <c r="N1217" s="148">
        <v>289.83</v>
      </c>
      <c r="O1217" s="138">
        <f t="shared" si="171"/>
        <v>4.643718033524121</v>
      </c>
      <c r="P1217" s="148">
        <f t="shared" si="172"/>
        <v>961.3327882256746</v>
      </c>
      <c r="Q1217" s="168">
        <f t="shared" si="173"/>
        <v>278.62308201144725</v>
      </c>
    </row>
    <row r="1218" spans="1:17" ht="11.25">
      <c r="A1218" s="903"/>
      <c r="B1218" s="35">
        <v>8</v>
      </c>
      <c r="C1218" s="34" t="s">
        <v>900</v>
      </c>
      <c r="D1218" s="35">
        <v>60</v>
      </c>
      <c r="E1218" s="35">
        <v>1964</v>
      </c>
      <c r="F1218" s="263">
        <f t="shared" si="169"/>
        <v>61.421</v>
      </c>
      <c r="G1218" s="263">
        <v>5.393877</v>
      </c>
      <c r="H1218" s="263">
        <v>9.52</v>
      </c>
      <c r="I1218" s="263">
        <v>46.507123</v>
      </c>
      <c r="J1218" s="118">
        <v>2879.56</v>
      </c>
      <c r="K1218" s="263">
        <v>46.507123</v>
      </c>
      <c r="L1218" s="118">
        <v>2879.56</v>
      </c>
      <c r="M1218" s="139">
        <f t="shared" si="170"/>
        <v>0.016150774076595036</v>
      </c>
      <c r="N1218" s="148">
        <v>289.83</v>
      </c>
      <c r="O1218" s="138">
        <f t="shared" si="171"/>
        <v>4.680978850619539</v>
      </c>
      <c r="P1218" s="148">
        <f t="shared" si="172"/>
        <v>969.0464445957022</v>
      </c>
      <c r="Q1218" s="168">
        <f t="shared" si="173"/>
        <v>280.85873103717233</v>
      </c>
    </row>
    <row r="1219" spans="1:17" ht="11.25">
      <c r="A1219" s="904"/>
      <c r="B1219" s="68">
        <v>9</v>
      </c>
      <c r="C1219" s="34" t="s">
        <v>901</v>
      </c>
      <c r="D1219" s="35">
        <v>100</v>
      </c>
      <c r="E1219" s="35">
        <v>1966</v>
      </c>
      <c r="F1219" s="263">
        <f t="shared" si="169"/>
        <v>97.43599999999999</v>
      </c>
      <c r="G1219" s="263">
        <v>9.249352</v>
      </c>
      <c r="H1219" s="263">
        <v>16</v>
      </c>
      <c r="I1219" s="263">
        <v>72.18664799999999</v>
      </c>
      <c r="J1219" s="118">
        <v>4377.1</v>
      </c>
      <c r="K1219" s="263">
        <v>72.18664799999999</v>
      </c>
      <c r="L1219" s="118">
        <v>4377.1</v>
      </c>
      <c r="M1219" s="139">
        <f t="shared" si="170"/>
        <v>0.016491889150350686</v>
      </c>
      <c r="N1219" s="148">
        <v>289.83</v>
      </c>
      <c r="O1219" s="138">
        <f t="shared" si="171"/>
        <v>4.779844232446139</v>
      </c>
      <c r="P1219" s="148">
        <f t="shared" si="172"/>
        <v>989.5133490210411</v>
      </c>
      <c r="Q1219" s="168">
        <f t="shared" si="173"/>
        <v>286.7906539467683</v>
      </c>
    </row>
    <row r="1220" spans="1:17" ht="12" thickBot="1">
      <c r="A1220" s="905"/>
      <c r="B1220" s="38">
        <v>10</v>
      </c>
      <c r="C1220" s="83" t="s">
        <v>902</v>
      </c>
      <c r="D1220" s="38">
        <v>14</v>
      </c>
      <c r="E1220" s="38">
        <v>1987</v>
      </c>
      <c r="F1220" s="263">
        <f t="shared" si="169"/>
        <v>16.706</v>
      </c>
      <c r="G1220" s="265">
        <v>1.6908</v>
      </c>
      <c r="H1220" s="265">
        <v>2.24</v>
      </c>
      <c r="I1220" s="265">
        <v>12.7752</v>
      </c>
      <c r="J1220" s="184">
        <v>772.96</v>
      </c>
      <c r="K1220" s="265">
        <v>12.7752</v>
      </c>
      <c r="L1220" s="184">
        <v>772.96</v>
      </c>
      <c r="M1220" s="218">
        <f t="shared" si="170"/>
        <v>0.016527634030221484</v>
      </c>
      <c r="N1220" s="171">
        <v>289.83</v>
      </c>
      <c r="O1220" s="171">
        <f t="shared" si="171"/>
        <v>4.790204170979092</v>
      </c>
      <c r="P1220" s="171">
        <f t="shared" si="172"/>
        <v>991.6580418132891</v>
      </c>
      <c r="Q1220" s="172">
        <f t="shared" si="173"/>
        <v>287.4122502587456</v>
      </c>
    </row>
    <row r="1221" spans="1:17" ht="11.25">
      <c r="A1221" s="880" t="s">
        <v>30</v>
      </c>
      <c r="B1221" s="231">
        <v>1</v>
      </c>
      <c r="C1221" s="270" t="s">
        <v>903</v>
      </c>
      <c r="D1221" s="231">
        <v>30</v>
      </c>
      <c r="E1221" s="231">
        <v>1991</v>
      </c>
      <c r="F1221" s="423">
        <f t="shared" si="169"/>
        <v>43.689</v>
      </c>
      <c r="G1221" s="423">
        <v>3.49432</v>
      </c>
      <c r="H1221" s="423">
        <v>4.8</v>
      </c>
      <c r="I1221" s="423">
        <v>35.39468</v>
      </c>
      <c r="J1221" s="434">
        <v>1503.25</v>
      </c>
      <c r="K1221" s="423">
        <v>35.39468</v>
      </c>
      <c r="L1221" s="356">
        <v>1503.25</v>
      </c>
      <c r="M1221" s="286">
        <f t="shared" si="170"/>
        <v>0.023545438217196075</v>
      </c>
      <c r="N1221" s="285">
        <v>289.83</v>
      </c>
      <c r="O1221" s="285">
        <f t="shared" si="171"/>
        <v>6.824174358489938</v>
      </c>
      <c r="P1221" s="285">
        <f t="shared" si="172"/>
        <v>1412.7262930317645</v>
      </c>
      <c r="Q1221" s="287">
        <f t="shared" si="173"/>
        <v>409.4504615093963</v>
      </c>
    </row>
    <row r="1222" spans="1:17" ht="11.25">
      <c r="A1222" s="881"/>
      <c r="B1222" s="232">
        <v>2</v>
      </c>
      <c r="C1222" s="272" t="s">
        <v>904</v>
      </c>
      <c r="D1222" s="232">
        <v>21</v>
      </c>
      <c r="E1222" s="232">
        <v>1967</v>
      </c>
      <c r="F1222" s="288">
        <f t="shared" si="169"/>
        <v>30.259999999999998</v>
      </c>
      <c r="G1222" s="288">
        <v>3.04344</v>
      </c>
      <c r="H1222" s="288">
        <v>3.36</v>
      </c>
      <c r="I1222" s="288">
        <v>23.856559999999998</v>
      </c>
      <c r="J1222" s="279">
        <v>1013.03</v>
      </c>
      <c r="K1222" s="288">
        <v>23.856559999999998</v>
      </c>
      <c r="L1222" s="279">
        <v>1013.03</v>
      </c>
      <c r="M1222" s="290">
        <f t="shared" si="170"/>
        <v>0.023549707313702456</v>
      </c>
      <c r="N1222" s="285">
        <v>289.83</v>
      </c>
      <c r="O1222" s="289">
        <f t="shared" si="171"/>
        <v>6.825411670730382</v>
      </c>
      <c r="P1222" s="285">
        <f t="shared" si="172"/>
        <v>1412.9824388221475</v>
      </c>
      <c r="Q1222" s="291">
        <f t="shared" si="173"/>
        <v>409.524700243823</v>
      </c>
    </row>
    <row r="1223" spans="1:17" ht="11.25">
      <c r="A1223" s="881"/>
      <c r="B1223" s="232">
        <v>3</v>
      </c>
      <c r="C1223" s="272" t="s">
        <v>905</v>
      </c>
      <c r="D1223" s="232">
        <v>46</v>
      </c>
      <c r="E1223" s="232">
        <v>1990</v>
      </c>
      <c r="F1223" s="288">
        <f t="shared" si="169"/>
        <v>68.265</v>
      </c>
      <c r="G1223" s="288">
        <v>5.69236</v>
      </c>
      <c r="H1223" s="288">
        <v>7.2</v>
      </c>
      <c r="I1223" s="288">
        <v>55.372640000000004</v>
      </c>
      <c r="J1223" s="279">
        <v>2345.05</v>
      </c>
      <c r="K1223" s="288">
        <v>55.372640000000004</v>
      </c>
      <c r="L1223" s="279">
        <v>2345.05</v>
      </c>
      <c r="M1223" s="290">
        <f t="shared" si="170"/>
        <v>0.023612562631926824</v>
      </c>
      <c r="N1223" s="285">
        <v>289.83</v>
      </c>
      <c r="O1223" s="289">
        <f t="shared" si="171"/>
        <v>6.8436290276113505</v>
      </c>
      <c r="P1223" s="285">
        <f t="shared" si="172"/>
        <v>1416.7537579156094</v>
      </c>
      <c r="Q1223" s="291">
        <f t="shared" si="173"/>
        <v>410.61774165668106</v>
      </c>
    </row>
    <row r="1224" spans="1:17" ht="11.25">
      <c r="A1224" s="881"/>
      <c r="B1224" s="232">
        <v>4</v>
      </c>
      <c r="C1224" s="272" t="s">
        <v>906</v>
      </c>
      <c r="D1224" s="232">
        <v>73</v>
      </c>
      <c r="E1224" s="232">
        <v>1988</v>
      </c>
      <c r="F1224" s="288">
        <f t="shared" si="169"/>
        <v>83.192</v>
      </c>
      <c r="G1224" s="288">
        <v>5.4502369999999996</v>
      </c>
      <c r="H1224" s="288">
        <v>11.52</v>
      </c>
      <c r="I1224" s="288">
        <v>66.221763</v>
      </c>
      <c r="J1224" s="279">
        <v>2804.17</v>
      </c>
      <c r="K1224" s="288">
        <v>66.221763</v>
      </c>
      <c r="L1224" s="279">
        <v>2804.17</v>
      </c>
      <c r="M1224" s="290">
        <f t="shared" si="170"/>
        <v>0.02361545947642261</v>
      </c>
      <c r="N1224" s="285">
        <v>289.83</v>
      </c>
      <c r="O1224" s="289">
        <f t="shared" si="171"/>
        <v>6.844468620051565</v>
      </c>
      <c r="P1224" s="285">
        <f t="shared" si="172"/>
        <v>1416.9275685853565</v>
      </c>
      <c r="Q1224" s="291">
        <f t="shared" si="173"/>
        <v>410.6681172030939</v>
      </c>
    </row>
    <row r="1225" spans="1:17" ht="11.25">
      <c r="A1225" s="881"/>
      <c r="B1225" s="232">
        <v>5</v>
      </c>
      <c r="C1225" s="272" t="s">
        <v>907</v>
      </c>
      <c r="D1225" s="232">
        <v>10</v>
      </c>
      <c r="E1225" s="232" t="s">
        <v>71</v>
      </c>
      <c r="F1225" s="288">
        <f t="shared" si="169"/>
        <v>16.356</v>
      </c>
      <c r="G1225" s="288">
        <v>1.409</v>
      </c>
      <c r="H1225" s="288">
        <v>1.6</v>
      </c>
      <c r="I1225" s="288">
        <v>13.347000000000001</v>
      </c>
      <c r="J1225" s="279">
        <v>561.57</v>
      </c>
      <c r="K1225" s="288">
        <v>13.347000000000001</v>
      </c>
      <c r="L1225" s="279">
        <v>561.57</v>
      </c>
      <c r="M1225" s="290">
        <f t="shared" si="170"/>
        <v>0.02376729526149901</v>
      </c>
      <c r="N1225" s="285">
        <v>289.83</v>
      </c>
      <c r="O1225" s="289">
        <f t="shared" si="171"/>
        <v>6.8884751856402575</v>
      </c>
      <c r="P1225" s="285">
        <f t="shared" si="172"/>
        <v>1426.0377156899406</v>
      </c>
      <c r="Q1225" s="291">
        <f t="shared" si="173"/>
        <v>413.30851113841544</v>
      </c>
    </row>
    <row r="1226" spans="1:17" ht="11.25">
      <c r="A1226" s="881"/>
      <c r="B1226" s="232">
        <v>6</v>
      </c>
      <c r="C1226" s="272" t="s">
        <v>908</v>
      </c>
      <c r="D1226" s="232">
        <v>24</v>
      </c>
      <c r="E1226" s="232">
        <v>1969</v>
      </c>
      <c r="F1226" s="288">
        <f t="shared" si="169"/>
        <v>37.536</v>
      </c>
      <c r="G1226" s="288">
        <v>2.5925599999999998</v>
      </c>
      <c r="H1226" s="288">
        <v>3.84</v>
      </c>
      <c r="I1226" s="288">
        <v>31.103440000000003</v>
      </c>
      <c r="J1226" s="279">
        <v>1304.3600000000001</v>
      </c>
      <c r="K1226" s="288">
        <v>31.103440000000003</v>
      </c>
      <c r="L1226" s="279">
        <v>1304.3600000000001</v>
      </c>
      <c r="M1226" s="290">
        <f t="shared" si="170"/>
        <v>0.023845748106351008</v>
      </c>
      <c r="N1226" s="285">
        <v>289.83</v>
      </c>
      <c r="O1226" s="289">
        <f t="shared" si="171"/>
        <v>6.911213173663712</v>
      </c>
      <c r="P1226" s="285">
        <f t="shared" si="172"/>
        <v>1430.7448863810605</v>
      </c>
      <c r="Q1226" s="291">
        <f t="shared" si="173"/>
        <v>414.6727904198227</v>
      </c>
    </row>
    <row r="1227" spans="1:17" ht="11.25">
      <c r="A1227" s="881"/>
      <c r="B1227" s="232">
        <v>7</v>
      </c>
      <c r="C1227" s="272" t="s">
        <v>909</v>
      </c>
      <c r="D1227" s="232">
        <v>23</v>
      </c>
      <c r="E1227" s="232">
        <v>1987</v>
      </c>
      <c r="F1227" s="288">
        <f t="shared" si="169"/>
        <v>34.760999999999996</v>
      </c>
      <c r="G1227" s="288">
        <v>3.04344</v>
      </c>
      <c r="H1227" s="288">
        <v>3.52</v>
      </c>
      <c r="I1227" s="288">
        <v>28.19756</v>
      </c>
      <c r="J1227" s="279">
        <v>1181.23</v>
      </c>
      <c r="K1227" s="288">
        <v>28.19756</v>
      </c>
      <c r="L1227" s="279">
        <v>1181.23</v>
      </c>
      <c r="M1227" s="290">
        <f t="shared" si="170"/>
        <v>0.023871354435630654</v>
      </c>
      <c r="N1227" s="285">
        <v>289.83</v>
      </c>
      <c r="O1227" s="289">
        <f t="shared" si="171"/>
        <v>6.918634656078832</v>
      </c>
      <c r="P1227" s="285">
        <f t="shared" si="172"/>
        <v>1432.2812661378393</v>
      </c>
      <c r="Q1227" s="291">
        <f t="shared" si="173"/>
        <v>415.1180793647299</v>
      </c>
    </row>
    <row r="1228" spans="1:17" ht="11.25">
      <c r="A1228" s="881"/>
      <c r="B1228" s="232">
        <v>8</v>
      </c>
      <c r="C1228" s="272" t="s">
        <v>910</v>
      </c>
      <c r="D1228" s="232">
        <v>14</v>
      </c>
      <c r="E1228" s="232">
        <v>1992</v>
      </c>
      <c r="F1228" s="288">
        <f t="shared" si="169"/>
        <v>22.788000000000004</v>
      </c>
      <c r="G1228" s="288">
        <v>2.0853200000000003</v>
      </c>
      <c r="H1228" s="288">
        <v>2.24</v>
      </c>
      <c r="I1228" s="288">
        <v>18.462680000000002</v>
      </c>
      <c r="J1228" s="279">
        <v>773.29</v>
      </c>
      <c r="K1228" s="288">
        <v>18.462680000000002</v>
      </c>
      <c r="L1228" s="279">
        <v>773.29</v>
      </c>
      <c r="M1228" s="290">
        <f t="shared" si="170"/>
        <v>0.023875493023315965</v>
      </c>
      <c r="N1228" s="285">
        <v>289.83</v>
      </c>
      <c r="O1228" s="289">
        <f t="shared" si="171"/>
        <v>6.919834142947666</v>
      </c>
      <c r="P1228" s="285">
        <f t="shared" si="172"/>
        <v>1432.5295813989578</v>
      </c>
      <c r="Q1228" s="291">
        <f t="shared" si="173"/>
        <v>415.1900485768599</v>
      </c>
    </row>
    <row r="1229" spans="1:17" ht="11.25">
      <c r="A1229" s="882"/>
      <c r="B1229" s="245">
        <v>9</v>
      </c>
      <c r="C1229" s="272" t="s">
        <v>911</v>
      </c>
      <c r="D1229" s="232">
        <v>45</v>
      </c>
      <c r="E1229" s="232" t="s">
        <v>71</v>
      </c>
      <c r="F1229" s="288">
        <f t="shared" si="169"/>
        <v>68.775</v>
      </c>
      <c r="G1229" s="288">
        <v>5.41056</v>
      </c>
      <c r="H1229" s="288">
        <v>7.2</v>
      </c>
      <c r="I1229" s="288">
        <v>56.164440000000006</v>
      </c>
      <c r="J1229" s="279">
        <v>2342.55</v>
      </c>
      <c r="K1229" s="288">
        <v>56.164440000000006</v>
      </c>
      <c r="L1229" s="279">
        <v>2342.55</v>
      </c>
      <c r="M1229" s="290">
        <f t="shared" si="170"/>
        <v>0.02397576999423705</v>
      </c>
      <c r="N1229" s="285">
        <v>289.83</v>
      </c>
      <c r="O1229" s="289">
        <f t="shared" si="171"/>
        <v>6.948897417429724</v>
      </c>
      <c r="P1229" s="285">
        <f t="shared" si="172"/>
        <v>1438.546199654223</v>
      </c>
      <c r="Q1229" s="291">
        <f t="shared" si="173"/>
        <v>416.9338450457834</v>
      </c>
    </row>
    <row r="1230" spans="1:17" ht="12" thickBot="1">
      <c r="A1230" s="883"/>
      <c r="B1230" s="246">
        <v>10</v>
      </c>
      <c r="C1230" s="276" t="s">
        <v>912</v>
      </c>
      <c r="D1230" s="246">
        <v>46</v>
      </c>
      <c r="E1230" s="246">
        <v>1985</v>
      </c>
      <c r="F1230" s="288">
        <f t="shared" si="169"/>
        <v>67.00999999999999</v>
      </c>
      <c r="G1230" s="292">
        <v>3.9452</v>
      </c>
      <c r="H1230" s="292">
        <v>7.2</v>
      </c>
      <c r="I1230" s="292">
        <v>55.864799999999995</v>
      </c>
      <c r="J1230" s="281">
        <v>2329.63</v>
      </c>
      <c r="K1230" s="292">
        <v>55.864799999999995</v>
      </c>
      <c r="L1230" s="281">
        <v>2329.63</v>
      </c>
      <c r="M1230" s="294">
        <f t="shared" si="170"/>
        <v>0.023980117014289818</v>
      </c>
      <c r="N1230" s="293">
        <v>289.83</v>
      </c>
      <c r="O1230" s="293">
        <f t="shared" si="171"/>
        <v>6.9501573142516175</v>
      </c>
      <c r="P1230" s="293">
        <f t="shared" si="172"/>
        <v>1438.807020857389</v>
      </c>
      <c r="Q1230" s="295">
        <f t="shared" si="173"/>
        <v>417.0094388550971</v>
      </c>
    </row>
    <row r="1231" spans="1:17" ht="11.25">
      <c r="A1231" s="884" t="s">
        <v>12</v>
      </c>
      <c r="B1231" s="39">
        <v>1</v>
      </c>
      <c r="C1231" s="238" t="s">
        <v>913</v>
      </c>
      <c r="D1231" s="39">
        <v>8</v>
      </c>
      <c r="E1231" s="39" t="s">
        <v>71</v>
      </c>
      <c r="F1231" s="429">
        <f t="shared" si="169"/>
        <v>10.578</v>
      </c>
      <c r="G1231" s="429">
        <v>0</v>
      </c>
      <c r="H1231" s="429">
        <v>0</v>
      </c>
      <c r="I1231" s="429">
        <v>10.578</v>
      </c>
      <c r="J1231" s="360">
        <v>368.07</v>
      </c>
      <c r="K1231" s="429">
        <v>10.578</v>
      </c>
      <c r="L1231" s="357">
        <v>368.07</v>
      </c>
      <c r="M1231" s="226">
        <f t="shared" si="170"/>
        <v>0.02873909854103839</v>
      </c>
      <c r="N1231" s="177">
        <v>289.83</v>
      </c>
      <c r="O1231" s="177">
        <f t="shared" si="171"/>
        <v>8.329452930149156</v>
      </c>
      <c r="P1231" s="177">
        <f t="shared" si="172"/>
        <v>1724.3459124623032</v>
      </c>
      <c r="Q1231" s="305">
        <f t="shared" si="173"/>
        <v>499.76717580894933</v>
      </c>
    </row>
    <row r="1232" spans="1:17" ht="11.25">
      <c r="A1232" s="885"/>
      <c r="B1232" s="80">
        <v>2</v>
      </c>
      <c r="C1232" s="49" t="s">
        <v>914</v>
      </c>
      <c r="D1232" s="41">
        <v>50</v>
      </c>
      <c r="E1232" s="41">
        <v>1976</v>
      </c>
      <c r="F1232" s="185">
        <f t="shared" si="169"/>
        <v>64.253</v>
      </c>
      <c r="G1232" s="185">
        <v>3.32524</v>
      </c>
      <c r="H1232" s="185">
        <v>8</v>
      </c>
      <c r="I1232" s="185">
        <v>52.92776</v>
      </c>
      <c r="J1232" s="317">
        <v>1828.5</v>
      </c>
      <c r="K1232" s="185">
        <v>52.92776</v>
      </c>
      <c r="L1232" s="317">
        <v>1828.5</v>
      </c>
      <c r="M1232" s="227">
        <f t="shared" si="170"/>
        <v>0.028945999453103638</v>
      </c>
      <c r="N1232" s="310">
        <v>289.83</v>
      </c>
      <c r="O1232" s="310">
        <f t="shared" si="171"/>
        <v>8.389419021493026</v>
      </c>
      <c r="P1232" s="177">
        <f t="shared" si="172"/>
        <v>1736.7599671862183</v>
      </c>
      <c r="Q1232" s="311">
        <f t="shared" si="173"/>
        <v>503.36514128958163</v>
      </c>
    </row>
    <row r="1233" spans="1:17" ht="11.25">
      <c r="A1233" s="885"/>
      <c r="B1233" s="80">
        <v>3</v>
      </c>
      <c r="C1233" s="49" t="s">
        <v>915</v>
      </c>
      <c r="D1233" s="41">
        <v>73</v>
      </c>
      <c r="E1233" s="41">
        <v>1976</v>
      </c>
      <c r="F1233" s="185">
        <f t="shared" si="169"/>
        <v>78.732</v>
      </c>
      <c r="G1233" s="185">
        <v>4.999357</v>
      </c>
      <c r="H1233" s="185">
        <v>11.52</v>
      </c>
      <c r="I1233" s="185">
        <v>62.212643</v>
      </c>
      <c r="J1233" s="317">
        <v>2115.62</v>
      </c>
      <c r="K1233" s="185">
        <v>62.212643</v>
      </c>
      <c r="L1233" s="317">
        <v>2115.62</v>
      </c>
      <c r="M1233" s="227">
        <f t="shared" si="170"/>
        <v>0.029406340930790975</v>
      </c>
      <c r="N1233" s="310">
        <v>289.83</v>
      </c>
      <c r="O1233" s="310">
        <f t="shared" si="171"/>
        <v>8.522839791971148</v>
      </c>
      <c r="P1233" s="177">
        <f t="shared" si="172"/>
        <v>1764.3804558474585</v>
      </c>
      <c r="Q1233" s="311">
        <f t="shared" si="173"/>
        <v>511.3703875182689</v>
      </c>
    </row>
    <row r="1234" spans="1:17" ht="11.25">
      <c r="A1234" s="886"/>
      <c r="B1234" s="41">
        <v>4</v>
      </c>
      <c r="C1234" s="49" t="s">
        <v>916</v>
      </c>
      <c r="D1234" s="41">
        <v>8</v>
      </c>
      <c r="E1234" s="41">
        <v>1982</v>
      </c>
      <c r="F1234" s="185">
        <f t="shared" si="169"/>
        <v>15.135000000000002</v>
      </c>
      <c r="G1234" s="185">
        <v>1.1668770000000002</v>
      </c>
      <c r="H1234" s="185">
        <v>1.28</v>
      </c>
      <c r="I1234" s="185">
        <v>12.688123000000001</v>
      </c>
      <c r="J1234" s="317">
        <v>427.72</v>
      </c>
      <c r="K1234" s="185">
        <v>12.688123000000001</v>
      </c>
      <c r="L1234" s="317">
        <v>427.72</v>
      </c>
      <c r="M1234" s="227">
        <f t="shared" si="170"/>
        <v>0.029664553913775368</v>
      </c>
      <c r="N1234" s="310">
        <v>289.83</v>
      </c>
      <c r="O1234" s="310">
        <f t="shared" si="171"/>
        <v>8.597677660829515</v>
      </c>
      <c r="P1234" s="177">
        <f t="shared" si="172"/>
        <v>1779.873234826522</v>
      </c>
      <c r="Q1234" s="311">
        <f t="shared" si="173"/>
        <v>515.8606596497709</v>
      </c>
    </row>
    <row r="1235" spans="1:17" ht="11.25">
      <c r="A1235" s="886"/>
      <c r="B1235" s="41">
        <v>5</v>
      </c>
      <c r="C1235" s="49" t="s">
        <v>917</v>
      </c>
      <c r="D1235" s="41">
        <v>74</v>
      </c>
      <c r="E1235" s="41">
        <v>1982</v>
      </c>
      <c r="F1235" s="185">
        <f t="shared" si="169"/>
        <v>80.155</v>
      </c>
      <c r="G1235" s="185">
        <v>4.45244</v>
      </c>
      <c r="H1235" s="185">
        <v>11.52</v>
      </c>
      <c r="I1235" s="185">
        <v>64.18256000000001</v>
      </c>
      <c r="J1235" s="317">
        <v>2117.32</v>
      </c>
      <c r="K1235" s="185">
        <v>64.18256000000001</v>
      </c>
      <c r="L1235" s="317">
        <v>2117.32</v>
      </c>
      <c r="M1235" s="227">
        <f t="shared" si="170"/>
        <v>0.03031311280297735</v>
      </c>
      <c r="N1235" s="310">
        <v>289.83</v>
      </c>
      <c r="O1235" s="310">
        <f t="shared" si="171"/>
        <v>8.785649483686925</v>
      </c>
      <c r="P1235" s="177">
        <f t="shared" si="172"/>
        <v>1818.786768178641</v>
      </c>
      <c r="Q1235" s="311">
        <f t="shared" si="173"/>
        <v>527.1389690212155</v>
      </c>
    </row>
    <row r="1236" spans="1:17" ht="11.25">
      <c r="A1236" s="886"/>
      <c r="B1236" s="41">
        <v>6</v>
      </c>
      <c r="C1236" s="49" t="s">
        <v>918</v>
      </c>
      <c r="D1236" s="41">
        <v>54</v>
      </c>
      <c r="E1236" s="41">
        <v>1981</v>
      </c>
      <c r="F1236" s="185">
        <f t="shared" si="169"/>
        <v>58.127</v>
      </c>
      <c r="G1236" s="185">
        <v>5.659558</v>
      </c>
      <c r="H1236" s="185">
        <v>0.52</v>
      </c>
      <c r="I1236" s="185">
        <v>51.947442</v>
      </c>
      <c r="J1236" s="317">
        <v>1708.74</v>
      </c>
      <c r="K1236" s="185">
        <v>51.947442</v>
      </c>
      <c r="L1236" s="317">
        <v>1708.74</v>
      </c>
      <c r="M1236" s="227">
        <f t="shared" si="170"/>
        <v>0.030401021805540926</v>
      </c>
      <c r="N1236" s="310">
        <v>289.83</v>
      </c>
      <c r="O1236" s="310">
        <f t="shared" si="171"/>
        <v>8.811128149899925</v>
      </c>
      <c r="P1236" s="177">
        <f t="shared" si="172"/>
        <v>1824.0613083324556</v>
      </c>
      <c r="Q1236" s="311">
        <f t="shared" si="173"/>
        <v>528.6676889939955</v>
      </c>
    </row>
    <row r="1237" spans="1:17" ht="11.25">
      <c r="A1237" s="886"/>
      <c r="B1237" s="41">
        <v>7</v>
      </c>
      <c r="C1237" s="49" t="s">
        <v>919</v>
      </c>
      <c r="D1237" s="41">
        <v>9</v>
      </c>
      <c r="E1237" s="41" t="s">
        <v>71</v>
      </c>
      <c r="F1237" s="185">
        <f t="shared" si="169"/>
        <v>15.834000000000001</v>
      </c>
      <c r="G1237" s="185">
        <v>0</v>
      </c>
      <c r="H1237" s="185">
        <v>0</v>
      </c>
      <c r="I1237" s="185">
        <v>15.834000000000001</v>
      </c>
      <c r="J1237" s="317">
        <v>513.61</v>
      </c>
      <c r="K1237" s="185">
        <v>15.834000000000001</v>
      </c>
      <c r="L1237" s="317">
        <v>513.61</v>
      </c>
      <c r="M1237" s="227">
        <f t="shared" si="170"/>
        <v>0.030828839002355876</v>
      </c>
      <c r="N1237" s="310">
        <v>289.83</v>
      </c>
      <c r="O1237" s="310">
        <f t="shared" si="171"/>
        <v>8.935122408052804</v>
      </c>
      <c r="P1237" s="177">
        <f t="shared" si="172"/>
        <v>1849.7303401413526</v>
      </c>
      <c r="Q1237" s="311">
        <f t="shared" si="173"/>
        <v>536.1073444831682</v>
      </c>
    </row>
    <row r="1238" spans="1:17" ht="11.25">
      <c r="A1238" s="886"/>
      <c r="B1238" s="41">
        <v>8</v>
      </c>
      <c r="C1238" s="49" t="s">
        <v>920</v>
      </c>
      <c r="D1238" s="41">
        <v>7</v>
      </c>
      <c r="E1238" s="41">
        <v>1986</v>
      </c>
      <c r="F1238" s="185">
        <f t="shared" si="169"/>
        <v>13.877000000000002</v>
      </c>
      <c r="G1238" s="185">
        <v>1.1272</v>
      </c>
      <c r="H1238" s="185">
        <v>1.12</v>
      </c>
      <c r="I1238" s="185">
        <v>11.629800000000001</v>
      </c>
      <c r="J1238" s="317">
        <v>374.89</v>
      </c>
      <c r="K1238" s="185">
        <v>11.629800000000001</v>
      </c>
      <c r="L1238" s="317">
        <v>374.89</v>
      </c>
      <c r="M1238" s="227">
        <f t="shared" si="170"/>
        <v>0.031021899757262134</v>
      </c>
      <c r="N1238" s="310">
        <v>289.83</v>
      </c>
      <c r="O1238" s="310">
        <f t="shared" si="171"/>
        <v>8.991077206647283</v>
      </c>
      <c r="P1238" s="177">
        <f t="shared" si="172"/>
        <v>1861.3139854357282</v>
      </c>
      <c r="Q1238" s="311">
        <f t="shared" si="173"/>
        <v>539.4646323988371</v>
      </c>
    </row>
    <row r="1239" spans="1:17" ht="11.25">
      <c r="A1239" s="886"/>
      <c r="B1239" s="41">
        <v>9</v>
      </c>
      <c r="C1239" s="49" t="s">
        <v>921</v>
      </c>
      <c r="D1239" s="41">
        <v>18</v>
      </c>
      <c r="E1239" s="41">
        <v>1959</v>
      </c>
      <c r="F1239" s="185">
        <f t="shared" si="169"/>
        <v>25.903000000000002</v>
      </c>
      <c r="G1239" s="185">
        <v>1.2399200000000001</v>
      </c>
      <c r="H1239" s="185">
        <v>0.18</v>
      </c>
      <c r="I1239" s="185">
        <v>24.48308</v>
      </c>
      <c r="J1239" s="317">
        <v>749.42</v>
      </c>
      <c r="K1239" s="185">
        <v>24.48308</v>
      </c>
      <c r="L1239" s="317">
        <v>749.42</v>
      </c>
      <c r="M1239" s="227">
        <f t="shared" si="170"/>
        <v>0.03266937098022471</v>
      </c>
      <c r="N1239" s="41">
        <v>289.83</v>
      </c>
      <c r="O1239" s="310">
        <f t="shared" si="171"/>
        <v>9.468563791198527</v>
      </c>
      <c r="P1239" s="177">
        <f t="shared" si="172"/>
        <v>1960.1622588134826</v>
      </c>
      <c r="Q1239" s="311">
        <f t="shared" si="173"/>
        <v>568.1138274719117</v>
      </c>
    </row>
    <row r="1240" spans="1:17" ht="12" thickBot="1">
      <c r="A1240" s="887"/>
      <c r="B1240" s="46">
        <v>10</v>
      </c>
      <c r="C1240" s="51" t="s">
        <v>922</v>
      </c>
      <c r="D1240" s="46">
        <v>8</v>
      </c>
      <c r="E1240" s="46">
        <v>1955</v>
      </c>
      <c r="F1240" s="228">
        <f t="shared" si="169"/>
        <v>15.999</v>
      </c>
      <c r="G1240" s="228">
        <v>0</v>
      </c>
      <c r="H1240" s="228">
        <v>0</v>
      </c>
      <c r="I1240" s="228">
        <v>15.999</v>
      </c>
      <c r="J1240" s="358">
        <v>410.07</v>
      </c>
      <c r="K1240" s="228">
        <v>15.999</v>
      </c>
      <c r="L1240" s="358">
        <v>410.07</v>
      </c>
      <c r="M1240" s="230">
        <f t="shared" si="170"/>
        <v>0.03901529007242666</v>
      </c>
      <c r="N1240" s="46">
        <v>289.83</v>
      </c>
      <c r="O1240" s="229">
        <f t="shared" si="171"/>
        <v>11.307801521691419</v>
      </c>
      <c r="P1240" s="229">
        <f t="shared" si="172"/>
        <v>2340.9174043455996</v>
      </c>
      <c r="Q1240" s="308">
        <f t="shared" si="173"/>
        <v>678.4680913014851</v>
      </c>
    </row>
    <row r="1243" spans="1:17" ht="15">
      <c r="A1243" s="906" t="s">
        <v>925</v>
      </c>
      <c r="B1243" s="906"/>
      <c r="C1243" s="906"/>
      <c r="D1243" s="906"/>
      <c r="E1243" s="906"/>
      <c r="F1243" s="906"/>
      <c r="G1243" s="906"/>
      <c r="H1243" s="906"/>
      <c r="I1243" s="906"/>
      <c r="J1243" s="906"/>
      <c r="K1243" s="906"/>
      <c r="L1243" s="906"/>
      <c r="M1243" s="906"/>
      <c r="N1243" s="906"/>
      <c r="O1243" s="906"/>
      <c r="P1243" s="906"/>
      <c r="Q1243" s="906"/>
    </row>
    <row r="1244" spans="1:17" ht="13.5" thickBot="1">
      <c r="A1244" s="907" t="s">
        <v>708</v>
      </c>
      <c r="B1244" s="907"/>
      <c r="C1244" s="907"/>
      <c r="D1244" s="907"/>
      <c r="E1244" s="907"/>
      <c r="F1244" s="907"/>
      <c r="G1244" s="907"/>
      <c r="H1244" s="907"/>
      <c r="I1244" s="907"/>
      <c r="J1244" s="907"/>
      <c r="K1244" s="907"/>
      <c r="L1244" s="907"/>
      <c r="M1244" s="907"/>
      <c r="N1244" s="907"/>
      <c r="O1244" s="907"/>
      <c r="P1244" s="907"/>
      <c r="Q1244" s="907"/>
    </row>
    <row r="1245" spans="1:17" ht="11.25">
      <c r="A1245" s="890" t="s">
        <v>1</v>
      </c>
      <c r="B1245" s="892" t="s">
        <v>0</v>
      </c>
      <c r="C1245" s="888" t="s">
        <v>2</v>
      </c>
      <c r="D1245" s="888" t="s">
        <v>3</v>
      </c>
      <c r="E1245" s="888" t="s">
        <v>13</v>
      </c>
      <c r="F1245" s="896" t="s">
        <v>14</v>
      </c>
      <c r="G1245" s="897"/>
      <c r="H1245" s="897"/>
      <c r="I1245" s="898"/>
      <c r="J1245" s="888" t="s">
        <v>4</v>
      </c>
      <c r="K1245" s="888" t="s">
        <v>15</v>
      </c>
      <c r="L1245" s="888" t="s">
        <v>5</v>
      </c>
      <c r="M1245" s="888" t="s">
        <v>6</v>
      </c>
      <c r="N1245" s="888" t="s">
        <v>16</v>
      </c>
      <c r="O1245" s="888" t="s">
        <v>17</v>
      </c>
      <c r="P1245" s="876" t="s">
        <v>25</v>
      </c>
      <c r="Q1245" s="878" t="s">
        <v>26</v>
      </c>
    </row>
    <row r="1246" spans="1:17" ht="33.75">
      <c r="A1246" s="891"/>
      <c r="B1246" s="893"/>
      <c r="C1246" s="894"/>
      <c r="D1246" s="889"/>
      <c r="E1246" s="889"/>
      <c r="F1246" s="36" t="s">
        <v>18</v>
      </c>
      <c r="G1246" s="36" t="s">
        <v>19</v>
      </c>
      <c r="H1246" s="36" t="s">
        <v>20</v>
      </c>
      <c r="I1246" s="36" t="s">
        <v>21</v>
      </c>
      <c r="J1246" s="889"/>
      <c r="K1246" s="889"/>
      <c r="L1246" s="889"/>
      <c r="M1246" s="889"/>
      <c r="N1246" s="889"/>
      <c r="O1246" s="889"/>
      <c r="P1246" s="877"/>
      <c r="Q1246" s="879"/>
    </row>
    <row r="1247" spans="1:17" ht="12" thickBot="1">
      <c r="A1247" s="891"/>
      <c r="B1247" s="893"/>
      <c r="C1247" s="895"/>
      <c r="D1247" s="59" t="s">
        <v>7</v>
      </c>
      <c r="E1247" s="59" t="s">
        <v>8</v>
      </c>
      <c r="F1247" s="59" t="s">
        <v>9</v>
      </c>
      <c r="G1247" s="59" t="s">
        <v>9</v>
      </c>
      <c r="H1247" s="59" t="s">
        <v>9</v>
      </c>
      <c r="I1247" s="59" t="s">
        <v>9</v>
      </c>
      <c r="J1247" s="59" t="s">
        <v>22</v>
      </c>
      <c r="K1247" s="59" t="s">
        <v>9</v>
      </c>
      <c r="L1247" s="59" t="s">
        <v>22</v>
      </c>
      <c r="M1247" s="59" t="s">
        <v>23</v>
      </c>
      <c r="N1247" s="59" t="s">
        <v>10</v>
      </c>
      <c r="O1247" s="59" t="s">
        <v>24</v>
      </c>
      <c r="P1247" s="66" t="s">
        <v>27</v>
      </c>
      <c r="Q1247" s="61" t="s">
        <v>28</v>
      </c>
    </row>
    <row r="1248" spans="1:17" ht="11.25">
      <c r="A1248" s="899" t="s">
        <v>11</v>
      </c>
      <c r="B1248" s="98">
        <v>1</v>
      </c>
      <c r="C1248" s="258" t="s">
        <v>926</v>
      </c>
      <c r="D1248" s="259">
        <v>20</v>
      </c>
      <c r="E1248" s="259">
        <v>2011</v>
      </c>
      <c r="F1248" s="475">
        <v>19.977</v>
      </c>
      <c r="G1248" s="475">
        <f>35.79*0.051</f>
        <v>1.8252899999999999</v>
      </c>
      <c r="H1248" s="475">
        <f>3.425-G1248</f>
        <v>1.59971</v>
      </c>
      <c r="I1248" s="475">
        <f>+F1248-G1248-H1248</f>
        <v>16.552</v>
      </c>
      <c r="J1248" s="653"/>
      <c r="K1248" s="475">
        <f>+I1248</f>
        <v>16.552</v>
      </c>
      <c r="L1248" s="477">
        <v>1113.2</v>
      </c>
      <c r="M1248" s="639">
        <f>K1248/L1248</f>
        <v>0.01486884656845131</v>
      </c>
      <c r="N1248" s="203">
        <v>342.3</v>
      </c>
      <c r="O1248" s="186">
        <f>M1248*N1248</f>
        <v>5.089606180380883</v>
      </c>
      <c r="P1248" s="186">
        <f>M1248*60*1000</f>
        <v>892.1307941070786</v>
      </c>
      <c r="Q1248" s="488">
        <f>P1248*N1248/1000</f>
        <v>305.376370822853</v>
      </c>
    </row>
    <row r="1249" spans="1:17" ht="11.25">
      <c r="A1249" s="900"/>
      <c r="B1249" s="95">
        <v>2</v>
      </c>
      <c r="C1249" s="16"/>
      <c r="D1249" s="31"/>
      <c r="E1249" s="31"/>
      <c r="F1249" s="249"/>
      <c r="G1249" s="146"/>
      <c r="H1249" s="146"/>
      <c r="I1249" s="146"/>
      <c r="J1249" s="174"/>
      <c r="K1249" s="146"/>
      <c r="L1249" s="176"/>
      <c r="M1249" s="133"/>
      <c r="N1249" s="203"/>
      <c r="O1249" s="132"/>
      <c r="P1249" s="252"/>
      <c r="Q1249" s="134"/>
    </row>
    <row r="1250" spans="1:17" ht="11.25">
      <c r="A1250" s="900"/>
      <c r="B1250" s="95">
        <v>3</v>
      </c>
      <c r="C1250" s="16"/>
      <c r="D1250" s="31"/>
      <c r="E1250" s="31"/>
      <c r="F1250" s="249"/>
      <c r="G1250" s="146"/>
      <c r="H1250" s="146"/>
      <c r="I1250" s="146"/>
      <c r="J1250" s="174"/>
      <c r="K1250" s="146"/>
      <c r="L1250" s="176"/>
      <c r="M1250" s="133"/>
      <c r="N1250" s="203"/>
      <c r="O1250" s="132"/>
      <c r="P1250" s="252"/>
      <c r="Q1250" s="134"/>
    </row>
    <row r="1251" spans="1:17" ht="11.25">
      <c r="A1251" s="900"/>
      <c r="B1251" s="31">
        <v>4</v>
      </c>
      <c r="C1251" s="16"/>
      <c r="D1251" s="31"/>
      <c r="E1251" s="31"/>
      <c r="F1251" s="249"/>
      <c r="G1251" s="146"/>
      <c r="H1251" s="146"/>
      <c r="I1251" s="146"/>
      <c r="J1251" s="174"/>
      <c r="K1251" s="146"/>
      <c r="L1251" s="176"/>
      <c r="M1251" s="133"/>
      <c r="N1251" s="203"/>
      <c r="O1251" s="132"/>
      <c r="P1251" s="252"/>
      <c r="Q1251" s="134"/>
    </row>
    <row r="1252" spans="1:17" ht="11.25">
      <c r="A1252" s="900"/>
      <c r="B1252" s="31">
        <v>5</v>
      </c>
      <c r="C1252" s="16"/>
      <c r="D1252" s="31"/>
      <c r="E1252" s="31"/>
      <c r="F1252" s="249"/>
      <c r="G1252" s="146"/>
      <c r="H1252" s="146"/>
      <c r="I1252" s="146"/>
      <c r="J1252" s="174"/>
      <c r="K1252" s="146"/>
      <c r="L1252" s="176"/>
      <c r="M1252" s="133"/>
      <c r="N1252" s="203"/>
      <c r="O1252" s="132"/>
      <c r="P1252" s="252"/>
      <c r="Q1252" s="134"/>
    </row>
    <row r="1253" spans="1:17" ht="11.25">
      <c r="A1253" s="900"/>
      <c r="B1253" s="31">
        <v>6</v>
      </c>
      <c r="C1253" s="16"/>
      <c r="D1253" s="31"/>
      <c r="E1253" s="31"/>
      <c r="F1253" s="249"/>
      <c r="G1253" s="146"/>
      <c r="H1253" s="146"/>
      <c r="I1253" s="146"/>
      <c r="J1253" s="174"/>
      <c r="K1253" s="146"/>
      <c r="L1253" s="176"/>
      <c r="M1253" s="133"/>
      <c r="N1253" s="203"/>
      <c r="O1253" s="132"/>
      <c r="P1253" s="252"/>
      <c r="Q1253" s="134"/>
    </row>
    <row r="1254" spans="1:17" ht="11.25">
      <c r="A1254" s="900"/>
      <c r="B1254" s="31">
        <v>7</v>
      </c>
      <c r="C1254" s="16"/>
      <c r="D1254" s="31"/>
      <c r="E1254" s="31"/>
      <c r="F1254" s="249"/>
      <c r="G1254" s="146"/>
      <c r="H1254" s="146"/>
      <c r="I1254" s="146"/>
      <c r="J1254" s="174"/>
      <c r="K1254" s="146"/>
      <c r="L1254" s="176"/>
      <c r="M1254" s="133"/>
      <c r="N1254" s="203"/>
      <c r="O1254" s="132"/>
      <c r="P1254" s="252"/>
      <c r="Q1254" s="134"/>
    </row>
    <row r="1255" spans="1:17" ht="12" thickBot="1">
      <c r="A1255" s="901"/>
      <c r="B1255" s="64">
        <v>8</v>
      </c>
      <c r="C1255" s="65"/>
      <c r="D1255" s="64"/>
      <c r="E1255" s="64"/>
      <c r="F1255" s="832"/>
      <c r="G1255" s="216"/>
      <c r="H1255" s="216"/>
      <c r="I1255" s="216"/>
      <c r="J1255" s="623"/>
      <c r="K1255" s="216"/>
      <c r="L1255" s="334"/>
      <c r="M1255" s="136"/>
      <c r="N1255" s="833"/>
      <c r="O1255" s="135"/>
      <c r="P1255" s="655"/>
      <c r="Q1255" s="137"/>
    </row>
    <row r="1256" spans="1:17" ht="11.25">
      <c r="A1256" s="902" t="s">
        <v>29</v>
      </c>
      <c r="B1256" s="67">
        <v>1</v>
      </c>
      <c r="C1256" s="199" t="s">
        <v>931</v>
      </c>
      <c r="D1256" s="150">
        <v>20</v>
      </c>
      <c r="E1256" s="150" t="s">
        <v>71</v>
      </c>
      <c r="F1256" s="584">
        <v>21.429</v>
      </c>
      <c r="G1256" s="584">
        <f>31*0.051</f>
        <v>1.581</v>
      </c>
      <c r="H1256" s="584">
        <f>20*0.16</f>
        <v>3.2</v>
      </c>
      <c r="I1256" s="584">
        <f aca="true" t="shared" si="174" ref="I1256:I1271">+F1256-G1256-H1256</f>
        <v>16.648</v>
      </c>
      <c r="J1256" s="831"/>
      <c r="K1256" s="584">
        <f aca="true" t="shared" si="175" ref="K1256:K1285">+I1256</f>
        <v>16.648</v>
      </c>
      <c r="L1256" s="585">
        <v>1062</v>
      </c>
      <c r="M1256" s="541">
        <f aca="true" t="shared" si="176" ref="M1256:M1285">K1256/L1256</f>
        <v>0.01567608286252354</v>
      </c>
      <c r="N1256" s="542">
        <v>342.3</v>
      </c>
      <c r="O1256" s="543">
        <f aca="true" t="shared" si="177" ref="O1256:O1285">M1256*N1256</f>
        <v>5.365923163841808</v>
      </c>
      <c r="P1256" s="543">
        <f aca="true" t="shared" si="178" ref="P1256:P1285">M1256*60*1000</f>
        <v>940.5649717514124</v>
      </c>
      <c r="Q1256" s="544">
        <f aca="true" t="shared" si="179" ref="Q1256:Q1285">P1256*N1256/1000</f>
        <v>321.95538983050847</v>
      </c>
    </row>
    <row r="1257" spans="1:17" ht="11.25">
      <c r="A1257" s="903"/>
      <c r="B1257" s="103">
        <v>2</v>
      </c>
      <c r="C1257" s="187" t="s">
        <v>928</v>
      </c>
      <c r="D1257" s="151">
        <v>65</v>
      </c>
      <c r="E1257" s="151" t="s">
        <v>71</v>
      </c>
      <c r="F1257" s="196">
        <v>53.5</v>
      </c>
      <c r="G1257" s="196">
        <f>80*0.051</f>
        <v>4.08</v>
      </c>
      <c r="H1257" s="196">
        <f>14.48-G1257</f>
        <v>10.4</v>
      </c>
      <c r="I1257" s="196">
        <f t="shared" si="174"/>
        <v>39.02</v>
      </c>
      <c r="J1257" s="617"/>
      <c r="K1257" s="196">
        <f t="shared" si="175"/>
        <v>39.02</v>
      </c>
      <c r="L1257" s="377">
        <v>2338.13</v>
      </c>
      <c r="M1257" s="541">
        <f t="shared" si="176"/>
        <v>0.016688550251696868</v>
      </c>
      <c r="N1257" s="542">
        <v>342.3</v>
      </c>
      <c r="O1257" s="543">
        <f t="shared" si="177"/>
        <v>5.712490751155838</v>
      </c>
      <c r="P1257" s="543">
        <f t="shared" si="178"/>
        <v>1001.3130151018122</v>
      </c>
      <c r="Q1257" s="544">
        <f t="shared" si="179"/>
        <v>342.7494450693503</v>
      </c>
    </row>
    <row r="1258" spans="1:17" ht="11.25">
      <c r="A1258" s="903"/>
      <c r="B1258" s="35">
        <v>3</v>
      </c>
      <c r="C1258" s="187" t="s">
        <v>930</v>
      </c>
      <c r="D1258" s="151">
        <v>32</v>
      </c>
      <c r="E1258" s="151" t="s">
        <v>71</v>
      </c>
      <c r="F1258" s="196">
        <v>37.46</v>
      </c>
      <c r="G1258" s="196">
        <f>39.3*0.051</f>
        <v>2.0042999999999997</v>
      </c>
      <c r="H1258" s="196">
        <v>5.12</v>
      </c>
      <c r="I1258" s="196">
        <f t="shared" si="174"/>
        <v>30.3357</v>
      </c>
      <c r="J1258" s="617"/>
      <c r="K1258" s="196">
        <f t="shared" si="175"/>
        <v>30.3357</v>
      </c>
      <c r="L1258" s="377">
        <v>1803.8</v>
      </c>
      <c r="M1258" s="159">
        <f t="shared" si="176"/>
        <v>0.016817662712052334</v>
      </c>
      <c r="N1258" s="542">
        <v>342.3</v>
      </c>
      <c r="O1258" s="543">
        <f t="shared" si="177"/>
        <v>5.756685946335514</v>
      </c>
      <c r="P1258" s="543">
        <f t="shared" si="178"/>
        <v>1009.0597627231401</v>
      </c>
      <c r="Q1258" s="162">
        <f t="shared" si="179"/>
        <v>345.40115678013086</v>
      </c>
    </row>
    <row r="1259" spans="1:17" ht="11.25">
      <c r="A1259" s="903"/>
      <c r="B1259" s="35">
        <v>4</v>
      </c>
      <c r="C1259" s="187" t="s">
        <v>935</v>
      </c>
      <c r="D1259" s="151">
        <v>30</v>
      </c>
      <c r="E1259" s="151" t="s">
        <v>71</v>
      </c>
      <c r="F1259" s="196">
        <v>34.754</v>
      </c>
      <c r="G1259" s="196">
        <f>47*0.051</f>
        <v>2.397</v>
      </c>
      <c r="H1259" s="196">
        <f>30*0.16</f>
        <v>4.8</v>
      </c>
      <c r="I1259" s="196">
        <f t="shared" si="174"/>
        <v>27.557</v>
      </c>
      <c r="J1259" s="617"/>
      <c r="K1259" s="196">
        <f t="shared" si="175"/>
        <v>27.557</v>
      </c>
      <c r="L1259" s="377">
        <v>1626.42</v>
      </c>
      <c r="M1259" s="159">
        <f t="shared" si="176"/>
        <v>0.016943347966699867</v>
      </c>
      <c r="N1259" s="542">
        <v>342.3</v>
      </c>
      <c r="O1259" s="161">
        <f t="shared" si="177"/>
        <v>5.799708009001365</v>
      </c>
      <c r="P1259" s="543">
        <f t="shared" si="178"/>
        <v>1016.600878001992</v>
      </c>
      <c r="Q1259" s="162">
        <f t="shared" si="179"/>
        <v>347.98248054008184</v>
      </c>
    </row>
    <row r="1260" spans="1:17" ht="11.25">
      <c r="A1260" s="903"/>
      <c r="B1260" s="35">
        <v>5</v>
      </c>
      <c r="C1260" s="187" t="s">
        <v>929</v>
      </c>
      <c r="D1260" s="151">
        <v>40</v>
      </c>
      <c r="E1260" s="151" t="s">
        <v>71</v>
      </c>
      <c r="F1260" s="196">
        <v>49.423</v>
      </c>
      <c r="G1260" s="196">
        <f>45*0.051</f>
        <v>2.295</v>
      </c>
      <c r="H1260" s="196">
        <v>7.2</v>
      </c>
      <c r="I1260" s="196">
        <f t="shared" si="174"/>
        <v>39.928</v>
      </c>
      <c r="J1260" s="617"/>
      <c r="K1260" s="196">
        <f t="shared" si="175"/>
        <v>39.928</v>
      </c>
      <c r="L1260" s="377">
        <v>2347.81</v>
      </c>
      <c r="M1260" s="159">
        <f t="shared" si="176"/>
        <v>0.017006486896299102</v>
      </c>
      <c r="N1260" s="542">
        <v>342.3</v>
      </c>
      <c r="O1260" s="161">
        <f t="shared" si="177"/>
        <v>5.821320464603183</v>
      </c>
      <c r="P1260" s="543">
        <f t="shared" si="178"/>
        <v>1020.3892137779462</v>
      </c>
      <c r="Q1260" s="162">
        <f t="shared" si="179"/>
        <v>349.27922787619104</v>
      </c>
    </row>
    <row r="1261" spans="1:17" ht="11.25">
      <c r="A1261" s="903"/>
      <c r="B1261" s="35">
        <v>6</v>
      </c>
      <c r="C1261" s="187" t="s">
        <v>934</v>
      </c>
      <c r="D1261" s="151">
        <v>20</v>
      </c>
      <c r="E1261" s="151" t="s">
        <v>71</v>
      </c>
      <c r="F1261" s="196">
        <v>28.081</v>
      </c>
      <c r="G1261" s="196">
        <f>33*0.051</f>
        <v>1.6829999999999998</v>
      </c>
      <c r="H1261" s="196">
        <f>25*0.16</f>
        <v>4</v>
      </c>
      <c r="I1261" s="196">
        <f t="shared" si="174"/>
        <v>22.398</v>
      </c>
      <c r="J1261" s="617"/>
      <c r="K1261" s="196">
        <f t="shared" si="175"/>
        <v>22.398</v>
      </c>
      <c r="L1261" s="377">
        <v>1276.41</v>
      </c>
      <c r="M1261" s="159">
        <f t="shared" si="176"/>
        <v>0.017547653183538202</v>
      </c>
      <c r="N1261" s="542">
        <v>342.3</v>
      </c>
      <c r="O1261" s="161">
        <f t="shared" si="177"/>
        <v>6.006561684725127</v>
      </c>
      <c r="P1261" s="543">
        <f t="shared" si="178"/>
        <v>1052.8591910122923</v>
      </c>
      <c r="Q1261" s="162">
        <f t="shared" si="179"/>
        <v>360.39370108350766</v>
      </c>
    </row>
    <row r="1262" spans="1:17" ht="11.25">
      <c r="A1262" s="903"/>
      <c r="B1262" s="35">
        <v>7</v>
      </c>
      <c r="C1262" s="187" t="s">
        <v>936</v>
      </c>
      <c r="D1262" s="151">
        <v>26</v>
      </c>
      <c r="E1262" s="151" t="s">
        <v>71</v>
      </c>
      <c r="F1262" s="196">
        <v>35.4</v>
      </c>
      <c r="G1262" s="196">
        <f>46.8*0.051</f>
        <v>2.3867999999999996</v>
      </c>
      <c r="H1262" s="196">
        <v>4.8</v>
      </c>
      <c r="I1262" s="196">
        <f t="shared" si="174"/>
        <v>28.213199999999997</v>
      </c>
      <c r="J1262" s="617"/>
      <c r="K1262" s="196">
        <f t="shared" si="175"/>
        <v>28.213199999999997</v>
      </c>
      <c r="L1262" s="377">
        <v>1592.1</v>
      </c>
      <c r="M1262" s="159">
        <f t="shared" si="176"/>
        <v>0.017720746184284906</v>
      </c>
      <c r="N1262" s="542">
        <v>342.3</v>
      </c>
      <c r="O1262" s="161">
        <f t="shared" si="177"/>
        <v>6.065811418880723</v>
      </c>
      <c r="P1262" s="543">
        <f t="shared" si="178"/>
        <v>1063.2447710570943</v>
      </c>
      <c r="Q1262" s="162">
        <f t="shared" si="179"/>
        <v>363.94868513284337</v>
      </c>
    </row>
    <row r="1263" spans="1:17" ht="11.25">
      <c r="A1263" s="903"/>
      <c r="B1263" s="35">
        <v>8</v>
      </c>
      <c r="C1263" s="187" t="s">
        <v>927</v>
      </c>
      <c r="D1263" s="151">
        <v>20</v>
      </c>
      <c r="E1263" s="151" t="s">
        <v>71</v>
      </c>
      <c r="F1263" s="196">
        <v>35</v>
      </c>
      <c r="G1263" s="196">
        <f>48.25*0.051</f>
        <v>2.46075</v>
      </c>
      <c r="H1263" s="196">
        <f>20*0.16</f>
        <v>3.2</v>
      </c>
      <c r="I1263" s="196">
        <f t="shared" si="174"/>
        <v>29.339250000000003</v>
      </c>
      <c r="J1263" s="617"/>
      <c r="K1263" s="196">
        <f t="shared" si="175"/>
        <v>29.339250000000003</v>
      </c>
      <c r="L1263" s="377">
        <v>1634.6</v>
      </c>
      <c r="M1263" s="159">
        <f t="shared" si="176"/>
        <v>0.017948886577756028</v>
      </c>
      <c r="N1263" s="542">
        <v>342.3</v>
      </c>
      <c r="O1263" s="161">
        <f t="shared" si="177"/>
        <v>6.143903875565888</v>
      </c>
      <c r="P1263" s="543">
        <f t="shared" si="178"/>
        <v>1076.9331946653617</v>
      </c>
      <c r="Q1263" s="162">
        <f t="shared" si="179"/>
        <v>368.6342325339533</v>
      </c>
    </row>
    <row r="1264" spans="1:17" ht="11.25">
      <c r="A1264" s="904"/>
      <c r="B1264" s="68">
        <v>9</v>
      </c>
      <c r="C1264" s="187" t="s">
        <v>932</v>
      </c>
      <c r="D1264" s="151">
        <v>25</v>
      </c>
      <c r="E1264" s="151" t="s">
        <v>71</v>
      </c>
      <c r="F1264" s="196">
        <v>30.291</v>
      </c>
      <c r="G1264" s="196">
        <f>48*0.051</f>
        <v>2.448</v>
      </c>
      <c r="H1264" s="196">
        <f>25*0.16</f>
        <v>4</v>
      </c>
      <c r="I1264" s="196">
        <f t="shared" si="174"/>
        <v>23.843</v>
      </c>
      <c r="J1264" s="617"/>
      <c r="K1264" s="196">
        <f t="shared" si="175"/>
        <v>23.843</v>
      </c>
      <c r="L1264" s="377">
        <v>1311.48</v>
      </c>
      <c r="M1264" s="159">
        <f t="shared" si="176"/>
        <v>0.018180223869216458</v>
      </c>
      <c r="N1264" s="542">
        <v>342.3</v>
      </c>
      <c r="O1264" s="161">
        <f t="shared" si="177"/>
        <v>6.223090630432794</v>
      </c>
      <c r="P1264" s="543">
        <f t="shared" si="178"/>
        <v>1090.8134321529874</v>
      </c>
      <c r="Q1264" s="162">
        <f t="shared" si="179"/>
        <v>373.38543782596764</v>
      </c>
    </row>
    <row r="1265" spans="1:17" ht="12" thickBot="1">
      <c r="A1265" s="905"/>
      <c r="B1265" s="38">
        <v>10</v>
      </c>
      <c r="C1265" s="195" t="s">
        <v>933</v>
      </c>
      <c r="D1265" s="152">
        <v>19</v>
      </c>
      <c r="E1265" s="152" t="s">
        <v>71</v>
      </c>
      <c r="F1265" s="197">
        <v>18</v>
      </c>
      <c r="G1265" s="197">
        <f>36*0.051</f>
        <v>1.8359999999999999</v>
      </c>
      <c r="H1265" s="197">
        <v>2.56</v>
      </c>
      <c r="I1265" s="196">
        <f t="shared" si="174"/>
        <v>13.604000000000001</v>
      </c>
      <c r="J1265" s="618"/>
      <c r="K1265" s="196">
        <f t="shared" si="175"/>
        <v>13.604000000000001</v>
      </c>
      <c r="L1265" s="378">
        <v>741.77</v>
      </c>
      <c r="M1265" s="191">
        <f t="shared" si="176"/>
        <v>0.01833991668576513</v>
      </c>
      <c r="N1265" s="198">
        <v>342.3</v>
      </c>
      <c r="O1265" s="192">
        <f t="shared" si="177"/>
        <v>6.277753481537404</v>
      </c>
      <c r="P1265" s="192">
        <f t="shared" si="178"/>
        <v>1100.3950011459078</v>
      </c>
      <c r="Q1265" s="193">
        <f t="shared" si="179"/>
        <v>376.66520889224427</v>
      </c>
    </row>
    <row r="1266" spans="1:17" ht="11.25">
      <c r="A1266" s="880" t="s">
        <v>30</v>
      </c>
      <c r="B1266" s="231">
        <v>1</v>
      </c>
      <c r="C1266" s="243" t="s">
        <v>941</v>
      </c>
      <c r="D1266" s="236">
        <v>45</v>
      </c>
      <c r="E1266" s="236" t="s">
        <v>71</v>
      </c>
      <c r="F1266" s="549">
        <v>54.551</v>
      </c>
      <c r="G1266" s="549">
        <f>30.5*0.051</f>
        <v>1.5554999999999999</v>
      </c>
      <c r="H1266" s="549">
        <f>5.876-G1266</f>
        <v>4.320500000000001</v>
      </c>
      <c r="I1266" s="549">
        <f t="shared" si="174"/>
        <v>48.675</v>
      </c>
      <c r="J1266" s="741"/>
      <c r="K1266" s="549">
        <f t="shared" si="175"/>
        <v>48.675</v>
      </c>
      <c r="L1266" s="518">
        <v>1713.13</v>
      </c>
      <c r="M1266" s="493">
        <f t="shared" si="176"/>
        <v>0.02841290503347673</v>
      </c>
      <c r="N1266" s="494">
        <v>342.3</v>
      </c>
      <c r="O1266" s="495">
        <f t="shared" si="177"/>
        <v>9.725737392959084</v>
      </c>
      <c r="P1266" s="495">
        <f t="shared" si="178"/>
        <v>1704.7743020086039</v>
      </c>
      <c r="Q1266" s="496">
        <f t="shared" si="179"/>
        <v>583.5442435775451</v>
      </c>
    </row>
    <row r="1267" spans="1:17" ht="11.25">
      <c r="A1267" s="881"/>
      <c r="B1267" s="232">
        <v>2</v>
      </c>
      <c r="C1267" s="244" t="s">
        <v>943</v>
      </c>
      <c r="D1267" s="233">
        <v>8</v>
      </c>
      <c r="E1267" s="233" t="s">
        <v>71</v>
      </c>
      <c r="F1267" s="476">
        <v>15.06</v>
      </c>
      <c r="G1267" s="476">
        <v>0.459</v>
      </c>
      <c r="H1267" s="476">
        <v>0.08</v>
      </c>
      <c r="I1267" s="476">
        <f t="shared" si="174"/>
        <v>14.521</v>
      </c>
      <c r="J1267" s="742"/>
      <c r="K1267" s="476">
        <f t="shared" si="175"/>
        <v>14.521</v>
      </c>
      <c r="L1267" s="478">
        <v>509.62</v>
      </c>
      <c r="M1267" s="387">
        <f t="shared" si="176"/>
        <v>0.028493779678976493</v>
      </c>
      <c r="N1267" s="494">
        <v>342.3</v>
      </c>
      <c r="O1267" s="373">
        <f t="shared" si="177"/>
        <v>9.753420784113654</v>
      </c>
      <c r="P1267" s="495">
        <f t="shared" si="178"/>
        <v>1709.6267807385896</v>
      </c>
      <c r="Q1267" s="497">
        <f t="shared" si="179"/>
        <v>585.2052470468192</v>
      </c>
    </row>
    <row r="1268" spans="1:17" ht="11.25">
      <c r="A1268" s="881"/>
      <c r="B1268" s="232">
        <v>3</v>
      </c>
      <c r="C1268" s="244" t="s">
        <v>946</v>
      </c>
      <c r="D1268" s="233">
        <v>2</v>
      </c>
      <c r="E1268" s="233" t="s">
        <v>71</v>
      </c>
      <c r="F1268" s="476">
        <v>3.272</v>
      </c>
      <c r="G1268" s="476">
        <v>0.15</v>
      </c>
      <c r="H1268" s="476">
        <f>2*0.01</f>
        <v>0.02</v>
      </c>
      <c r="I1268" s="476">
        <f t="shared" si="174"/>
        <v>3.102</v>
      </c>
      <c r="J1268" s="742"/>
      <c r="K1268" s="476">
        <f t="shared" si="175"/>
        <v>3.102</v>
      </c>
      <c r="L1268" s="478">
        <v>107.98</v>
      </c>
      <c r="M1268" s="387">
        <f t="shared" si="176"/>
        <v>0.028727542137432855</v>
      </c>
      <c r="N1268" s="494">
        <v>342.3</v>
      </c>
      <c r="O1268" s="373">
        <f t="shared" si="177"/>
        <v>9.833437673643267</v>
      </c>
      <c r="P1268" s="495">
        <f t="shared" si="178"/>
        <v>1723.6525282459713</v>
      </c>
      <c r="Q1268" s="497">
        <f t="shared" si="179"/>
        <v>590.006260418596</v>
      </c>
    </row>
    <row r="1269" spans="1:17" ht="11.25">
      <c r="A1269" s="881"/>
      <c r="B1269" s="232">
        <v>4</v>
      </c>
      <c r="C1269" s="244" t="s">
        <v>944</v>
      </c>
      <c r="D1269" s="233">
        <v>4</v>
      </c>
      <c r="E1269" s="233" t="s">
        <v>71</v>
      </c>
      <c r="F1269" s="476">
        <v>5.964</v>
      </c>
      <c r="G1269" s="476">
        <f>5.3*0.051</f>
        <v>0.2703</v>
      </c>
      <c r="H1269" s="476">
        <f>0.359-G1269</f>
        <v>0.0887</v>
      </c>
      <c r="I1269" s="476">
        <f t="shared" si="174"/>
        <v>5.605</v>
      </c>
      <c r="J1269" s="742"/>
      <c r="K1269" s="476">
        <f t="shared" si="175"/>
        <v>5.605</v>
      </c>
      <c r="L1269" s="478">
        <v>193.93</v>
      </c>
      <c r="M1269" s="387">
        <f t="shared" si="176"/>
        <v>0.028902181199401848</v>
      </c>
      <c r="N1269" s="494">
        <v>342.3</v>
      </c>
      <c r="O1269" s="373">
        <f t="shared" si="177"/>
        <v>9.893216624555253</v>
      </c>
      <c r="P1269" s="495">
        <f t="shared" si="178"/>
        <v>1734.1308719641108</v>
      </c>
      <c r="Q1269" s="497">
        <f t="shared" si="179"/>
        <v>593.5929974733151</v>
      </c>
    </row>
    <row r="1270" spans="1:17" ht="11.25">
      <c r="A1270" s="881"/>
      <c r="B1270" s="232">
        <v>5</v>
      </c>
      <c r="C1270" s="244" t="s">
        <v>945</v>
      </c>
      <c r="D1270" s="233">
        <v>5</v>
      </c>
      <c r="E1270" s="233" t="s">
        <v>71</v>
      </c>
      <c r="F1270" s="476">
        <v>9.837</v>
      </c>
      <c r="G1270" s="476">
        <f>27*0.051</f>
        <v>1.377</v>
      </c>
      <c r="H1270" s="476">
        <f>2.337-G1270</f>
        <v>0.9600000000000002</v>
      </c>
      <c r="I1270" s="476">
        <f t="shared" si="174"/>
        <v>7.499999999999999</v>
      </c>
      <c r="J1270" s="742"/>
      <c r="K1270" s="476">
        <f t="shared" si="175"/>
        <v>7.499999999999999</v>
      </c>
      <c r="L1270" s="478">
        <v>253.85</v>
      </c>
      <c r="M1270" s="387">
        <f t="shared" si="176"/>
        <v>0.02954500689383494</v>
      </c>
      <c r="N1270" s="494">
        <v>342.3</v>
      </c>
      <c r="O1270" s="373">
        <f t="shared" si="177"/>
        <v>10.1132558597597</v>
      </c>
      <c r="P1270" s="495">
        <f t="shared" si="178"/>
        <v>1772.7004136300964</v>
      </c>
      <c r="Q1270" s="497">
        <f t="shared" si="179"/>
        <v>606.795351585582</v>
      </c>
    </row>
    <row r="1271" spans="1:17" ht="11.25">
      <c r="A1271" s="881"/>
      <c r="B1271" s="232">
        <v>6</v>
      </c>
      <c r="C1271" s="244" t="s">
        <v>939</v>
      </c>
      <c r="D1271" s="233">
        <v>14</v>
      </c>
      <c r="E1271" s="233" t="s">
        <v>71</v>
      </c>
      <c r="F1271" s="476">
        <v>20.207</v>
      </c>
      <c r="G1271" s="476">
        <f>21*0.051</f>
        <v>1.071</v>
      </c>
      <c r="H1271" s="476">
        <f>1.211-G1271</f>
        <v>0.14000000000000012</v>
      </c>
      <c r="I1271" s="476">
        <f t="shared" si="174"/>
        <v>18.996</v>
      </c>
      <c r="J1271" s="742"/>
      <c r="K1271" s="476">
        <f t="shared" si="175"/>
        <v>18.996</v>
      </c>
      <c r="L1271" s="478">
        <v>635.91</v>
      </c>
      <c r="M1271" s="387">
        <f t="shared" si="176"/>
        <v>0.02987215171958296</v>
      </c>
      <c r="N1271" s="494">
        <v>342.3</v>
      </c>
      <c r="O1271" s="373">
        <f t="shared" si="177"/>
        <v>10.225237533613248</v>
      </c>
      <c r="P1271" s="495">
        <f t="shared" si="178"/>
        <v>1792.3291031749775</v>
      </c>
      <c r="Q1271" s="497">
        <f t="shared" si="179"/>
        <v>613.5142520167949</v>
      </c>
    </row>
    <row r="1272" spans="1:17" ht="11.25">
      <c r="A1272" s="881"/>
      <c r="B1272" s="232">
        <v>7</v>
      </c>
      <c r="C1272" s="244" t="s">
        <v>940</v>
      </c>
      <c r="D1272" s="233">
        <v>6</v>
      </c>
      <c r="E1272" s="233" t="s">
        <v>71</v>
      </c>
      <c r="F1272" s="476">
        <v>5.491</v>
      </c>
      <c r="G1272" s="476">
        <v>0</v>
      </c>
      <c r="H1272" s="476">
        <v>0</v>
      </c>
      <c r="I1272" s="476">
        <f>+F1272</f>
        <v>5.491</v>
      </c>
      <c r="J1272" s="742"/>
      <c r="K1272" s="476">
        <f t="shared" si="175"/>
        <v>5.491</v>
      </c>
      <c r="L1272" s="478">
        <v>183.02</v>
      </c>
      <c r="M1272" s="387">
        <f t="shared" si="176"/>
        <v>0.030002185553491417</v>
      </c>
      <c r="N1272" s="494">
        <v>342.3</v>
      </c>
      <c r="O1272" s="373">
        <f t="shared" si="177"/>
        <v>10.269748114960112</v>
      </c>
      <c r="P1272" s="495">
        <f t="shared" si="178"/>
        <v>1800.131133209485</v>
      </c>
      <c r="Q1272" s="497">
        <f t="shared" si="179"/>
        <v>616.1848868976067</v>
      </c>
    </row>
    <row r="1273" spans="1:17" ht="11.25">
      <c r="A1273" s="881"/>
      <c r="B1273" s="232">
        <v>8</v>
      </c>
      <c r="C1273" s="244" t="s">
        <v>942</v>
      </c>
      <c r="D1273" s="233">
        <v>12</v>
      </c>
      <c r="E1273" s="233" t="s">
        <v>71</v>
      </c>
      <c r="F1273" s="476">
        <v>19.742</v>
      </c>
      <c r="G1273" s="476">
        <f>12.5*0.051</f>
        <v>0.6375</v>
      </c>
      <c r="H1273" s="476">
        <f>2.558-G1273</f>
        <v>1.9204999999999999</v>
      </c>
      <c r="I1273" s="476">
        <f aca="true" t="shared" si="180" ref="I1273:I1285">+F1273-G1273-H1273</f>
        <v>17.184</v>
      </c>
      <c r="J1273" s="742"/>
      <c r="K1273" s="476">
        <f t="shared" si="175"/>
        <v>17.184</v>
      </c>
      <c r="L1273" s="478">
        <v>571.57</v>
      </c>
      <c r="M1273" s="387">
        <f t="shared" si="176"/>
        <v>0.030064559021642144</v>
      </c>
      <c r="N1273" s="494">
        <v>342.3</v>
      </c>
      <c r="O1273" s="373">
        <f t="shared" si="177"/>
        <v>10.291098553108107</v>
      </c>
      <c r="P1273" s="495">
        <f t="shared" si="178"/>
        <v>1803.8735412985288</v>
      </c>
      <c r="Q1273" s="497">
        <f t="shared" si="179"/>
        <v>617.4659131864864</v>
      </c>
    </row>
    <row r="1274" spans="1:17" ht="11.25">
      <c r="A1274" s="882"/>
      <c r="B1274" s="245">
        <v>9</v>
      </c>
      <c r="C1274" s="244" t="s">
        <v>938</v>
      </c>
      <c r="D1274" s="233">
        <v>15</v>
      </c>
      <c r="E1274" s="233" t="s">
        <v>71</v>
      </c>
      <c r="F1274" s="476">
        <v>28.808</v>
      </c>
      <c r="G1274" s="476">
        <f>30*0.051</f>
        <v>1.5299999999999998</v>
      </c>
      <c r="H1274" s="476">
        <f>3.93-G1274</f>
        <v>2.4000000000000004</v>
      </c>
      <c r="I1274" s="476">
        <f t="shared" si="180"/>
        <v>24.878</v>
      </c>
      <c r="J1274" s="742"/>
      <c r="K1274" s="476">
        <f t="shared" si="175"/>
        <v>24.878</v>
      </c>
      <c r="L1274" s="478">
        <v>826.86</v>
      </c>
      <c r="M1274" s="387">
        <f t="shared" si="176"/>
        <v>0.030087318288464796</v>
      </c>
      <c r="N1274" s="494">
        <v>342.3</v>
      </c>
      <c r="O1274" s="373">
        <f t="shared" si="177"/>
        <v>10.2988890501415</v>
      </c>
      <c r="P1274" s="495">
        <f t="shared" si="178"/>
        <v>1805.2390973078877</v>
      </c>
      <c r="Q1274" s="497">
        <f t="shared" si="179"/>
        <v>617.93334300849</v>
      </c>
    </row>
    <row r="1275" spans="1:17" ht="12" thickBot="1">
      <c r="A1275" s="883"/>
      <c r="B1275" s="246">
        <v>10</v>
      </c>
      <c r="C1275" s="247" t="s">
        <v>949</v>
      </c>
      <c r="D1275" s="237">
        <v>8</v>
      </c>
      <c r="E1275" s="237" t="s">
        <v>71</v>
      </c>
      <c r="F1275" s="550">
        <v>12.362</v>
      </c>
      <c r="G1275" s="550"/>
      <c r="H1275" s="550"/>
      <c r="I1275" s="550">
        <f t="shared" si="180"/>
        <v>12.362</v>
      </c>
      <c r="J1275" s="743"/>
      <c r="K1275" s="550">
        <f t="shared" si="175"/>
        <v>12.362</v>
      </c>
      <c r="L1275" s="552">
        <v>397.8</v>
      </c>
      <c r="M1275" s="545">
        <f t="shared" si="176"/>
        <v>0.03107591754650578</v>
      </c>
      <c r="N1275" s="601">
        <f>+N1273</f>
        <v>342.3</v>
      </c>
      <c r="O1275" s="546">
        <f t="shared" si="177"/>
        <v>10.637286576168929</v>
      </c>
      <c r="P1275" s="546">
        <f t="shared" si="178"/>
        <v>1864.5550527903467</v>
      </c>
      <c r="Q1275" s="547">
        <f t="shared" si="179"/>
        <v>638.2371945701357</v>
      </c>
    </row>
    <row r="1276" spans="1:17" ht="11.25">
      <c r="A1276" s="884" t="s">
        <v>12</v>
      </c>
      <c r="B1276" s="39">
        <v>1</v>
      </c>
      <c r="C1276" s="770" t="s">
        <v>937</v>
      </c>
      <c r="D1276" s="240">
        <v>25</v>
      </c>
      <c r="E1276" s="240" t="s">
        <v>71</v>
      </c>
      <c r="F1276" s="513">
        <v>40.702</v>
      </c>
      <c r="G1276" s="513">
        <f>34.5*0.051</f>
        <v>1.7594999999999998</v>
      </c>
      <c r="H1276" s="513">
        <f>5.4-G1276</f>
        <v>3.6405000000000003</v>
      </c>
      <c r="I1276" s="513">
        <f t="shared" si="180"/>
        <v>35.30199999999999</v>
      </c>
      <c r="J1276" s="619"/>
      <c r="K1276" s="513">
        <f t="shared" si="175"/>
        <v>35.30199999999999</v>
      </c>
      <c r="L1276" s="595">
        <v>1133.69</v>
      </c>
      <c r="M1276" s="602">
        <f t="shared" si="176"/>
        <v>0.03113902389542114</v>
      </c>
      <c r="N1276" s="502">
        <v>342.3</v>
      </c>
      <c r="O1276" s="598">
        <f t="shared" si="177"/>
        <v>10.658887879402656</v>
      </c>
      <c r="P1276" s="598">
        <f t="shared" si="178"/>
        <v>1868.3414337252684</v>
      </c>
      <c r="Q1276" s="599">
        <f t="shared" si="179"/>
        <v>639.5332727641594</v>
      </c>
    </row>
    <row r="1277" spans="1:17" ht="11.25">
      <c r="A1277" s="885"/>
      <c r="B1277" s="80">
        <v>2</v>
      </c>
      <c r="C1277" s="248" t="s">
        <v>955</v>
      </c>
      <c r="D1277" s="189">
        <v>4</v>
      </c>
      <c r="E1277" s="189" t="s">
        <v>71</v>
      </c>
      <c r="F1277" s="312">
        <v>8.32</v>
      </c>
      <c r="G1277" s="312"/>
      <c r="H1277" s="312"/>
      <c r="I1277" s="312">
        <f t="shared" si="180"/>
        <v>8.32</v>
      </c>
      <c r="J1277" s="189"/>
      <c r="K1277" s="312">
        <f t="shared" si="175"/>
        <v>8.32</v>
      </c>
      <c r="L1277" s="479">
        <v>253.3</v>
      </c>
      <c r="M1277" s="200">
        <f t="shared" si="176"/>
        <v>0.032846427161468614</v>
      </c>
      <c r="N1277" s="201">
        <f>+N1269</f>
        <v>342.3</v>
      </c>
      <c r="O1277" s="208">
        <f t="shared" si="177"/>
        <v>11.243332017370706</v>
      </c>
      <c r="P1277" s="598">
        <f t="shared" si="178"/>
        <v>1970.7856296881168</v>
      </c>
      <c r="Q1277" s="207">
        <f t="shared" si="179"/>
        <v>674.5999210422424</v>
      </c>
    </row>
    <row r="1278" spans="1:17" ht="11.25">
      <c r="A1278" s="885"/>
      <c r="B1278" s="80">
        <v>3</v>
      </c>
      <c r="C1278" s="188" t="s">
        <v>954</v>
      </c>
      <c r="D1278" s="189">
        <v>3</v>
      </c>
      <c r="E1278" s="189" t="s">
        <v>71</v>
      </c>
      <c r="F1278" s="312">
        <v>5.865</v>
      </c>
      <c r="G1278" s="312"/>
      <c r="H1278" s="312"/>
      <c r="I1278" s="312">
        <f t="shared" si="180"/>
        <v>5.865</v>
      </c>
      <c r="J1278" s="620"/>
      <c r="K1278" s="312">
        <f t="shared" si="175"/>
        <v>5.865</v>
      </c>
      <c r="L1278" s="479">
        <v>177.12</v>
      </c>
      <c r="M1278" s="200">
        <f t="shared" si="176"/>
        <v>0.03311314363143632</v>
      </c>
      <c r="N1278" s="201">
        <f>+N1271</f>
        <v>342.3</v>
      </c>
      <c r="O1278" s="208">
        <f t="shared" si="177"/>
        <v>11.334629065040652</v>
      </c>
      <c r="P1278" s="598">
        <f t="shared" si="178"/>
        <v>1986.788617886179</v>
      </c>
      <c r="Q1278" s="207">
        <f t="shared" si="179"/>
        <v>680.0777439024391</v>
      </c>
    </row>
    <row r="1279" spans="1:17" ht="11.25">
      <c r="A1279" s="886"/>
      <c r="B1279" s="41">
        <v>4</v>
      </c>
      <c r="C1279" s="188" t="s">
        <v>953</v>
      </c>
      <c r="D1279" s="189">
        <v>7</v>
      </c>
      <c r="E1279" s="189" t="s">
        <v>71</v>
      </c>
      <c r="F1279" s="312">
        <v>12.291</v>
      </c>
      <c r="G1279" s="312"/>
      <c r="H1279" s="312"/>
      <c r="I1279" s="312">
        <f t="shared" si="180"/>
        <v>12.291</v>
      </c>
      <c r="J1279" s="620"/>
      <c r="K1279" s="312">
        <f t="shared" si="175"/>
        <v>12.291</v>
      </c>
      <c r="L1279" s="479">
        <v>366.1</v>
      </c>
      <c r="M1279" s="200">
        <f t="shared" si="176"/>
        <v>0.033572794318492215</v>
      </c>
      <c r="N1279" s="201">
        <f>+N1273</f>
        <v>342.3</v>
      </c>
      <c r="O1279" s="208">
        <f t="shared" si="177"/>
        <v>11.491967495219885</v>
      </c>
      <c r="P1279" s="598">
        <f t="shared" si="178"/>
        <v>2014.3676591095327</v>
      </c>
      <c r="Q1279" s="207">
        <f t="shared" si="179"/>
        <v>689.5180497131931</v>
      </c>
    </row>
    <row r="1280" spans="1:17" ht="11.25">
      <c r="A1280" s="886"/>
      <c r="B1280" s="41">
        <v>5</v>
      </c>
      <c r="C1280" s="188" t="s">
        <v>948</v>
      </c>
      <c r="D1280" s="189">
        <v>16</v>
      </c>
      <c r="E1280" s="189" t="s">
        <v>71</v>
      </c>
      <c r="F1280" s="312">
        <v>18.347</v>
      </c>
      <c r="G1280" s="312">
        <v>0.854</v>
      </c>
      <c r="H1280" s="312">
        <f>16*0.01</f>
        <v>0.16</v>
      </c>
      <c r="I1280" s="312">
        <f t="shared" si="180"/>
        <v>17.333000000000002</v>
      </c>
      <c r="J1280" s="620"/>
      <c r="K1280" s="312">
        <f t="shared" si="175"/>
        <v>17.333000000000002</v>
      </c>
      <c r="L1280" s="479">
        <v>507.62</v>
      </c>
      <c r="M1280" s="200">
        <f t="shared" si="176"/>
        <v>0.03414562073992357</v>
      </c>
      <c r="N1280" s="201">
        <f>+N1279</f>
        <v>342.3</v>
      </c>
      <c r="O1280" s="208">
        <f t="shared" si="177"/>
        <v>11.688045979275838</v>
      </c>
      <c r="P1280" s="598">
        <f t="shared" si="178"/>
        <v>2048.737244395414</v>
      </c>
      <c r="Q1280" s="207">
        <f t="shared" si="179"/>
        <v>701.2827587565503</v>
      </c>
    </row>
    <row r="1281" spans="1:17" ht="11.25">
      <c r="A1281" s="886"/>
      <c r="B1281" s="41">
        <v>6</v>
      </c>
      <c r="C1281" s="188" t="s">
        <v>956</v>
      </c>
      <c r="D1281" s="189">
        <v>4</v>
      </c>
      <c r="E1281" s="189" t="s">
        <v>71</v>
      </c>
      <c r="F1281" s="312">
        <v>8.092</v>
      </c>
      <c r="G1281" s="312"/>
      <c r="H1281" s="312"/>
      <c r="I1281" s="312">
        <f t="shared" si="180"/>
        <v>8.092</v>
      </c>
      <c r="J1281" s="189"/>
      <c r="K1281" s="312">
        <f t="shared" si="175"/>
        <v>8.092</v>
      </c>
      <c r="L1281" s="479">
        <v>234.73</v>
      </c>
      <c r="M1281" s="200">
        <f t="shared" si="176"/>
        <v>0.034473650577258985</v>
      </c>
      <c r="N1281" s="189">
        <v>342.3</v>
      </c>
      <c r="O1281" s="208">
        <f t="shared" si="177"/>
        <v>11.800330592595751</v>
      </c>
      <c r="P1281" s="598">
        <f t="shared" si="178"/>
        <v>2068.4190346355394</v>
      </c>
      <c r="Q1281" s="207">
        <f t="shared" si="179"/>
        <v>708.0198355557452</v>
      </c>
    </row>
    <row r="1282" spans="1:17" ht="11.25">
      <c r="A1282" s="886"/>
      <c r="B1282" s="41">
        <v>7</v>
      </c>
      <c r="C1282" s="188" t="s">
        <v>952</v>
      </c>
      <c r="D1282" s="189">
        <v>8</v>
      </c>
      <c r="E1282" s="189" t="s">
        <v>71</v>
      </c>
      <c r="F1282" s="312">
        <v>11.34</v>
      </c>
      <c r="G1282" s="312">
        <v>0.357</v>
      </c>
      <c r="H1282" s="312">
        <v>1.2</v>
      </c>
      <c r="I1282" s="312">
        <f t="shared" si="180"/>
        <v>9.783000000000001</v>
      </c>
      <c r="J1282" s="620"/>
      <c r="K1282" s="312">
        <f t="shared" si="175"/>
        <v>9.783000000000001</v>
      </c>
      <c r="L1282" s="479">
        <v>265.25</v>
      </c>
      <c r="M1282" s="200">
        <f t="shared" si="176"/>
        <v>0.03688218661639963</v>
      </c>
      <c r="N1282" s="201">
        <f>+N1277</f>
        <v>342.3</v>
      </c>
      <c r="O1282" s="208">
        <f t="shared" si="177"/>
        <v>12.624772478793593</v>
      </c>
      <c r="P1282" s="598">
        <f t="shared" si="178"/>
        <v>2212.9311969839778</v>
      </c>
      <c r="Q1282" s="207">
        <f t="shared" si="179"/>
        <v>757.4863487276157</v>
      </c>
    </row>
    <row r="1283" spans="1:17" ht="11.25">
      <c r="A1283" s="886"/>
      <c r="B1283" s="41">
        <v>8</v>
      </c>
      <c r="C1283" s="188" t="s">
        <v>950</v>
      </c>
      <c r="D1283" s="189">
        <v>5</v>
      </c>
      <c r="E1283" s="189" t="s">
        <v>71</v>
      </c>
      <c r="F1283" s="312">
        <v>9.656</v>
      </c>
      <c r="G1283" s="312">
        <f>3*0.051</f>
        <v>0.153</v>
      </c>
      <c r="H1283" s="312">
        <f>5*0.16</f>
        <v>0.8</v>
      </c>
      <c r="I1283" s="312">
        <f t="shared" si="180"/>
        <v>8.703</v>
      </c>
      <c r="J1283" s="620"/>
      <c r="K1283" s="312">
        <f t="shared" si="175"/>
        <v>8.703</v>
      </c>
      <c r="L1283" s="479">
        <v>220.11</v>
      </c>
      <c r="M1283" s="200">
        <f t="shared" si="176"/>
        <v>0.03953932124846667</v>
      </c>
      <c r="N1283" s="201">
        <f>+N1280</f>
        <v>342.3</v>
      </c>
      <c r="O1283" s="208">
        <f t="shared" si="177"/>
        <v>13.534309663350143</v>
      </c>
      <c r="P1283" s="598">
        <f t="shared" si="178"/>
        <v>2372.3592749080003</v>
      </c>
      <c r="Q1283" s="207">
        <f t="shared" si="179"/>
        <v>812.0585798010086</v>
      </c>
    </row>
    <row r="1284" spans="1:17" ht="11.25">
      <c r="A1284" s="886"/>
      <c r="B1284" s="41">
        <v>9</v>
      </c>
      <c r="C1284" s="188" t="s">
        <v>951</v>
      </c>
      <c r="D1284" s="189">
        <v>4</v>
      </c>
      <c r="E1284" s="189" t="s">
        <v>71</v>
      </c>
      <c r="F1284" s="312">
        <v>6.502</v>
      </c>
      <c r="G1284" s="312"/>
      <c r="H1284" s="312">
        <v>0.32</v>
      </c>
      <c r="I1284" s="312">
        <f t="shared" si="180"/>
        <v>6.1819999999999995</v>
      </c>
      <c r="J1284" s="620"/>
      <c r="K1284" s="312">
        <f t="shared" si="175"/>
        <v>6.1819999999999995</v>
      </c>
      <c r="L1284" s="479">
        <v>151.85</v>
      </c>
      <c r="M1284" s="200">
        <f t="shared" si="176"/>
        <v>0.04071122818570958</v>
      </c>
      <c r="N1284" s="201">
        <f>+N1280</f>
        <v>342.3</v>
      </c>
      <c r="O1284" s="208">
        <f t="shared" si="177"/>
        <v>13.93545340796839</v>
      </c>
      <c r="P1284" s="598">
        <f t="shared" si="178"/>
        <v>2442.6736911425746</v>
      </c>
      <c r="Q1284" s="207">
        <f t="shared" si="179"/>
        <v>836.1272044781033</v>
      </c>
    </row>
    <row r="1285" spans="1:17" ht="12" thickBot="1">
      <c r="A1285" s="887"/>
      <c r="B1285" s="46">
        <v>10</v>
      </c>
      <c r="C1285" s="241" t="s">
        <v>947</v>
      </c>
      <c r="D1285" s="242">
        <v>3</v>
      </c>
      <c r="E1285" s="242" t="s">
        <v>71</v>
      </c>
      <c r="F1285" s="514">
        <v>6.138</v>
      </c>
      <c r="G1285" s="514"/>
      <c r="H1285" s="514"/>
      <c r="I1285" s="514">
        <f t="shared" si="180"/>
        <v>6.138</v>
      </c>
      <c r="J1285" s="637"/>
      <c r="K1285" s="514">
        <f t="shared" si="175"/>
        <v>6.138</v>
      </c>
      <c r="L1285" s="521">
        <v>139.3</v>
      </c>
      <c r="M1285" s="505">
        <f t="shared" si="176"/>
        <v>0.044063173007896625</v>
      </c>
      <c r="N1285" s="506">
        <v>342.3</v>
      </c>
      <c r="O1285" s="507">
        <f t="shared" si="177"/>
        <v>15.082824120603016</v>
      </c>
      <c r="P1285" s="507">
        <f t="shared" si="178"/>
        <v>2643.7903804737975</v>
      </c>
      <c r="Q1285" s="508">
        <f t="shared" si="179"/>
        <v>904.9694472361809</v>
      </c>
    </row>
    <row r="1288" spans="1:17" ht="15">
      <c r="A1288" s="906" t="s">
        <v>957</v>
      </c>
      <c r="B1288" s="906"/>
      <c r="C1288" s="906"/>
      <c r="D1288" s="906"/>
      <c r="E1288" s="906"/>
      <c r="F1288" s="906"/>
      <c r="G1288" s="906"/>
      <c r="H1288" s="906"/>
      <c r="I1288" s="906"/>
      <c r="J1288" s="906"/>
      <c r="K1288" s="906"/>
      <c r="L1288" s="906"/>
      <c r="M1288" s="906"/>
      <c r="N1288" s="906"/>
      <c r="O1288" s="906"/>
      <c r="P1288" s="906"/>
      <c r="Q1288" s="906"/>
    </row>
    <row r="1289" spans="1:17" ht="13.5" thickBot="1">
      <c r="A1289" s="907" t="s">
        <v>958</v>
      </c>
      <c r="B1289" s="907"/>
      <c r="C1289" s="907"/>
      <c r="D1289" s="907"/>
      <c r="E1289" s="907"/>
      <c r="F1289" s="907"/>
      <c r="G1289" s="907"/>
      <c r="H1289" s="907"/>
      <c r="I1289" s="907"/>
      <c r="J1289" s="907"/>
      <c r="K1289" s="907"/>
      <c r="L1289" s="907"/>
      <c r="M1289" s="907"/>
      <c r="N1289" s="907"/>
      <c r="O1289" s="907"/>
      <c r="P1289" s="907"/>
      <c r="Q1289" s="907"/>
    </row>
    <row r="1290" spans="1:17" ht="11.25">
      <c r="A1290" s="890" t="s">
        <v>1</v>
      </c>
      <c r="B1290" s="892" t="s">
        <v>0</v>
      </c>
      <c r="C1290" s="888" t="s">
        <v>2</v>
      </c>
      <c r="D1290" s="888" t="s">
        <v>3</v>
      </c>
      <c r="E1290" s="888" t="s">
        <v>13</v>
      </c>
      <c r="F1290" s="896" t="s">
        <v>14</v>
      </c>
      <c r="G1290" s="897"/>
      <c r="H1290" s="897"/>
      <c r="I1290" s="898"/>
      <c r="J1290" s="888" t="s">
        <v>4</v>
      </c>
      <c r="K1290" s="888" t="s">
        <v>15</v>
      </c>
      <c r="L1290" s="888" t="s">
        <v>5</v>
      </c>
      <c r="M1290" s="888" t="s">
        <v>6</v>
      </c>
      <c r="N1290" s="888" t="s">
        <v>16</v>
      </c>
      <c r="O1290" s="888" t="s">
        <v>17</v>
      </c>
      <c r="P1290" s="876" t="s">
        <v>25</v>
      </c>
      <c r="Q1290" s="878" t="s">
        <v>26</v>
      </c>
    </row>
    <row r="1291" spans="1:17" ht="33.75">
      <c r="A1291" s="891"/>
      <c r="B1291" s="893"/>
      <c r="C1291" s="894"/>
      <c r="D1291" s="889"/>
      <c r="E1291" s="889"/>
      <c r="F1291" s="36" t="s">
        <v>18</v>
      </c>
      <c r="G1291" s="36" t="s">
        <v>19</v>
      </c>
      <c r="H1291" s="36" t="s">
        <v>20</v>
      </c>
      <c r="I1291" s="36" t="s">
        <v>21</v>
      </c>
      <c r="J1291" s="889"/>
      <c r="K1291" s="889"/>
      <c r="L1291" s="889"/>
      <c r="M1291" s="889"/>
      <c r="N1291" s="889"/>
      <c r="O1291" s="889"/>
      <c r="P1291" s="877"/>
      <c r="Q1291" s="879"/>
    </row>
    <row r="1292" spans="1:17" ht="12" thickBot="1">
      <c r="A1292" s="891"/>
      <c r="B1292" s="893"/>
      <c r="C1292" s="895"/>
      <c r="D1292" s="59" t="s">
        <v>7</v>
      </c>
      <c r="E1292" s="59" t="s">
        <v>8</v>
      </c>
      <c r="F1292" s="59" t="s">
        <v>9</v>
      </c>
      <c r="G1292" s="59" t="s">
        <v>9</v>
      </c>
      <c r="H1292" s="59" t="s">
        <v>9</v>
      </c>
      <c r="I1292" s="59" t="s">
        <v>9</v>
      </c>
      <c r="J1292" s="59" t="s">
        <v>22</v>
      </c>
      <c r="K1292" s="59" t="s">
        <v>9</v>
      </c>
      <c r="L1292" s="59" t="s">
        <v>22</v>
      </c>
      <c r="M1292" s="59" t="s">
        <v>23</v>
      </c>
      <c r="N1292" s="59" t="s">
        <v>10</v>
      </c>
      <c r="O1292" s="59" t="s">
        <v>24</v>
      </c>
      <c r="P1292" s="66" t="s">
        <v>27</v>
      </c>
      <c r="Q1292" s="61" t="s">
        <v>28</v>
      </c>
    </row>
    <row r="1293" spans="1:17" ht="11.25">
      <c r="A1293" s="880" t="s">
        <v>30</v>
      </c>
      <c r="B1293" s="231">
        <v>1</v>
      </c>
      <c r="C1293" s="1049" t="s">
        <v>1029</v>
      </c>
      <c r="D1293" s="1050">
        <v>45</v>
      </c>
      <c r="E1293" s="1050">
        <v>1988</v>
      </c>
      <c r="F1293" s="1059">
        <v>52.665</v>
      </c>
      <c r="G1293" s="1059">
        <v>6.806</v>
      </c>
      <c r="H1293" s="1059">
        <v>4.246</v>
      </c>
      <c r="I1293" s="1059">
        <v>41.613</v>
      </c>
      <c r="J1293" s="1059">
        <v>2182.7</v>
      </c>
      <c r="K1293" s="1059">
        <v>41.254</v>
      </c>
      <c r="L1293" s="1063">
        <v>2065.32</v>
      </c>
      <c r="M1293" s="1069">
        <f>K1293/L1293</f>
        <v>0.01997462862897759</v>
      </c>
      <c r="N1293" s="1070">
        <v>301.276</v>
      </c>
      <c r="O1293" s="1071">
        <f>M1293*N1293</f>
        <v>6.017876214823852</v>
      </c>
      <c r="P1293" s="1071">
        <f>M1293*60*1000</f>
        <v>1198.4777177386554</v>
      </c>
      <c r="Q1293" s="1072">
        <f>P1293*N1293/1000</f>
        <v>361.07257288943117</v>
      </c>
    </row>
    <row r="1294" spans="1:17" ht="11.25">
      <c r="A1294" s="881"/>
      <c r="B1294" s="232">
        <v>2</v>
      </c>
      <c r="C1294" s="1051" t="s">
        <v>1030</v>
      </c>
      <c r="D1294" s="1052">
        <v>40</v>
      </c>
      <c r="E1294" s="1052">
        <v>1991</v>
      </c>
      <c r="F1294" s="1060">
        <v>56.471</v>
      </c>
      <c r="G1294" s="1060">
        <v>4.697</v>
      </c>
      <c r="H1294" s="1060">
        <v>6.4</v>
      </c>
      <c r="I1294" s="1060">
        <v>45.374</v>
      </c>
      <c r="J1294" s="1060">
        <v>2268.59</v>
      </c>
      <c r="K1294" s="1060">
        <v>45.674</v>
      </c>
      <c r="L1294" s="1064">
        <v>2268.53</v>
      </c>
      <c r="M1294" s="1073">
        <f aca="true" t="shared" si="181" ref="M1294:M1302">K1294/L1294</f>
        <v>0.020133742996566055</v>
      </c>
      <c r="N1294" s="1060">
        <v>301.276</v>
      </c>
      <c r="O1294" s="1074">
        <f aca="true" t="shared" si="182" ref="O1294:O1302">M1294*N1294</f>
        <v>6.065813555033435</v>
      </c>
      <c r="P1294" s="1071">
        <f aca="true" t="shared" si="183" ref="P1294:P1302">M1294*60*1000</f>
        <v>1208.0245797939633</v>
      </c>
      <c r="Q1294" s="1075">
        <f aca="true" t="shared" si="184" ref="Q1294:Q1302">P1294*N1294/1000</f>
        <v>363.9488133020061</v>
      </c>
    </row>
    <row r="1295" spans="1:17" ht="11.25">
      <c r="A1295" s="881"/>
      <c r="B1295" s="232">
        <v>3</v>
      </c>
      <c r="C1295" s="1051" t="s">
        <v>1031</v>
      </c>
      <c r="D1295" s="1052">
        <v>20</v>
      </c>
      <c r="E1295" s="1052">
        <v>1974</v>
      </c>
      <c r="F1295" s="1060">
        <v>34.18</v>
      </c>
      <c r="G1295" s="1060">
        <v>1.973</v>
      </c>
      <c r="H1295" s="1060">
        <v>3.2</v>
      </c>
      <c r="I1295" s="1060">
        <v>29.007</v>
      </c>
      <c r="J1295" s="1060">
        <v>1409.61</v>
      </c>
      <c r="K1295" s="1060">
        <v>29.007</v>
      </c>
      <c r="L1295" s="1064">
        <v>1409.61</v>
      </c>
      <c r="M1295" s="1073">
        <f t="shared" si="181"/>
        <v>0.02057803222167834</v>
      </c>
      <c r="N1295" s="1060">
        <v>301.276</v>
      </c>
      <c r="O1295" s="1074">
        <f t="shared" si="182"/>
        <v>6.199667235618364</v>
      </c>
      <c r="P1295" s="1071">
        <f t="shared" si="183"/>
        <v>1234.6819333007004</v>
      </c>
      <c r="Q1295" s="1075">
        <f t="shared" si="184"/>
        <v>371.9800341371018</v>
      </c>
    </row>
    <row r="1296" spans="1:17" ht="11.25">
      <c r="A1296" s="881"/>
      <c r="B1296" s="232">
        <v>4</v>
      </c>
      <c r="C1296" s="1051" t="s">
        <v>1032</v>
      </c>
      <c r="D1296" s="1052">
        <v>12</v>
      </c>
      <c r="E1296" s="1052">
        <v>1964</v>
      </c>
      <c r="F1296" s="1060">
        <v>14.105</v>
      </c>
      <c r="G1296" s="1060">
        <v>0.899</v>
      </c>
      <c r="H1296" s="1060">
        <v>1.92</v>
      </c>
      <c r="I1296" s="1060">
        <v>11.286</v>
      </c>
      <c r="J1296" s="1060">
        <v>539.13</v>
      </c>
      <c r="K1296" s="1060">
        <v>10.36</v>
      </c>
      <c r="L1296" s="1064">
        <v>495.17</v>
      </c>
      <c r="M1296" s="1073">
        <f t="shared" si="181"/>
        <v>0.02092210755902013</v>
      </c>
      <c r="N1296" s="1060">
        <v>301.276</v>
      </c>
      <c r="O1296" s="1074">
        <f t="shared" si="182"/>
        <v>6.303328876951349</v>
      </c>
      <c r="P1296" s="1071">
        <f t="shared" si="183"/>
        <v>1255.326453541208</v>
      </c>
      <c r="Q1296" s="1075">
        <f t="shared" si="184"/>
        <v>378.19973261708094</v>
      </c>
    </row>
    <row r="1297" spans="1:17" ht="11.25">
      <c r="A1297" s="881"/>
      <c r="B1297" s="232">
        <v>5</v>
      </c>
      <c r="C1297" s="1051" t="s">
        <v>1033</v>
      </c>
      <c r="D1297" s="1052">
        <v>55</v>
      </c>
      <c r="E1297" s="1052">
        <v>1985</v>
      </c>
      <c r="F1297" s="1060">
        <v>72.937</v>
      </c>
      <c r="G1297" s="1060">
        <v>6.172</v>
      </c>
      <c r="H1297" s="1060">
        <v>8.8</v>
      </c>
      <c r="I1297" s="1060">
        <v>57.965</v>
      </c>
      <c r="J1297" s="1060">
        <v>2679.72</v>
      </c>
      <c r="K1297" s="1060">
        <v>57.965</v>
      </c>
      <c r="L1297" s="1064">
        <v>2679.72</v>
      </c>
      <c r="M1297" s="1073">
        <f t="shared" si="181"/>
        <v>0.02163099129759826</v>
      </c>
      <c r="N1297" s="1060">
        <v>301.276</v>
      </c>
      <c r="O1297" s="1074">
        <f t="shared" si="182"/>
        <v>6.516898534175214</v>
      </c>
      <c r="P1297" s="1071">
        <f t="shared" si="183"/>
        <v>1297.8594778558956</v>
      </c>
      <c r="Q1297" s="1075">
        <f t="shared" si="184"/>
        <v>391.01391205051283</v>
      </c>
    </row>
    <row r="1298" spans="1:17" ht="11.25">
      <c r="A1298" s="881"/>
      <c r="B1298" s="232">
        <v>6</v>
      </c>
      <c r="C1298" s="1051" t="s">
        <v>1034</v>
      </c>
      <c r="D1298" s="1052">
        <v>45</v>
      </c>
      <c r="E1298" s="1052">
        <v>1976</v>
      </c>
      <c r="F1298" s="1060">
        <v>62.583</v>
      </c>
      <c r="G1298" s="1060">
        <v>5.115</v>
      </c>
      <c r="H1298" s="1060">
        <v>7.2</v>
      </c>
      <c r="I1298" s="1060">
        <v>50.268</v>
      </c>
      <c r="J1298" s="1060">
        <v>2321.8</v>
      </c>
      <c r="K1298" s="1060">
        <v>50.268</v>
      </c>
      <c r="L1298" s="1064">
        <v>2321.8</v>
      </c>
      <c r="M1298" s="1073">
        <f t="shared" si="181"/>
        <v>0.02165044362132828</v>
      </c>
      <c r="N1298" s="1060">
        <v>301.276</v>
      </c>
      <c r="O1298" s="1074">
        <f t="shared" si="182"/>
        <v>6.522759052459299</v>
      </c>
      <c r="P1298" s="1071">
        <f t="shared" si="183"/>
        <v>1299.0266172796967</v>
      </c>
      <c r="Q1298" s="1075">
        <f t="shared" si="184"/>
        <v>391.3655431475579</v>
      </c>
    </row>
    <row r="1299" spans="1:17" ht="11.25">
      <c r="A1299" s="881"/>
      <c r="B1299" s="232">
        <v>7</v>
      </c>
      <c r="C1299" s="1051" t="s">
        <v>1035</v>
      </c>
      <c r="D1299" s="1052">
        <v>28</v>
      </c>
      <c r="E1299" s="1052">
        <v>1977</v>
      </c>
      <c r="F1299" s="1060">
        <v>37.658</v>
      </c>
      <c r="G1299" s="1060">
        <v>2.492</v>
      </c>
      <c r="H1299" s="1060">
        <v>4.48</v>
      </c>
      <c r="I1299" s="1060">
        <v>30.686</v>
      </c>
      <c r="J1299" s="1060">
        <v>1436.93</v>
      </c>
      <c r="K1299" s="1060">
        <v>30.686</v>
      </c>
      <c r="L1299" s="1064">
        <v>1436.93</v>
      </c>
      <c r="M1299" s="1073">
        <f t="shared" si="181"/>
        <v>0.021355250429735614</v>
      </c>
      <c r="N1299" s="1060">
        <v>301.276</v>
      </c>
      <c r="O1299" s="1074">
        <f t="shared" si="182"/>
        <v>6.433824428469027</v>
      </c>
      <c r="P1299" s="1071">
        <f t="shared" si="183"/>
        <v>1281.3150257841369</v>
      </c>
      <c r="Q1299" s="1075">
        <f t="shared" si="184"/>
        <v>386.02946570814163</v>
      </c>
    </row>
    <row r="1300" spans="1:17" ht="11.25">
      <c r="A1300" s="881"/>
      <c r="B1300" s="232">
        <v>8</v>
      </c>
      <c r="C1300" s="1051" t="s">
        <v>1036</v>
      </c>
      <c r="D1300" s="1052">
        <v>32</v>
      </c>
      <c r="E1300" s="1052">
        <v>1986</v>
      </c>
      <c r="F1300" s="1060">
        <v>46.962</v>
      </c>
      <c r="G1300" s="1060">
        <v>3.093</v>
      </c>
      <c r="H1300" s="1060">
        <v>4.8</v>
      </c>
      <c r="I1300" s="1060">
        <v>39.069</v>
      </c>
      <c r="J1300" s="1060">
        <v>1810.7</v>
      </c>
      <c r="K1300" s="1060">
        <v>36.486</v>
      </c>
      <c r="L1300" s="1064">
        <v>1666.74</v>
      </c>
      <c r="M1300" s="1073">
        <f t="shared" si="181"/>
        <v>0.021890636811980273</v>
      </c>
      <c r="N1300" s="1060">
        <v>301.276</v>
      </c>
      <c r="O1300" s="1074">
        <f t="shared" si="182"/>
        <v>6.595123496166169</v>
      </c>
      <c r="P1300" s="1071">
        <f t="shared" si="183"/>
        <v>1313.4382087188164</v>
      </c>
      <c r="Q1300" s="1075">
        <f t="shared" si="184"/>
        <v>395.7074097699702</v>
      </c>
    </row>
    <row r="1301" spans="1:17" ht="11.25">
      <c r="A1301" s="882"/>
      <c r="B1301" s="245">
        <v>9</v>
      </c>
      <c r="C1301" s="1051" t="s">
        <v>1037</v>
      </c>
      <c r="D1301" s="1052">
        <v>55</v>
      </c>
      <c r="E1301" s="1052">
        <v>1984</v>
      </c>
      <c r="F1301" s="1060">
        <v>73.253</v>
      </c>
      <c r="G1301" s="1060">
        <v>5.415</v>
      </c>
      <c r="H1301" s="1060">
        <v>8.8</v>
      </c>
      <c r="I1301" s="1060">
        <v>59.038</v>
      </c>
      <c r="J1301" s="1060">
        <v>2709.53</v>
      </c>
      <c r="K1301" s="1060">
        <v>57.974</v>
      </c>
      <c r="L1301" s="1064">
        <v>2660.67</v>
      </c>
      <c r="M1301" s="1073">
        <f t="shared" si="181"/>
        <v>0.02178924857272792</v>
      </c>
      <c r="N1301" s="1060">
        <v>301.276</v>
      </c>
      <c r="O1301" s="1074">
        <f t="shared" si="182"/>
        <v>6.564577652997177</v>
      </c>
      <c r="P1301" s="1071">
        <f t="shared" si="183"/>
        <v>1307.3549143636753</v>
      </c>
      <c r="Q1301" s="1075">
        <f t="shared" si="184"/>
        <v>393.8746591798307</v>
      </c>
    </row>
    <row r="1302" spans="1:17" ht="12" thickBot="1">
      <c r="A1302" s="883"/>
      <c r="B1302" s="246">
        <v>10</v>
      </c>
      <c r="C1302" s="1053" t="s">
        <v>1038</v>
      </c>
      <c r="D1302" s="1054">
        <v>11</v>
      </c>
      <c r="E1302" s="1054">
        <v>1968</v>
      </c>
      <c r="F1302" s="1061">
        <v>14.691</v>
      </c>
      <c r="G1302" s="1061">
        <v>0.601</v>
      </c>
      <c r="H1302" s="1061">
        <v>1.728</v>
      </c>
      <c r="I1302" s="1061">
        <v>12.362</v>
      </c>
      <c r="J1302" s="1061">
        <v>563.82</v>
      </c>
      <c r="K1302" s="1061">
        <v>9.299</v>
      </c>
      <c r="L1302" s="1065">
        <v>424.14</v>
      </c>
      <c r="M1302" s="1076">
        <f t="shared" si="181"/>
        <v>0.021924364596595462</v>
      </c>
      <c r="N1302" s="1061">
        <v>301.276</v>
      </c>
      <c r="O1302" s="1077">
        <f t="shared" si="182"/>
        <v>6.605284868203895</v>
      </c>
      <c r="P1302" s="1077">
        <f t="shared" si="183"/>
        <v>1315.4618757957278</v>
      </c>
      <c r="Q1302" s="1078">
        <f t="shared" si="184"/>
        <v>396.31709209223374</v>
      </c>
    </row>
    <row r="1303" spans="1:17" ht="11.25">
      <c r="A1303" s="884" t="s">
        <v>12</v>
      </c>
      <c r="B1303" s="39">
        <v>1</v>
      </c>
      <c r="C1303" s="238" t="s">
        <v>1039</v>
      </c>
      <c r="D1303" s="1055">
        <v>6</v>
      </c>
      <c r="E1303" s="1055">
        <v>1958</v>
      </c>
      <c r="F1303" s="1062">
        <v>318.54</v>
      </c>
      <c r="G1303" s="1062">
        <v>0.274</v>
      </c>
      <c r="H1303" s="1062">
        <v>0.32</v>
      </c>
      <c r="I1303" s="1062">
        <v>6.463</v>
      </c>
      <c r="J1303" s="1062">
        <v>318.54</v>
      </c>
      <c r="K1303" s="1062">
        <v>4.287</v>
      </c>
      <c r="L1303" s="1066">
        <v>92.5</v>
      </c>
      <c r="M1303" s="226">
        <f>K1303/L1303</f>
        <v>0.046345945945945946</v>
      </c>
      <c r="N1303" s="217">
        <v>301.276</v>
      </c>
      <c r="O1303" s="177">
        <f>M1303*N1303</f>
        <v>13.962921210810812</v>
      </c>
      <c r="P1303" s="177">
        <f>M1303*60*1000</f>
        <v>2780.7567567567567</v>
      </c>
      <c r="Q1303" s="1079">
        <f>P1303*N1303/1000</f>
        <v>837.7752726486486</v>
      </c>
    </row>
    <row r="1304" spans="1:17" ht="11.25">
      <c r="A1304" s="885"/>
      <c r="B1304" s="80">
        <v>2</v>
      </c>
      <c r="C1304" s="1056" t="s">
        <v>1040</v>
      </c>
      <c r="D1304" s="1057">
        <v>6</v>
      </c>
      <c r="E1304" s="1057">
        <v>1957</v>
      </c>
      <c r="F1304" s="185">
        <v>319.78</v>
      </c>
      <c r="G1304" s="185">
        <v>0.737</v>
      </c>
      <c r="H1304" s="185">
        <v>0.08</v>
      </c>
      <c r="I1304" s="185">
        <v>13.127</v>
      </c>
      <c r="J1304" s="185">
        <v>319.78</v>
      </c>
      <c r="K1304" s="185">
        <v>13.127</v>
      </c>
      <c r="L1304" s="1067">
        <v>319.78</v>
      </c>
      <c r="M1304" s="227">
        <f aca="true" t="shared" si="185" ref="M1304:M1312">K1304/L1304</f>
        <v>0.041050096941647386</v>
      </c>
      <c r="N1304" s="185">
        <v>301.276</v>
      </c>
      <c r="O1304" s="1080">
        <f aca="true" t="shared" si="186" ref="O1304:O1312">M1304*N1304</f>
        <v>12.367409006191759</v>
      </c>
      <c r="P1304" s="177">
        <f aca="true" t="shared" si="187" ref="P1304:P1312">M1304*60*1000</f>
        <v>2463.005816498843</v>
      </c>
      <c r="Q1304" s="1081">
        <f aca="true" t="shared" si="188" ref="Q1304:Q1312">P1304*N1304/1000</f>
        <v>742.0445403715055</v>
      </c>
    </row>
    <row r="1305" spans="1:17" ht="11.25">
      <c r="A1305" s="885"/>
      <c r="B1305" s="80">
        <v>3</v>
      </c>
      <c r="C1305" s="1056" t="s">
        <v>1041</v>
      </c>
      <c r="D1305" s="1057">
        <v>6</v>
      </c>
      <c r="E1305" s="1057">
        <v>1985</v>
      </c>
      <c r="F1305" s="185">
        <v>230.55</v>
      </c>
      <c r="G1305" s="185">
        <v>0.282</v>
      </c>
      <c r="H1305" s="185">
        <v>0.96</v>
      </c>
      <c r="I1305" s="185">
        <v>8.35</v>
      </c>
      <c r="J1305" s="185">
        <v>230.55</v>
      </c>
      <c r="K1305" s="185">
        <v>8.35</v>
      </c>
      <c r="L1305" s="1067">
        <v>230.55</v>
      </c>
      <c r="M1305" s="227">
        <f t="shared" si="185"/>
        <v>0.036217740186510514</v>
      </c>
      <c r="N1305" s="185">
        <v>301.276</v>
      </c>
      <c r="O1305" s="1080">
        <f t="shared" si="186"/>
        <v>10.911535892431141</v>
      </c>
      <c r="P1305" s="177">
        <f t="shared" si="187"/>
        <v>2173.064411190631</v>
      </c>
      <c r="Q1305" s="1081">
        <f t="shared" si="188"/>
        <v>654.6921535458685</v>
      </c>
    </row>
    <row r="1306" spans="1:17" ht="11.25">
      <c r="A1306" s="886"/>
      <c r="B1306" s="41">
        <v>4</v>
      </c>
      <c r="C1306" s="1056" t="s">
        <v>1042</v>
      </c>
      <c r="D1306" s="1057">
        <v>8</v>
      </c>
      <c r="E1306" s="1057">
        <v>1936</v>
      </c>
      <c r="F1306" s="185">
        <v>7.334</v>
      </c>
      <c r="G1306" s="185">
        <v>0.357</v>
      </c>
      <c r="H1306" s="185">
        <v>0.272</v>
      </c>
      <c r="I1306" s="185">
        <v>6.705</v>
      </c>
      <c r="J1306" s="185">
        <v>192.55</v>
      </c>
      <c r="K1306" s="185">
        <v>6.705</v>
      </c>
      <c r="L1306" s="1067">
        <v>192.55</v>
      </c>
      <c r="M1306" s="227">
        <f t="shared" si="185"/>
        <v>0.034822124123604255</v>
      </c>
      <c r="N1306" s="185">
        <v>301.276</v>
      </c>
      <c r="O1306" s="1080">
        <f t="shared" si="186"/>
        <v>10.491070267462996</v>
      </c>
      <c r="P1306" s="177">
        <f t="shared" si="187"/>
        <v>2089.327447416255</v>
      </c>
      <c r="Q1306" s="1081">
        <f t="shared" si="188"/>
        <v>629.4642160477797</v>
      </c>
    </row>
    <row r="1307" spans="1:17" ht="11.25">
      <c r="A1307" s="886"/>
      <c r="B1307" s="41">
        <v>5</v>
      </c>
      <c r="C1307" s="1056" t="s">
        <v>1043</v>
      </c>
      <c r="D1307" s="1057">
        <v>6</v>
      </c>
      <c r="E1307" s="1057">
        <v>1929</v>
      </c>
      <c r="F1307" s="185">
        <v>8.084</v>
      </c>
      <c r="G1307" s="185">
        <v>0.056</v>
      </c>
      <c r="H1307" s="185">
        <v>0.064</v>
      </c>
      <c r="I1307" s="185">
        <v>7.964</v>
      </c>
      <c r="J1307" s="185">
        <v>233.78</v>
      </c>
      <c r="K1307" s="185">
        <v>2.933</v>
      </c>
      <c r="L1307" s="1067">
        <v>86.11</v>
      </c>
      <c r="M1307" s="227">
        <f t="shared" si="185"/>
        <v>0.03406108465915689</v>
      </c>
      <c r="N1307" s="185">
        <v>301.276</v>
      </c>
      <c r="O1307" s="1080">
        <f t="shared" si="186"/>
        <v>10.26178734177215</v>
      </c>
      <c r="P1307" s="177">
        <f t="shared" si="187"/>
        <v>2043.6650795494131</v>
      </c>
      <c r="Q1307" s="1081">
        <f t="shared" si="188"/>
        <v>615.707240506329</v>
      </c>
    </row>
    <row r="1308" spans="1:17" ht="11.25">
      <c r="A1308" s="886"/>
      <c r="B1308" s="41">
        <v>6</v>
      </c>
      <c r="C1308" s="1056" t="s">
        <v>1044</v>
      </c>
      <c r="D1308" s="1057">
        <v>5</v>
      </c>
      <c r="E1308" s="1057">
        <v>1984</v>
      </c>
      <c r="F1308" s="185">
        <v>6.072</v>
      </c>
      <c r="G1308" s="185">
        <v>0.017</v>
      </c>
      <c r="H1308" s="185">
        <v>0.08</v>
      </c>
      <c r="I1308" s="185">
        <v>5.975</v>
      </c>
      <c r="J1308" s="185">
        <v>180.46</v>
      </c>
      <c r="K1308" s="185">
        <v>5.975</v>
      </c>
      <c r="L1308" s="1067">
        <v>180.46</v>
      </c>
      <c r="M1308" s="227">
        <f t="shared" si="185"/>
        <v>0.033109830433337026</v>
      </c>
      <c r="N1308" s="185">
        <v>301.276</v>
      </c>
      <c r="O1308" s="1080">
        <f t="shared" si="186"/>
        <v>9.975197273634047</v>
      </c>
      <c r="P1308" s="177">
        <f t="shared" si="187"/>
        <v>1986.5898260002216</v>
      </c>
      <c r="Q1308" s="1081">
        <f t="shared" si="188"/>
        <v>598.5118364180428</v>
      </c>
    </row>
    <row r="1309" spans="1:17" ht="11.25">
      <c r="A1309" s="886"/>
      <c r="B1309" s="41">
        <v>7</v>
      </c>
      <c r="C1309" s="1056" t="s">
        <v>1045</v>
      </c>
      <c r="D1309" s="1057">
        <v>45</v>
      </c>
      <c r="E1309" s="1057">
        <v>1977</v>
      </c>
      <c r="F1309" s="185">
        <v>78.605</v>
      </c>
      <c r="G1309" s="185">
        <v>4.447</v>
      </c>
      <c r="H1309" s="185">
        <v>7.2</v>
      </c>
      <c r="I1309" s="185">
        <v>66.958</v>
      </c>
      <c r="J1309" s="185">
        <v>2035.18</v>
      </c>
      <c r="K1309" s="185">
        <v>66.958</v>
      </c>
      <c r="L1309" s="1067">
        <v>2035.18</v>
      </c>
      <c r="M1309" s="227">
        <f t="shared" si="185"/>
        <v>0.03290028400436325</v>
      </c>
      <c r="N1309" s="185">
        <v>301.276</v>
      </c>
      <c r="O1309" s="1080">
        <f t="shared" si="186"/>
        <v>9.912065963698542</v>
      </c>
      <c r="P1309" s="177">
        <f t="shared" si="187"/>
        <v>1974.0170402617948</v>
      </c>
      <c r="Q1309" s="1081">
        <f t="shared" si="188"/>
        <v>594.7239578219124</v>
      </c>
    </row>
    <row r="1310" spans="1:17" ht="11.25">
      <c r="A1310" s="886"/>
      <c r="B1310" s="41">
        <v>8</v>
      </c>
      <c r="C1310" s="1056" t="s">
        <v>1046</v>
      </c>
      <c r="D1310" s="1057">
        <v>6</v>
      </c>
      <c r="E1310" s="1057">
        <v>1934</v>
      </c>
      <c r="F1310" s="185">
        <v>8.505</v>
      </c>
      <c r="G1310" s="185">
        <v>0.902</v>
      </c>
      <c r="H1310" s="185">
        <v>0.096</v>
      </c>
      <c r="I1310" s="185">
        <v>7.507</v>
      </c>
      <c r="J1310" s="185">
        <v>229.18</v>
      </c>
      <c r="K1310" s="185">
        <v>7.507</v>
      </c>
      <c r="L1310" s="1067">
        <v>229.18</v>
      </c>
      <c r="M1310" s="227">
        <f t="shared" si="185"/>
        <v>0.03275591238327952</v>
      </c>
      <c r="N1310" s="185">
        <v>301.276</v>
      </c>
      <c r="O1310" s="1080">
        <f t="shared" si="186"/>
        <v>9.86857025918492</v>
      </c>
      <c r="P1310" s="177">
        <f t="shared" si="187"/>
        <v>1965.354742996771</v>
      </c>
      <c r="Q1310" s="1081">
        <f t="shared" si="188"/>
        <v>592.1142155510952</v>
      </c>
    </row>
    <row r="1311" spans="1:17" ht="11.25">
      <c r="A1311" s="886"/>
      <c r="B1311" s="41">
        <v>9</v>
      </c>
      <c r="C1311" s="1056" t="s">
        <v>1047</v>
      </c>
      <c r="D1311" s="1057">
        <v>18</v>
      </c>
      <c r="E1311" s="1057">
        <v>1967</v>
      </c>
      <c r="F1311" s="185">
        <v>19.993</v>
      </c>
      <c r="G1311" s="185">
        <v>1.529</v>
      </c>
      <c r="H1311" s="185">
        <v>0.288</v>
      </c>
      <c r="I1311" s="185">
        <v>18.126</v>
      </c>
      <c r="J1311" s="185">
        <v>658.26</v>
      </c>
      <c r="K1311" s="185">
        <v>14.964</v>
      </c>
      <c r="L1311" s="1067">
        <v>490.49</v>
      </c>
      <c r="M1311" s="227">
        <f t="shared" si="185"/>
        <v>0.030508267242961122</v>
      </c>
      <c r="N1311" s="185">
        <v>301.276</v>
      </c>
      <c r="O1311" s="1080">
        <f t="shared" si="186"/>
        <v>9.191408721890355</v>
      </c>
      <c r="P1311" s="177">
        <f t="shared" si="187"/>
        <v>1830.4960345776674</v>
      </c>
      <c r="Q1311" s="1081">
        <f t="shared" si="188"/>
        <v>551.4845233134213</v>
      </c>
    </row>
    <row r="1312" spans="1:17" ht="12" thickBot="1">
      <c r="A1312" s="887"/>
      <c r="B1312" s="46">
        <v>10</v>
      </c>
      <c r="C1312" s="1083" t="s">
        <v>1048</v>
      </c>
      <c r="D1312" s="1058">
        <v>12</v>
      </c>
      <c r="E1312" s="1058">
        <v>1965</v>
      </c>
      <c r="F1312" s="228">
        <v>17.606</v>
      </c>
      <c r="G1312" s="228">
        <v>1.285</v>
      </c>
      <c r="H1312" s="228">
        <v>0.192</v>
      </c>
      <c r="I1312" s="228">
        <v>16.129</v>
      </c>
      <c r="J1312" s="228">
        <v>529.58</v>
      </c>
      <c r="K1312" s="228">
        <v>14.618</v>
      </c>
      <c r="L1312" s="1068">
        <v>479.98</v>
      </c>
      <c r="M1312" s="230">
        <f t="shared" si="185"/>
        <v>0.0304554356431518</v>
      </c>
      <c r="N1312" s="228">
        <v>301.276</v>
      </c>
      <c r="O1312" s="229">
        <f t="shared" si="186"/>
        <v>9.175491828826202</v>
      </c>
      <c r="P1312" s="229">
        <f t="shared" si="187"/>
        <v>1827.326138589108</v>
      </c>
      <c r="Q1312" s="1082">
        <f t="shared" si="188"/>
        <v>550.529509729572</v>
      </c>
    </row>
    <row r="1315" spans="1:17" ht="15">
      <c r="A1315" s="906" t="s">
        <v>1000</v>
      </c>
      <c r="B1315" s="906"/>
      <c r="C1315" s="906"/>
      <c r="D1315" s="906"/>
      <c r="E1315" s="906"/>
      <c r="F1315" s="906"/>
      <c r="G1315" s="906"/>
      <c r="H1315" s="906"/>
      <c r="I1315" s="906"/>
      <c r="J1315" s="906"/>
      <c r="K1315" s="906"/>
      <c r="L1315" s="906"/>
      <c r="M1315" s="906"/>
      <c r="N1315" s="906"/>
      <c r="O1315" s="906"/>
      <c r="P1315" s="906"/>
      <c r="Q1315" s="906"/>
    </row>
    <row r="1316" spans="1:17" ht="13.5" thickBot="1">
      <c r="A1316" s="907" t="s">
        <v>1001</v>
      </c>
      <c r="B1316" s="907"/>
      <c r="C1316" s="907"/>
      <c r="D1316" s="907"/>
      <c r="E1316" s="907"/>
      <c r="F1316" s="907"/>
      <c r="G1316" s="907"/>
      <c r="H1316" s="907"/>
      <c r="I1316" s="907"/>
      <c r="J1316" s="907"/>
      <c r="K1316" s="907"/>
      <c r="L1316" s="907"/>
      <c r="M1316" s="907"/>
      <c r="N1316" s="907"/>
      <c r="O1316" s="907"/>
      <c r="P1316" s="907"/>
      <c r="Q1316" s="907"/>
    </row>
    <row r="1317" spans="1:17" ht="11.25">
      <c r="A1317" s="890" t="s">
        <v>1</v>
      </c>
      <c r="B1317" s="892" t="s">
        <v>0</v>
      </c>
      <c r="C1317" s="888" t="s">
        <v>2</v>
      </c>
      <c r="D1317" s="888" t="s">
        <v>3</v>
      </c>
      <c r="E1317" s="888" t="s">
        <v>13</v>
      </c>
      <c r="F1317" s="896" t="s">
        <v>14</v>
      </c>
      <c r="G1317" s="897"/>
      <c r="H1317" s="897"/>
      <c r="I1317" s="898"/>
      <c r="J1317" s="888" t="s">
        <v>4</v>
      </c>
      <c r="K1317" s="888" t="s">
        <v>15</v>
      </c>
      <c r="L1317" s="888" t="s">
        <v>5</v>
      </c>
      <c r="M1317" s="888" t="s">
        <v>6</v>
      </c>
      <c r="N1317" s="888" t="s">
        <v>16</v>
      </c>
      <c r="O1317" s="888" t="s">
        <v>17</v>
      </c>
      <c r="P1317" s="876" t="s">
        <v>25</v>
      </c>
      <c r="Q1317" s="878" t="s">
        <v>26</v>
      </c>
    </row>
    <row r="1318" spans="1:17" ht="33.75">
      <c r="A1318" s="891"/>
      <c r="B1318" s="893"/>
      <c r="C1318" s="894"/>
      <c r="D1318" s="889"/>
      <c r="E1318" s="889"/>
      <c r="F1318" s="36" t="s">
        <v>18</v>
      </c>
      <c r="G1318" s="36" t="s">
        <v>19</v>
      </c>
      <c r="H1318" s="36" t="s">
        <v>20</v>
      </c>
      <c r="I1318" s="36" t="s">
        <v>21</v>
      </c>
      <c r="J1318" s="889"/>
      <c r="K1318" s="889"/>
      <c r="L1318" s="889"/>
      <c r="M1318" s="889"/>
      <c r="N1318" s="889"/>
      <c r="O1318" s="889"/>
      <c r="P1318" s="877"/>
      <c r="Q1318" s="879"/>
    </row>
    <row r="1319" spans="1:17" ht="12" thickBot="1">
      <c r="A1319" s="945"/>
      <c r="B1319" s="946"/>
      <c r="C1319" s="895"/>
      <c r="D1319" s="59" t="s">
        <v>7</v>
      </c>
      <c r="E1319" s="59" t="s">
        <v>8</v>
      </c>
      <c r="F1319" s="59" t="s">
        <v>9</v>
      </c>
      <c r="G1319" s="59" t="s">
        <v>9</v>
      </c>
      <c r="H1319" s="59" t="s">
        <v>9</v>
      </c>
      <c r="I1319" s="59" t="s">
        <v>9</v>
      </c>
      <c r="J1319" s="59" t="s">
        <v>22</v>
      </c>
      <c r="K1319" s="59" t="s">
        <v>9</v>
      </c>
      <c r="L1319" s="59" t="s">
        <v>22</v>
      </c>
      <c r="M1319" s="59" t="s">
        <v>23</v>
      </c>
      <c r="N1319" s="59" t="s">
        <v>10</v>
      </c>
      <c r="O1319" s="59" t="s">
        <v>24</v>
      </c>
      <c r="P1319" s="66" t="s">
        <v>27</v>
      </c>
      <c r="Q1319" s="61" t="s">
        <v>28</v>
      </c>
    </row>
    <row r="1320" spans="1:17" ht="11.25">
      <c r="A1320" s="902" t="s">
        <v>29</v>
      </c>
      <c r="B1320" s="67">
        <v>1</v>
      </c>
      <c r="C1320" s="34" t="s">
        <v>1002</v>
      </c>
      <c r="D1320" s="35">
        <v>39</v>
      </c>
      <c r="E1320" s="35">
        <v>1992</v>
      </c>
      <c r="F1320" s="263">
        <f>SUM(G1320+H1320+I1320)</f>
        <v>45.9</v>
      </c>
      <c r="G1320" s="263">
        <v>4.8</v>
      </c>
      <c r="H1320" s="263">
        <v>6.2</v>
      </c>
      <c r="I1320" s="263">
        <v>34.9</v>
      </c>
      <c r="J1320" s="118">
        <v>2279.7</v>
      </c>
      <c r="K1320" s="263">
        <v>34.9</v>
      </c>
      <c r="L1320" s="118">
        <v>2279.7</v>
      </c>
      <c r="M1320" s="139">
        <f>SUM(K1320/L1320)</f>
        <v>0.015309031890160987</v>
      </c>
      <c r="N1320" s="138">
        <v>211.1</v>
      </c>
      <c r="O1320" s="138">
        <f>SUM(M1320*N1320)</f>
        <v>3.2317366320129843</v>
      </c>
      <c r="P1320" s="264">
        <f>M1320*60*1000</f>
        <v>918.5419134096593</v>
      </c>
      <c r="Q1320" s="853">
        <f>SUM(O1320*60)</f>
        <v>193.90419792077907</v>
      </c>
    </row>
    <row r="1321" spans="1:17" ht="11.25">
      <c r="A1321" s="903"/>
      <c r="B1321" s="103">
        <v>2</v>
      </c>
      <c r="C1321" s="34" t="s">
        <v>1003</v>
      </c>
      <c r="D1321" s="35">
        <v>40</v>
      </c>
      <c r="E1321" s="35">
        <v>1998</v>
      </c>
      <c r="F1321" s="263">
        <f>SUM(G1321+H1321+I1321)</f>
        <v>44.1</v>
      </c>
      <c r="G1321" s="263">
        <v>3.5</v>
      </c>
      <c r="H1321" s="263">
        <v>6.4</v>
      </c>
      <c r="I1321" s="263">
        <v>34.2</v>
      </c>
      <c r="J1321" s="118">
        <v>2183.72</v>
      </c>
      <c r="K1321" s="263">
        <v>33.4</v>
      </c>
      <c r="L1321" s="118">
        <v>2133.76</v>
      </c>
      <c r="M1321" s="139">
        <f>SUM(K1321/L1321)</f>
        <v>0.015653119376124774</v>
      </c>
      <c r="N1321" s="138">
        <v>211.1</v>
      </c>
      <c r="O1321" s="138">
        <f>SUM(M1321*N1321)</f>
        <v>3.3043735002999397</v>
      </c>
      <c r="P1321" s="148">
        <f>M1321*60*1000</f>
        <v>939.1871625674864</v>
      </c>
      <c r="Q1321" s="853">
        <f>SUM(O1321*60)</f>
        <v>198.2624100179964</v>
      </c>
    </row>
    <row r="1322" spans="1:17" ht="11.25">
      <c r="A1322" s="903"/>
      <c r="B1322" s="35">
        <v>3</v>
      </c>
      <c r="C1322" s="34" t="s">
        <v>1004</v>
      </c>
      <c r="D1322" s="35">
        <v>40</v>
      </c>
      <c r="E1322" s="35">
        <v>1986</v>
      </c>
      <c r="F1322" s="263">
        <f>SUM(G1322+H1322+I1322)</f>
        <v>49.1</v>
      </c>
      <c r="G1322" s="263">
        <v>4.2</v>
      </c>
      <c r="H1322" s="263">
        <v>6.4</v>
      </c>
      <c r="I1322" s="263">
        <v>38.5</v>
      </c>
      <c r="J1322" s="118">
        <v>2246.36</v>
      </c>
      <c r="K1322" s="263">
        <v>38.5</v>
      </c>
      <c r="L1322" s="118">
        <v>2246.4</v>
      </c>
      <c r="M1322" s="139">
        <f>SUM(K1322/L1322)</f>
        <v>0.017138532763532763</v>
      </c>
      <c r="N1322" s="138">
        <v>211.1</v>
      </c>
      <c r="O1322" s="138">
        <f>SUM(M1322*N1322)</f>
        <v>3.617944266381766</v>
      </c>
      <c r="P1322" s="148">
        <f>M1322*60*1000</f>
        <v>1028.3119658119658</v>
      </c>
      <c r="Q1322" s="853">
        <f>SUM(O1322*60)</f>
        <v>217.07665598290595</v>
      </c>
    </row>
    <row r="1323" spans="1:17" ht="11.25">
      <c r="A1323" s="903"/>
      <c r="B1323" s="35">
        <v>4</v>
      </c>
      <c r="C1323" s="34" t="s">
        <v>1005</v>
      </c>
      <c r="D1323" s="35">
        <v>16</v>
      </c>
      <c r="E1323" s="35">
        <v>1991</v>
      </c>
      <c r="F1323" s="267">
        <f>SUM(G1323+H1323+I1323)</f>
        <v>24.5</v>
      </c>
      <c r="G1323" s="263">
        <v>2.3</v>
      </c>
      <c r="H1323" s="263">
        <v>2.6</v>
      </c>
      <c r="I1323" s="263">
        <v>19.6</v>
      </c>
      <c r="J1323" s="118">
        <v>1070.04</v>
      </c>
      <c r="K1323" s="263">
        <v>19.6</v>
      </c>
      <c r="L1323" s="118">
        <v>1070.04</v>
      </c>
      <c r="M1323" s="147">
        <f>SUM(K1323/L1323)</f>
        <v>0.018317072258980976</v>
      </c>
      <c r="N1323" s="138">
        <v>211.1</v>
      </c>
      <c r="O1323" s="138">
        <f>SUM(M1323*N1323)</f>
        <v>3.866733953870884</v>
      </c>
      <c r="P1323" s="148">
        <f>M1323*60*1000</f>
        <v>1099.0243355388584</v>
      </c>
      <c r="Q1323" s="853">
        <f>SUM(O1323*60)</f>
        <v>232.00403723225304</v>
      </c>
    </row>
    <row r="1324" spans="1:17" ht="11.25">
      <c r="A1324" s="903"/>
      <c r="B1324" s="35">
        <v>5</v>
      </c>
      <c r="C1324" s="187"/>
      <c r="D1324" s="151"/>
      <c r="E1324" s="151"/>
      <c r="F1324" s="196"/>
      <c r="G1324" s="196"/>
      <c r="H1324" s="196"/>
      <c r="I1324" s="196"/>
      <c r="J1324" s="377"/>
      <c r="K1324" s="196"/>
      <c r="L1324" s="377"/>
      <c r="M1324" s="159"/>
      <c r="N1324" s="542"/>
      <c r="O1324" s="161"/>
      <c r="P1324" s="543"/>
      <c r="Q1324" s="852"/>
    </row>
    <row r="1325" spans="1:17" ht="11.25">
      <c r="A1325" s="903"/>
      <c r="B1325" s="35">
        <v>6</v>
      </c>
      <c r="C1325" s="187"/>
      <c r="D1325" s="151"/>
      <c r="E1325" s="151"/>
      <c r="F1325" s="196"/>
      <c r="G1325" s="196"/>
      <c r="H1325" s="196"/>
      <c r="I1325" s="196"/>
      <c r="J1325" s="377"/>
      <c r="K1325" s="196"/>
      <c r="L1325" s="377"/>
      <c r="M1325" s="159"/>
      <c r="N1325" s="542"/>
      <c r="O1325" s="161"/>
      <c r="P1325" s="543"/>
      <c r="Q1325" s="852"/>
    </row>
    <row r="1326" spans="1:17" ht="11.25">
      <c r="A1326" s="903"/>
      <c r="B1326" s="35">
        <v>7</v>
      </c>
      <c r="C1326" s="187"/>
      <c r="D1326" s="151"/>
      <c r="E1326" s="151"/>
      <c r="F1326" s="196"/>
      <c r="G1326" s="196"/>
      <c r="H1326" s="196"/>
      <c r="I1326" s="196"/>
      <c r="J1326" s="377"/>
      <c r="K1326" s="196"/>
      <c r="L1326" s="377"/>
      <c r="M1326" s="159"/>
      <c r="N1326" s="542"/>
      <c r="O1326" s="161"/>
      <c r="P1326" s="543"/>
      <c r="Q1326" s="852"/>
    </row>
    <row r="1327" spans="1:17" ht="11.25">
      <c r="A1327" s="903"/>
      <c r="B1327" s="35">
        <v>8</v>
      </c>
      <c r="C1327" s="187"/>
      <c r="D1327" s="151"/>
      <c r="E1327" s="151"/>
      <c r="F1327" s="196"/>
      <c r="G1327" s="196"/>
      <c r="H1327" s="196"/>
      <c r="I1327" s="196"/>
      <c r="J1327" s="377"/>
      <c r="K1327" s="196"/>
      <c r="L1327" s="377"/>
      <c r="M1327" s="159"/>
      <c r="N1327" s="542"/>
      <c r="O1327" s="161"/>
      <c r="P1327" s="543"/>
      <c r="Q1327" s="162"/>
    </row>
    <row r="1328" spans="1:17" ht="11.25">
      <c r="A1328" s="904"/>
      <c r="B1328" s="68">
        <v>9</v>
      </c>
      <c r="C1328" s="187"/>
      <c r="D1328" s="151"/>
      <c r="E1328" s="151"/>
      <c r="F1328" s="196"/>
      <c r="G1328" s="196"/>
      <c r="H1328" s="196"/>
      <c r="I1328" s="196"/>
      <c r="J1328" s="377"/>
      <c r="K1328" s="196"/>
      <c r="L1328" s="377"/>
      <c r="M1328" s="159"/>
      <c r="N1328" s="542"/>
      <c r="O1328" s="161"/>
      <c r="P1328" s="543"/>
      <c r="Q1328" s="162"/>
    </row>
    <row r="1329" spans="1:17" ht="14.25" customHeight="1" thickBot="1">
      <c r="A1329" s="905"/>
      <c r="B1329" s="38">
        <v>10</v>
      </c>
      <c r="C1329" s="195"/>
      <c r="D1329" s="152"/>
      <c r="E1329" s="152"/>
      <c r="F1329" s="197"/>
      <c r="G1329" s="197"/>
      <c r="H1329" s="197"/>
      <c r="I1329" s="197"/>
      <c r="J1329" s="378"/>
      <c r="K1329" s="197"/>
      <c r="L1329" s="378"/>
      <c r="M1329" s="191"/>
      <c r="N1329" s="198"/>
      <c r="O1329" s="192"/>
      <c r="P1329" s="192"/>
      <c r="Q1329" s="193"/>
    </row>
    <row r="1330" spans="1:17" ht="11.25">
      <c r="A1330" s="880" t="s">
        <v>30</v>
      </c>
      <c r="B1330" s="231">
        <v>1</v>
      </c>
      <c r="C1330" s="272" t="s">
        <v>1006</v>
      </c>
      <c r="D1330" s="232">
        <v>50</v>
      </c>
      <c r="E1330" s="232">
        <v>1969</v>
      </c>
      <c r="F1330" s="288">
        <f aca="true" t="shared" si="189" ref="F1330:F1349">SUM(G1330+H1330+I1330)</f>
        <v>67</v>
      </c>
      <c r="G1330" s="288">
        <v>4.5</v>
      </c>
      <c r="H1330" s="288">
        <v>7.9</v>
      </c>
      <c r="I1330" s="348">
        <v>54.6</v>
      </c>
      <c r="J1330" s="356">
        <v>2573.06</v>
      </c>
      <c r="K1330" s="348">
        <v>54.6</v>
      </c>
      <c r="L1330" s="279">
        <v>2573.1</v>
      </c>
      <c r="M1330" s="290">
        <f aca="true" t="shared" si="190" ref="M1330:M1349">SUM(K1330/L1330)</f>
        <v>0.021219540631922586</v>
      </c>
      <c r="N1330" s="289">
        <v>211.1</v>
      </c>
      <c r="O1330" s="289">
        <f aca="true" t="shared" si="191" ref="O1330:O1349">SUM(M1330*N1330)</f>
        <v>4.4794450273988575</v>
      </c>
      <c r="P1330" s="862">
        <f aca="true" t="shared" si="192" ref="P1330:P1349">M1330*60*1000</f>
        <v>1273.172437915355</v>
      </c>
      <c r="Q1330" s="391">
        <f aca="true" t="shared" si="193" ref="Q1330:Q1349">SUM(O1330*60)</f>
        <v>268.76670164393147</v>
      </c>
    </row>
    <row r="1331" spans="1:17" ht="11.25">
      <c r="A1331" s="881"/>
      <c r="B1331" s="232">
        <v>2</v>
      </c>
      <c r="C1331" s="272" t="s">
        <v>1007</v>
      </c>
      <c r="D1331" s="232">
        <v>50</v>
      </c>
      <c r="E1331" s="232">
        <v>1973</v>
      </c>
      <c r="F1331" s="288">
        <f t="shared" si="189"/>
        <v>64.39999999999999</v>
      </c>
      <c r="G1331" s="288">
        <v>2.8</v>
      </c>
      <c r="H1331" s="288">
        <v>7.8</v>
      </c>
      <c r="I1331" s="288">
        <v>53.8</v>
      </c>
      <c r="J1331" s="279">
        <v>2510.26</v>
      </c>
      <c r="K1331" s="288">
        <v>53.8</v>
      </c>
      <c r="L1331" s="279">
        <v>2510.3</v>
      </c>
      <c r="M1331" s="290">
        <f t="shared" si="190"/>
        <v>0.021431701390272076</v>
      </c>
      <c r="N1331" s="289">
        <v>211.1</v>
      </c>
      <c r="O1331" s="383">
        <f t="shared" si="191"/>
        <v>4.5242321634864355</v>
      </c>
      <c r="P1331" s="289">
        <f t="shared" si="192"/>
        <v>1285.9020834163246</v>
      </c>
      <c r="Q1331" s="392">
        <f t="shared" si="193"/>
        <v>271.45392980918615</v>
      </c>
    </row>
    <row r="1332" spans="1:17" ht="11.25">
      <c r="A1332" s="881"/>
      <c r="B1332" s="232">
        <v>3</v>
      </c>
      <c r="C1332" s="300" t="s">
        <v>1008</v>
      </c>
      <c r="D1332" s="280">
        <v>20</v>
      </c>
      <c r="E1332" s="280">
        <v>1997</v>
      </c>
      <c r="F1332" s="348">
        <f t="shared" si="189"/>
        <v>30.5</v>
      </c>
      <c r="G1332" s="348">
        <v>1.3</v>
      </c>
      <c r="H1332" s="348">
        <v>3.2</v>
      </c>
      <c r="I1332" s="348">
        <v>26</v>
      </c>
      <c r="J1332" s="356">
        <v>1186.4</v>
      </c>
      <c r="K1332" s="348">
        <v>26</v>
      </c>
      <c r="L1332" s="356">
        <v>1186.4</v>
      </c>
      <c r="M1332" s="286">
        <f t="shared" si="190"/>
        <v>0.021915037086985837</v>
      </c>
      <c r="N1332" s="285">
        <v>211.1</v>
      </c>
      <c r="O1332" s="605">
        <f t="shared" si="191"/>
        <v>4.62626432906271</v>
      </c>
      <c r="P1332" s="289">
        <f t="shared" si="192"/>
        <v>1314.9022252191503</v>
      </c>
      <c r="Q1332" s="391">
        <f t="shared" si="193"/>
        <v>277.57585974376263</v>
      </c>
    </row>
    <row r="1333" spans="1:17" ht="11.25">
      <c r="A1333" s="881"/>
      <c r="B1333" s="232">
        <v>4</v>
      </c>
      <c r="C1333" s="272" t="s">
        <v>1009</v>
      </c>
      <c r="D1333" s="232">
        <v>10</v>
      </c>
      <c r="E1333" s="232">
        <v>1968</v>
      </c>
      <c r="F1333" s="348">
        <f t="shared" si="189"/>
        <v>18.4</v>
      </c>
      <c r="G1333" s="288">
        <v>1.7</v>
      </c>
      <c r="H1333" s="288">
        <v>1.6</v>
      </c>
      <c r="I1333" s="288">
        <v>15.1</v>
      </c>
      <c r="J1333" s="279">
        <v>662.08</v>
      </c>
      <c r="K1333" s="288">
        <v>15.1</v>
      </c>
      <c r="L1333" s="279">
        <v>665.81</v>
      </c>
      <c r="M1333" s="290">
        <f t="shared" si="190"/>
        <v>0.022679142698367405</v>
      </c>
      <c r="N1333" s="285">
        <v>211.1</v>
      </c>
      <c r="O1333" s="605">
        <f t="shared" si="191"/>
        <v>4.787567023625359</v>
      </c>
      <c r="P1333" s="289">
        <f t="shared" si="192"/>
        <v>1360.7485619020442</v>
      </c>
      <c r="Q1333" s="391">
        <f t="shared" si="193"/>
        <v>287.2540214175215</v>
      </c>
    </row>
    <row r="1334" spans="1:17" ht="11.25">
      <c r="A1334" s="881"/>
      <c r="B1334" s="232">
        <v>5</v>
      </c>
      <c r="C1334" s="272" t="s">
        <v>1010</v>
      </c>
      <c r="D1334" s="232">
        <v>40</v>
      </c>
      <c r="E1334" s="232">
        <v>1980</v>
      </c>
      <c r="F1334" s="348">
        <f t="shared" si="189"/>
        <v>62.400000000000006</v>
      </c>
      <c r="G1334" s="288">
        <v>3.4</v>
      </c>
      <c r="H1334" s="288">
        <v>6.4</v>
      </c>
      <c r="I1334" s="288">
        <v>52.6</v>
      </c>
      <c r="J1334" s="279">
        <v>2313.6</v>
      </c>
      <c r="K1334" s="288">
        <v>52.6</v>
      </c>
      <c r="L1334" s="279">
        <v>2313.6</v>
      </c>
      <c r="M1334" s="290">
        <f t="shared" si="190"/>
        <v>0.022735131396957126</v>
      </c>
      <c r="N1334" s="285">
        <v>211.1</v>
      </c>
      <c r="O1334" s="605">
        <f t="shared" si="191"/>
        <v>4.799386237897649</v>
      </c>
      <c r="P1334" s="289">
        <f t="shared" si="192"/>
        <v>1364.1078838174274</v>
      </c>
      <c r="Q1334" s="391">
        <f t="shared" si="193"/>
        <v>287.96317427385895</v>
      </c>
    </row>
    <row r="1335" spans="1:17" ht="11.25">
      <c r="A1335" s="881"/>
      <c r="B1335" s="232">
        <v>6</v>
      </c>
      <c r="C1335" s="272" t="s">
        <v>1011</v>
      </c>
      <c r="D1335" s="232">
        <v>50</v>
      </c>
      <c r="E1335" s="232">
        <v>1978</v>
      </c>
      <c r="F1335" s="348">
        <f t="shared" si="189"/>
        <v>72.9</v>
      </c>
      <c r="G1335" s="288">
        <v>5.4</v>
      </c>
      <c r="H1335" s="288">
        <v>8</v>
      </c>
      <c r="I1335" s="288">
        <v>59.5</v>
      </c>
      <c r="J1335" s="279">
        <v>2609.15</v>
      </c>
      <c r="K1335" s="288">
        <v>57.9</v>
      </c>
      <c r="L1335" s="279">
        <v>2537.29</v>
      </c>
      <c r="M1335" s="290">
        <f t="shared" si="190"/>
        <v>0.02281962251063142</v>
      </c>
      <c r="N1335" s="285">
        <v>211.1</v>
      </c>
      <c r="O1335" s="605">
        <f t="shared" si="191"/>
        <v>4.817222311994293</v>
      </c>
      <c r="P1335" s="289">
        <f t="shared" si="192"/>
        <v>1369.1773506378852</v>
      </c>
      <c r="Q1335" s="391">
        <f t="shared" si="193"/>
        <v>289.03333871965754</v>
      </c>
    </row>
    <row r="1336" spans="1:17" ht="11.25">
      <c r="A1336" s="881"/>
      <c r="B1336" s="232">
        <v>7</v>
      </c>
      <c r="C1336" s="272" t="s">
        <v>1012</v>
      </c>
      <c r="D1336" s="232">
        <v>35</v>
      </c>
      <c r="E1336" s="232">
        <v>1993</v>
      </c>
      <c r="F1336" s="348">
        <f t="shared" si="189"/>
        <v>61.1</v>
      </c>
      <c r="G1336" s="288">
        <v>3.5</v>
      </c>
      <c r="H1336" s="288">
        <v>5.6</v>
      </c>
      <c r="I1336" s="288">
        <v>52</v>
      </c>
      <c r="J1336" s="279">
        <v>2275.2</v>
      </c>
      <c r="K1336" s="288">
        <v>52</v>
      </c>
      <c r="L1336" s="279">
        <v>2275.2</v>
      </c>
      <c r="M1336" s="290">
        <f t="shared" si="190"/>
        <v>0.022855133614627286</v>
      </c>
      <c r="N1336" s="285">
        <v>211.1</v>
      </c>
      <c r="O1336" s="605">
        <f t="shared" si="191"/>
        <v>4.82471870604782</v>
      </c>
      <c r="P1336" s="289">
        <f t="shared" si="192"/>
        <v>1371.3080168776373</v>
      </c>
      <c r="Q1336" s="391">
        <f t="shared" si="193"/>
        <v>289.4831223628692</v>
      </c>
    </row>
    <row r="1337" spans="1:17" ht="11.25">
      <c r="A1337" s="881"/>
      <c r="B1337" s="232">
        <v>8</v>
      </c>
      <c r="C1337" s="272" t="s">
        <v>1013</v>
      </c>
      <c r="D1337" s="232">
        <v>40</v>
      </c>
      <c r="E1337" s="232">
        <v>1980</v>
      </c>
      <c r="F1337" s="348">
        <f t="shared" si="189"/>
        <v>62.199999999999996</v>
      </c>
      <c r="G1337" s="288">
        <v>3</v>
      </c>
      <c r="H1337" s="288">
        <v>6.4</v>
      </c>
      <c r="I1337" s="288">
        <v>52.8</v>
      </c>
      <c r="J1337" s="279">
        <v>2208.76</v>
      </c>
      <c r="K1337" s="288">
        <v>52.8</v>
      </c>
      <c r="L1337" s="279">
        <v>2208.8</v>
      </c>
      <c r="M1337" s="290">
        <f t="shared" si="190"/>
        <v>0.023904382470119518</v>
      </c>
      <c r="N1337" s="285">
        <v>211.1</v>
      </c>
      <c r="O1337" s="605">
        <f t="shared" si="191"/>
        <v>5.04621513944223</v>
      </c>
      <c r="P1337" s="289">
        <f t="shared" si="192"/>
        <v>1434.2629482071711</v>
      </c>
      <c r="Q1337" s="391">
        <f t="shared" si="193"/>
        <v>302.77290836653384</v>
      </c>
    </row>
    <row r="1338" spans="1:17" ht="11.25">
      <c r="A1338" s="882"/>
      <c r="B1338" s="245">
        <v>9</v>
      </c>
      <c r="C1338" s="272" t="s">
        <v>1014</v>
      </c>
      <c r="D1338" s="232">
        <v>28</v>
      </c>
      <c r="E1338" s="232">
        <v>1998</v>
      </c>
      <c r="F1338" s="348">
        <f t="shared" si="189"/>
        <v>36.5</v>
      </c>
      <c r="G1338" s="288">
        <v>1.5</v>
      </c>
      <c r="H1338" s="288">
        <v>4.4</v>
      </c>
      <c r="I1338" s="288">
        <v>30.6</v>
      </c>
      <c r="J1338" s="279">
        <v>1228.24</v>
      </c>
      <c r="K1338" s="288">
        <v>30.6</v>
      </c>
      <c r="L1338" s="279">
        <v>1228.2</v>
      </c>
      <c r="M1338" s="290">
        <f t="shared" si="190"/>
        <v>0.024914509037616023</v>
      </c>
      <c r="N1338" s="285">
        <v>211.1</v>
      </c>
      <c r="O1338" s="605">
        <f t="shared" si="191"/>
        <v>5.259452857840742</v>
      </c>
      <c r="P1338" s="289">
        <f t="shared" si="192"/>
        <v>1494.8705422569612</v>
      </c>
      <c r="Q1338" s="391">
        <f t="shared" si="193"/>
        <v>315.5671714704445</v>
      </c>
    </row>
    <row r="1339" spans="1:17" ht="12" thickBot="1">
      <c r="A1339" s="883"/>
      <c r="B1339" s="246">
        <v>10</v>
      </c>
      <c r="C1339" s="276" t="s">
        <v>1015</v>
      </c>
      <c r="D1339" s="246">
        <v>40</v>
      </c>
      <c r="E1339" s="246">
        <v>1975</v>
      </c>
      <c r="F1339" s="292">
        <f t="shared" si="189"/>
        <v>65.5</v>
      </c>
      <c r="G1339" s="292">
        <v>2.2</v>
      </c>
      <c r="H1339" s="292">
        <v>6.4</v>
      </c>
      <c r="I1339" s="292">
        <v>56.9</v>
      </c>
      <c r="J1339" s="281">
        <v>2260.93</v>
      </c>
      <c r="K1339" s="292">
        <v>56.9</v>
      </c>
      <c r="L1339" s="281">
        <v>2260.9</v>
      </c>
      <c r="M1339" s="294">
        <f t="shared" si="190"/>
        <v>0.0251669689061878</v>
      </c>
      <c r="N1339" s="293">
        <v>211.1</v>
      </c>
      <c r="O1339" s="384">
        <f t="shared" si="191"/>
        <v>5.312747136096244</v>
      </c>
      <c r="P1339" s="447">
        <f t="shared" si="192"/>
        <v>1510.018134371268</v>
      </c>
      <c r="Q1339" s="393">
        <f t="shared" si="193"/>
        <v>318.76482816577465</v>
      </c>
    </row>
    <row r="1340" spans="1:17" ht="11.25">
      <c r="A1340" s="884" t="s">
        <v>12</v>
      </c>
      <c r="B1340" s="39">
        <v>1</v>
      </c>
      <c r="C1340" s="313" t="s">
        <v>1016</v>
      </c>
      <c r="D1340" s="80">
        <v>20</v>
      </c>
      <c r="E1340" s="80">
        <v>1979</v>
      </c>
      <c r="F1340" s="314">
        <f t="shared" si="189"/>
        <v>32.1</v>
      </c>
      <c r="G1340" s="314">
        <v>1.1</v>
      </c>
      <c r="H1340" s="314">
        <v>3.1</v>
      </c>
      <c r="I1340" s="314">
        <v>27.9</v>
      </c>
      <c r="J1340" s="357">
        <v>1073.91</v>
      </c>
      <c r="K1340" s="314">
        <v>27.9</v>
      </c>
      <c r="L1340" s="357">
        <v>1073.9</v>
      </c>
      <c r="M1340" s="303">
        <f t="shared" si="190"/>
        <v>0.025980072632461118</v>
      </c>
      <c r="N1340" s="304">
        <v>211.1</v>
      </c>
      <c r="O1340" s="454">
        <f t="shared" si="191"/>
        <v>5.484393332712542</v>
      </c>
      <c r="P1340" s="450">
        <f t="shared" si="192"/>
        <v>1558.804357947667</v>
      </c>
      <c r="Q1340" s="854">
        <f t="shared" si="193"/>
        <v>329.0635999627525</v>
      </c>
    </row>
    <row r="1341" spans="1:17" ht="11.25">
      <c r="A1341" s="885"/>
      <c r="B1341" s="80">
        <v>2</v>
      </c>
      <c r="C1341" s="49" t="s">
        <v>1017</v>
      </c>
      <c r="D1341" s="41">
        <v>34</v>
      </c>
      <c r="E1341" s="41">
        <v>1964</v>
      </c>
      <c r="F1341" s="315">
        <f t="shared" si="189"/>
        <v>35.1</v>
      </c>
      <c r="G1341" s="315">
        <v>1.9</v>
      </c>
      <c r="H1341" s="315">
        <v>0.2</v>
      </c>
      <c r="I1341" s="315">
        <v>33</v>
      </c>
      <c r="J1341" s="317">
        <v>1101.75</v>
      </c>
      <c r="K1341" s="315">
        <v>33</v>
      </c>
      <c r="L1341" s="317">
        <v>1101.8</v>
      </c>
      <c r="M1341" s="309">
        <f t="shared" si="190"/>
        <v>0.029950989290252316</v>
      </c>
      <c r="N1341" s="310">
        <v>211.1</v>
      </c>
      <c r="O1341" s="859">
        <f t="shared" si="191"/>
        <v>6.322653839172264</v>
      </c>
      <c r="P1341" s="310">
        <f t="shared" si="192"/>
        <v>1797.059357415139</v>
      </c>
      <c r="Q1341" s="861">
        <f t="shared" si="193"/>
        <v>379.35923035033585</v>
      </c>
    </row>
    <row r="1342" spans="1:17" ht="11.25">
      <c r="A1342" s="885"/>
      <c r="B1342" s="80">
        <v>3</v>
      </c>
      <c r="C1342" s="313" t="s">
        <v>1018</v>
      </c>
      <c r="D1342" s="80">
        <v>28</v>
      </c>
      <c r="E1342" s="80">
        <v>1969</v>
      </c>
      <c r="F1342" s="858">
        <f t="shared" si="189"/>
        <v>30.3</v>
      </c>
      <c r="G1342" s="314">
        <v>1.9</v>
      </c>
      <c r="H1342" s="314">
        <v>0.3</v>
      </c>
      <c r="I1342" s="314">
        <v>28.1</v>
      </c>
      <c r="J1342" s="357">
        <v>917.1</v>
      </c>
      <c r="K1342" s="314">
        <v>28.1</v>
      </c>
      <c r="L1342" s="357">
        <v>917.1</v>
      </c>
      <c r="M1342" s="855">
        <f t="shared" si="190"/>
        <v>0.030640061062043398</v>
      </c>
      <c r="N1342" s="856">
        <v>211.1</v>
      </c>
      <c r="O1342" s="860">
        <f t="shared" si="191"/>
        <v>6.468116890197361</v>
      </c>
      <c r="P1342" s="310">
        <f t="shared" si="192"/>
        <v>1838.4036637226038</v>
      </c>
      <c r="Q1342" s="854">
        <f t="shared" si="193"/>
        <v>388.08701341184167</v>
      </c>
    </row>
    <row r="1343" spans="1:17" ht="11.25">
      <c r="A1343" s="886"/>
      <c r="B1343" s="41">
        <v>4</v>
      </c>
      <c r="C1343" s="49" t="s">
        <v>1019</v>
      </c>
      <c r="D1343" s="41">
        <v>12</v>
      </c>
      <c r="E1343" s="41">
        <v>1962</v>
      </c>
      <c r="F1343" s="185">
        <f t="shared" si="189"/>
        <v>19.2</v>
      </c>
      <c r="G1343" s="185">
        <v>0.5</v>
      </c>
      <c r="H1343" s="185">
        <v>1.8</v>
      </c>
      <c r="I1343" s="185">
        <v>16.9</v>
      </c>
      <c r="J1343" s="317">
        <v>538</v>
      </c>
      <c r="K1343" s="185">
        <v>14.2</v>
      </c>
      <c r="L1343" s="317">
        <v>451.7</v>
      </c>
      <c r="M1343" s="227">
        <f t="shared" si="190"/>
        <v>0.031436794332521584</v>
      </c>
      <c r="N1343" s="310">
        <v>211.1</v>
      </c>
      <c r="O1343" s="560">
        <f t="shared" si="191"/>
        <v>6.636307283595306</v>
      </c>
      <c r="P1343" s="310">
        <f t="shared" si="192"/>
        <v>1886.2076599512952</v>
      </c>
      <c r="Q1343" s="854">
        <f t="shared" si="193"/>
        <v>398.1784370157184</v>
      </c>
    </row>
    <row r="1344" spans="1:17" ht="11.25">
      <c r="A1344" s="886"/>
      <c r="B1344" s="41">
        <v>5</v>
      </c>
      <c r="C1344" s="49" t="s">
        <v>1020</v>
      </c>
      <c r="D1344" s="41">
        <v>8</v>
      </c>
      <c r="E1344" s="41">
        <v>1975</v>
      </c>
      <c r="F1344" s="185">
        <f t="shared" si="189"/>
        <v>12.7</v>
      </c>
      <c r="G1344" s="185">
        <v>0</v>
      </c>
      <c r="H1344" s="185">
        <v>0</v>
      </c>
      <c r="I1344" s="185">
        <v>12.7</v>
      </c>
      <c r="J1344" s="317">
        <v>402.69</v>
      </c>
      <c r="K1344" s="185">
        <v>12.7</v>
      </c>
      <c r="L1344" s="317">
        <v>402.69</v>
      </c>
      <c r="M1344" s="227">
        <f t="shared" si="190"/>
        <v>0.03153790757158111</v>
      </c>
      <c r="N1344" s="310">
        <v>211.1</v>
      </c>
      <c r="O1344" s="560">
        <f t="shared" si="191"/>
        <v>6.657652288360773</v>
      </c>
      <c r="P1344" s="310">
        <f t="shared" si="192"/>
        <v>1892.274454294867</v>
      </c>
      <c r="Q1344" s="854">
        <f t="shared" si="193"/>
        <v>399.45913730164636</v>
      </c>
    </row>
    <row r="1345" spans="1:17" ht="11.25">
      <c r="A1345" s="886"/>
      <c r="B1345" s="41">
        <v>6</v>
      </c>
      <c r="C1345" s="49" t="s">
        <v>1021</v>
      </c>
      <c r="D1345" s="41">
        <v>8</v>
      </c>
      <c r="E1345" s="41">
        <v>1962</v>
      </c>
      <c r="F1345" s="185">
        <f t="shared" si="189"/>
        <v>13.200000000000001</v>
      </c>
      <c r="G1345" s="185">
        <v>0.5</v>
      </c>
      <c r="H1345" s="185">
        <v>1.3</v>
      </c>
      <c r="I1345" s="185">
        <v>11.4</v>
      </c>
      <c r="J1345" s="317">
        <v>349.3</v>
      </c>
      <c r="K1345" s="185">
        <v>9.9</v>
      </c>
      <c r="L1345" s="317">
        <v>305.787</v>
      </c>
      <c r="M1345" s="227">
        <f t="shared" si="190"/>
        <v>0.03237547704774893</v>
      </c>
      <c r="N1345" s="310">
        <v>211.1</v>
      </c>
      <c r="O1345" s="560">
        <f t="shared" si="191"/>
        <v>6.834463204779799</v>
      </c>
      <c r="P1345" s="310">
        <f t="shared" si="192"/>
        <v>1942.5286228649359</v>
      </c>
      <c r="Q1345" s="854">
        <f t="shared" si="193"/>
        <v>410.06779228678795</v>
      </c>
    </row>
    <row r="1346" spans="1:17" ht="11.25">
      <c r="A1346" s="886"/>
      <c r="B1346" s="41">
        <v>7</v>
      </c>
      <c r="C1346" s="49" t="s">
        <v>1022</v>
      </c>
      <c r="D1346" s="41">
        <v>9</v>
      </c>
      <c r="E1346" s="41" t="s">
        <v>1023</v>
      </c>
      <c r="F1346" s="185">
        <f t="shared" si="189"/>
        <v>8.5</v>
      </c>
      <c r="G1346" s="185">
        <v>0</v>
      </c>
      <c r="H1346" s="185">
        <v>0</v>
      </c>
      <c r="I1346" s="185">
        <v>8.5</v>
      </c>
      <c r="J1346" s="317">
        <v>255.12</v>
      </c>
      <c r="K1346" s="185">
        <v>8.5</v>
      </c>
      <c r="L1346" s="317">
        <v>255.1</v>
      </c>
      <c r="M1346" s="227">
        <f t="shared" si="190"/>
        <v>0.033320266562132494</v>
      </c>
      <c r="N1346" s="310">
        <v>211.1</v>
      </c>
      <c r="O1346" s="560">
        <f t="shared" si="191"/>
        <v>7.03390827126617</v>
      </c>
      <c r="P1346" s="310">
        <f t="shared" si="192"/>
        <v>1999.2159937279496</v>
      </c>
      <c r="Q1346" s="854">
        <f t="shared" si="193"/>
        <v>422.0344962759702</v>
      </c>
    </row>
    <row r="1347" spans="1:17" ht="11.25">
      <c r="A1347" s="886"/>
      <c r="B1347" s="41">
        <v>8</v>
      </c>
      <c r="C1347" s="49" t="s">
        <v>1024</v>
      </c>
      <c r="D1347" s="41">
        <v>6</v>
      </c>
      <c r="E1347" s="41" t="s">
        <v>1023</v>
      </c>
      <c r="F1347" s="185">
        <f t="shared" si="189"/>
        <v>10.4</v>
      </c>
      <c r="G1347" s="185">
        <v>0.5</v>
      </c>
      <c r="H1347" s="185">
        <v>0.9</v>
      </c>
      <c r="I1347" s="185">
        <v>9</v>
      </c>
      <c r="J1347" s="317">
        <v>252.5</v>
      </c>
      <c r="K1347" s="185">
        <v>9</v>
      </c>
      <c r="L1347" s="317">
        <v>252.5</v>
      </c>
      <c r="M1347" s="227">
        <f t="shared" si="190"/>
        <v>0.03564356435643564</v>
      </c>
      <c r="N1347" s="310">
        <v>211.1</v>
      </c>
      <c r="O1347" s="560">
        <f t="shared" si="191"/>
        <v>7.524356435643564</v>
      </c>
      <c r="P1347" s="310">
        <f t="shared" si="192"/>
        <v>2138.613861386138</v>
      </c>
      <c r="Q1347" s="854">
        <f t="shared" si="193"/>
        <v>451.4613861386138</v>
      </c>
    </row>
    <row r="1348" spans="1:17" ht="11.25">
      <c r="A1348" s="886"/>
      <c r="B1348" s="41">
        <v>9</v>
      </c>
      <c r="C1348" s="49" t="s">
        <v>1025</v>
      </c>
      <c r="D1348" s="41">
        <v>8</v>
      </c>
      <c r="E1348" s="41">
        <v>1959</v>
      </c>
      <c r="F1348" s="185">
        <f t="shared" si="189"/>
        <v>11.2</v>
      </c>
      <c r="G1348" s="185">
        <v>0</v>
      </c>
      <c r="H1348" s="185">
        <v>0</v>
      </c>
      <c r="I1348" s="185">
        <v>11.2</v>
      </c>
      <c r="J1348" s="317">
        <v>303.83</v>
      </c>
      <c r="K1348" s="185">
        <v>9.4</v>
      </c>
      <c r="L1348" s="317">
        <v>256.9</v>
      </c>
      <c r="M1348" s="227">
        <f t="shared" si="190"/>
        <v>0.03659011288439082</v>
      </c>
      <c r="N1348" s="310">
        <v>211.1</v>
      </c>
      <c r="O1348" s="560">
        <f t="shared" si="191"/>
        <v>7.7241728298949015</v>
      </c>
      <c r="P1348" s="310">
        <f t="shared" si="192"/>
        <v>2195.406773063449</v>
      </c>
      <c r="Q1348" s="854">
        <f t="shared" si="193"/>
        <v>463.4503697936941</v>
      </c>
    </row>
    <row r="1349" spans="1:17" ht="12" thickBot="1">
      <c r="A1349" s="887"/>
      <c r="B1349" s="46">
        <v>10</v>
      </c>
      <c r="C1349" s="51" t="s">
        <v>1026</v>
      </c>
      <c r="D1349" s="46">
        <v>12</v>
      </c>
      <c r="E1349" s="46">
        <v>1960</v>
      </c>
      <c r="F1349" s="228">
        <f t="shared" si="189"/>
        <v>23.9</v>
      </c>
      <c r="G1349" s="228">
        <v>0.5</v>
      </c>
      <c r="H1349" s="228">
        <v>1.9</v>
      </c>
      <c r="I1349" s="228">
        <v>21.5</v>
      </c>
      <c r="J1349" s="358">
        <v>531.53</v>
      </c>
      <c r="K1349" s="228">
        <v>19.8</v>
      </c>
      <c r="L1349" s="358">
        <v>488.5</v>
      </c>
      <c r="M1349" s="230">
        <f t="shared" si="190"/>
        <v>0.04053224155578301</v>
      </c>
      <c r="N1349" s="229">
        <v>211.1</v>
      </c>
      <c r="O1349" s="229">
        <f t="shared" si="191"/>
        <v>8.556356192425794</v>
      </c>
      <c r="P1349" s="522">
        <f t="shared" si="192"/>
        <v>2431.9344933469806</v>
      </c>
      <c r="Q1349" s="857">
        <f t="shared" si="193"/>
        <v>513.3813715455476</v>
      </c>
    </row>
  </sheetData>
  <sheetProtection/>
  <mergeCells count="610">
    <mergeCell ref="A1320:A1329"/>
    <mergeCell ref="A1330:A1339"/>
    <mergeCell ref="A1340:A1349"/>
    <mergeCell ref="L1317:L1318"/>
    <mergeCell ref="M1317:M1318"/>
    <mergeCell ref="N1317:N1318"/>
    <mergeCell ref="F1317:I1317"/>
    <mergeCell ref="J1317:J1318"/>
    <mergeCell ref="K1317:K1318"/>
    <mergeCell ref="O1317:O1318"/>
    <mergeCell ref="P1317:P1318"/>
    <mergeCell ref="Q1317:Q1318"/>
    <mergeCell ref="A1315:Q1315"/>
    <mergeCell ref="A1316:Q1316"/>
    <mergeCell ref="A1317:A1319"/>
    <mergeCell ref="B1317:B1319"/>
    <mergeCell ref="C1317:C1319"/>
    <mergeCell ref="D1317:D1318"/>
    <mergeCell ref="E1317:E1318"/>
    <mergeCell ref="A1050:A1059"/>
    <mergeCell ref="A1070:A1077"/>
    <mergeCell ref="D1129:D1130"/>
    <mergeCell ref="P1129:P1130"/>
    <mergeCell ref="A1078:A1084"/>
    <mergeCell ref="A1067:A1069"/>
    <mergeCell ref="C1067:C1069"/>
    <mergeCell ref="L1110:L1111"/>
    <mergeCell ref="E1129:E1130"/>
    <mergeCell ref="J1129:J1130"/>
    <mergeCell ref="M1129:M1130"/>
    <mergeCell ref="Q855:Q856"/>
    <mergeCell ref="O1129:O1130"/>
    <mergeCell ref="M855:M856"/>
    <mergeCell ref="A1066:Q1066"/>
    <mergeCell ref="K939:K940"/>
    <mergeCell ref="A1085:A1092"/>
    <mergeCell ref="C1129:C1131"/>
    <mergeCell ref="A1093:A1100"/>
    <mergeCell ref="A1132:A1139"/>
    <mergeCell ref="K1129:K1130"/>
    <mergeCell ref="L1129:L1130"/>
    <mergeCell ref="A1119:A1125"/>
    <mergeCell ref="A1127:Q1127"/>
    <mergeCell ref="A1128:Q1128"/>
    <mergeCell ref="A1129:A1131"/>
    <mergeCell ref="B1129:B1131"/>
    <mergeCell ref="Q1129:Q1130"/>
    <mergeCell ref="F1129:I1129"/>
    <mergeCell ref="E1174:E1175"/>
    <mergeCell ref="P1174:P1175"/>
    <mergeCell ref="Q1174:Q1175"/>
    <mergeCell ref="A1172:Q1172"/>
    <mergeCell ref="P939:P940"/>
    <mergeCell ref="A1173:Q1173"/>
    <mergeCell ref="F1174:I1174"/>
    <mergeCell ref="A1140:A1149"/>
    <mergeCell ref="A1150:A1159"/>
    <mergeCell ref="N1129:N1130"/>
    <mergeCell ref="A841:A850"/>
    <mergeCell ref="A1183:A1193"/>
    <mergeCell ref="J1174:J1175"/>
    <mergeCell ref="K1174:K1175"/>
    <mergeCell ref="L1174:L1175"/>
    <mergeCell ref="M1174:M1175"/>
    <mergeCell ref="A1113:A1118"/>
    <mergeCell ref="B1174:B1176"/>
    <mergeCell ref="C1174:C1176"/>
    <mergeCell ref="D1174:D1175"/>
    <mergeCell ref="D855:D856"/>
    <mergeCell ref="O1174:O1175"/>
    <mergeCell ref="A1174:A1176"/>
    <mergeCell ref="K808:K809"/>
    <mergeCell ref="E855:E856"/>
    <mergeCell ref="K855:K856"/>
    <mergeCell ref="N808:N809"/>
    <mergeCell ref="O808:O809"/>
    <mergeCell ref="N1174:N1175"/>
    <mergeCell ref="A831:A840"/>
    <mergeCell ref="N855:N856"/>
    <mergeCell ref="P855:P856"/>
    <mergeCell ref="Q808:Q809"/>
    <mergeCell ref="A853:Q853"/>
    <mergeCell ref="A811:A820"/>
    <mergeCell ref="A821:A830"/>
    <mergeCell ref="L808:L809"/>
    <mergeCell ref="O855:O856"/>
    <mergeCell ref="L855:L856"/>
    <mergeCell ref="J855:J856"/>
    <mergeCell ref="B903:B905"/>
    <mergeCell ref="J939:J940"/>
    <mergeCell ref="A888:A897"/>
    <mergeCell ref="A736:A744"/>
    <mergeCell ref="J705:J706"/>
    <mergeCell ref="K705:K706"/>
    <mergeCell ref="F855:I855"/>
    <mergeCell ref="A806:Q806"/>
    <mergeCell ref="A807:Q807"/>
    <mergeCell ref="E808:E809"/>
    <mergeCell ref="D939:D940"/>
    <mergeCell ref="E939:E940"/>
    <mergeCell ref="A878:A887"/>
    <mergeCell ref="A939:A941"/>
    <mergeCell ref="B855:B857"/>
    <mergeCell ref="C855:C857"/>
    <mergeCell ref="A868:A877"/>
    <mergeCell ref="A901:Q901"/>
    <mergeCell ref="A902:Q902"/>
    <mergeCell ref="A903:A905"/>
    <mergeCell ref="A962:A971"/>
    <mergeCell ref="A942:A951"/>
    <mergeCell ref="A952:A961"/>
    <mergeCell ref="A1011:A1019"/>
    <mergeCell ref="B939:B941"/>
    <mergeCell ref="C939:C941"/>
    <mergeCell ref="A991:A1000"/>
    <mergeCell ref="A1001:A1010"/>
    <mergeCell ref="C705:C707"/>
    <mergeCell ref="A708:A717"/>
    <mergeCell ref="P705:P706"/>
    <mergeCell ref="A854:Q854"/>
    <mergeCell ref="F808:I808"/>
    <mergeCell ref="J808:J809"/>
    <mergeCell ref="B808:B810"/>
    <mergeCell ref="C808:C810"/>
    <mergeCell ref="D808:D809"/>
    <mergeCell ref="A808:A810"/>
    <mergeCell ref="A855:A857"/>
    <mergeCell ref="A858:A867"/>
    <mergeCell ref="O705:O706"/>
    <mergeCell ref="A752:Q752"/>
    <mergeCell ref="Q705:Q706"/>
    <mergeCell ref="A718:A726"/>
    <mergeCell ref="A727:A735"/>
    <mergeCell ref="N705:N706"/>
    <mergeCell ref="M754:M755"/>
    <mergeCell ref="N754:N755"/>
    <mergeCell ref="P1027:P1028"/>
    <mergeCell ref="Q939:Q940"/>
    <mergeCell ref="P808:P809"/>
    <mergeCell ref="M705:M706"/>
    <mergeCell ref="M808:M809"/>
    <mergeCell ref="K980:K981"/>
    <mergeCell ref="L980:L981"/>
    <mergeCell ref="L705:L706"/>
    <mergeCell ref="A938:Q938"/>
    <mergeCell ref="A906:A915"/>
    <mergeCell ref="L939:L940"/>
    <mergeCell ref="M939:M940"/>
    <mergeCell ref="O939:O940"/>
    <mergeCell ref="F939:I939"/>
    <mergeCell ref="M1027:M1028"/>
    <mergeCell ref="J1027:J1028"/>
    <mergeCell ref="O1027:O1028"/>
    <mergeCell ref="N939:N940"/>
    <mergeCell ref="A978:Q978"/>
    <mergeCell ref="D1027:D1028"/>
    <mergeCell ref="Q1067:Q1068"/>
    <mergeCell ref="K1067:K1068"/>
    <mergeCell ref="B1067:B1069"/>
    <mergeCell ref="N1067:N1068"/>
    <mergeCell ref="O1067:O1068"/>
    <mergeCell ref="P1067:P1068"/>
    <mergeCell ref="M1067:M1068"/>
    <mergeCell ref="J1067:J1068"/>
    <mergeCell ref="E1067:E1068"/>
    <mergeCell ref="F1067:I1067"/>
    <mergeCell ref="E1027:E1028"/>
    <mergeCell ref="F1027:I1027"/>
    <mergeCell ref="B5:B7"/>
    <mergeCell ref="C5:C7"/>
    <mergeCell ref="A5:A7"/>
    <mergeCell ref="A8:A17"/>
    <mergeCell ref="A18:A27"/>
    <mergeCell ref="A28:A37"/>
    <mergeCell ref="D51:D52"/>
    <mergeCell ref="A84:A93"/>
    <mergeCell ref="F5:I5"/>
    <mergeCell ref="E5:E6"/>
    <mergeCell ref="A937:Q937"/>
    <mergeCell ref="J51:J52"/>
    <mergeCell ref="K51:K52"/>
    <mergeCell ref="A49:Q49"/>
    <mergeCell ref="A38:A48"/>
    <mergeCell ref="A753:Q753"/>
    <mergeCell ref="A754:A756"/>
    <mergeCell ref="A705:A707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J5:J6"/>
    <mergeCell ref="Q5:Q6"/>
    <mergeCell ref="P97:P98"/>
    <mergeCell ref="Q97:Q98"/>
    <mergeCell ref="O51:O52"/>
    <mergeCell ref="A50:Q50"/>
    <mergeCell ref="A51:A52"/>
    <mergeCell ref="B51:B52"/>
    <mergeCell ref="C51:C52"/>
    <mergeCell ref="N51:N52"/>
    <mergeCell ref="K5:K6"/>
    <mergeCell ref="Q51:Q52"/>
    <mergeCell ref="P51:P52"/>
    <mergeCell ref="E51:E52"/>
    <mergeCell ref="F51:I51"/>
    <mergeCell ref="N97:N98"/>
    <mergeCell ref="O97:O98"/>
    <mergeCell ref="M51:M52"/>
    <mergeCell ref="L51:L52"/>
    <mergeCell ref="L97:L98"/>
    <mergeCell ref="M97:M98"/>
    <mergeCell ref="O190:O191"/>
    <mergeCell ref="L190:L191"/>
    <mergeCell ref="M190:M191"/>
    <mergeCell ref="N190:N191"/>
    <mergeCell ref="P190:P191"/>
    <mergeCell ref="A54:A63"/>
    <mergeCell ref="A64:A73"/>
    <mergeCell ref="A74:A83"/>
    <mergeCell ref="J190:J191"/>
    <mergeCell ref="A190:A192"/>
    <mergeCell ref="B190:B192"/>
    <mergeCell ref="C190:C192"/>
    <mergeCell ref="D190:D191"/>
    <mergeCell ref="E190:E191"/>
    <mergeCell ref="E608:E609"/>
    <mergeCell ref="A130:A139"/>
    <mergeCell ref="A606:Q606"/>
    <mergeCell ref="Q190:Q191"/>
    <mergeCell ref="A193:A202"/>
    <mergeCell ref="A203:A212"/>
    <mergeCell ref="A213:A222"/>
    <mergeCell ref="F190:I190"/>
    <mergeCell ref="B705:B707"/>
    <mergeCell ref="A657:Q657"/>
    <mergeCell ref="A658:A660"/>
    <mergeCell ref="O658:O659"/>
    <mergeCell ref="O608:O609"/>
    <mergeCell ref="N658:N659"/>
    <mergeCell ref="A608:A610"/>
    <mergeCell ref="B608:B610"/>
    <mergeCell ref="C608:C610"/>
    <mergeCell ref="D608:D609"/>
    <mergeCell ref="A703:Q703"/>
    <mergeCell ref="P658:P659"/>
    <mergeCell ref="F658:I658"/>
    <mergeCell ref="J658:J659"/>
    <mergeCell ref="Q658:Q659"/>
    <mergeCell ref="L658:L659"/>
    <mergeCell ref="A691:A700"/>
    <mergeCell ref="K658:K659"/>
    <mergeCell ref="A757:A766"/>
    <mergeCell ref="A767:A776"/>
    <mergeCell ref="A777:A786"/>
    <mergeCell ref="A787:A796"/>
    <mergeCell ref="K754:K755"/>
    <mergeCell ref="B754:B756"/>
    <mergeCell ref="C754:C756"/>
    <mergeCell ref="D754:D755"/>
    <mergeCell ref="E754:E755"/>
    <mergeCell ref="J754:J755"/>
    <mergeCell ref="C1027:C1029"/>
    <mergeCell ref="Q1027:Q1028"/>
    <mergeCell ref="E903:E904"/>
    <mergeCell ref="Q903:Q904"/>
    <mergeCell ref="K903:K904"/>
    <mergeCell ref="L903:L904"/>
    <mergeCell ref="M903:M904"/>
    <mergeCell ref="F903:I903"/>
    <mergeCell ref="P903:P904"/>
    <mergeCell ref="O903:O904"/>
    <mergeCell ref="F1110:I1110"/>
    <mergeCell ref="J1110:J1111"/>
    <mergeCell ref="K1110:K1111"/>
    <mergeCell ref="A1108:Q1108"/>
    <mergeCell ref="A1109:Q1109"/>
    <mergeCell ref="A1110:A1112"/>
    <mergeCell ref="A1030:A1039"/>
    <mergeCell ref="A1040:A1049"/>
    <mergeCell ref="L1067:L1068"/>
    <mergeCell ref="A1065:Q1065"/>
    <mergeCell ref="A1025:Q1025"/>
    <mergeCell ref="A1026:Q1026"/>
    <mergeCell ref="A1027:A1029"/>
    <mergeCell ref="N1027:N1028"/>
    <mergeCell ref="L1027:L1028"/>
    <mergeCell ref="B1027:B1029"/>
    <mergeCell ref="M1110:M1111"/>
    <mergeCell ref="N1110:N1111"/>
    <mergeCell ref="O1110:O1111"/>
    <mergeCell ref="P1110:P1111"/>
    <mergeCell ref="Q1110:Q1111"/>
    <mergeCell ref="A607:Q607"/>
    <mergeCell ref="A656:Q656"/>
    <mergeCell ref="B1110:B1112"/>
    <mergeCell ref="C1110:C1112"/>
    <mergeCell ref="D1110:D1111"/>
    <mergeCell ref="E1110:E1111"/>
    <mergeCell ref="Q608:Q609"/>
    <mergeCell ref="A611:A620"/>
    <mergeCell ref="K1027:K1028"/>
    <mergeCell ref="D1067:D1068"/>
    <mergeCell ref="A621:A630"/>
    <mergeCell ref="A631:A640"/>
    <mergeCell ref="A641:A650"/>
    <mergeCell ref="K608:K609"/>
    <mergeCell ref="P608:P609"/>
    <mergeCell ref="F608:I608"/>
    <mergeCell ref="L608:L609"/>
    <mergeCell ref="M608:M609"/>
    <mergeCell ref="J608:J609"/>
    <mergeCell ref="N608:N609"/>
    <mergeCell ref="M658:M659"/>
    <mergeCell ref="F754:I754"/>
    <mergeCell ref="A704:Q704"/>
    <mergeCell ref="Q754:Q755"/>
    <mergeCell ref="P754:P755"/>
    <mergeCell ref="B658:B660"/>
    <mergeCell ref="C658:C660"/>
    <mergeCell ref="D658:D659"/>
    <mergeCell ref="E658:E659"/>
    <mergeCell ref="A661:A670"/>
    <mergeCell ref="D705:D706"/>
    <mergeCell ref="A671:A680"/>
    <mergeCell ref="A681:A690"/>
    <mergeCell ref="J903:J904"/>
    <mergeCell ref="N903:N904"/>
    <mergeCell ref="O754:O755"/>
    <mergeCell ref="E705:E706"/>
    <mergeCell ref="F705:I705"/>
    <mergeCell ref="C903:C905"/>
    <mergeCell ref="D903:D904"/>
    <mergeCell ref="L754:L755"/>
    <mergeCell ref="Q980:Q981"/>
    <mergeCell ref="A95:Q95"/>
    <mergeCell ref="A96:Q96"/>
    <mergeCell ref="A97:A98"/>
    <mergeCell ref="B97:B98"/>
    <mergeCell ref="C97:C98"/>
    <mergeCell ref="A979:Q979"/>
    <mergeCell ref="A980:A982"/>
    <mergeCell ref="B980:B982"/>
    <mergeCell ref="C980:C982"/>
    <mergeCell ref="M980:M981"/>
    <mergeCell ref="N980:N981"/>
    <mergeCell ref="O980:O981"/>
    <mergeCell ref="P980:P981"/>
    <mergeCell ref="D980:D981"/>
    <mergeCell ref="E980:E981"/>
    <mergeCell ref="F980:I980"/>
    <mergeCell ref="J980:J981"/>
    <mergeCell ref="E97:E98"/>
    <mergeCell ref="F97:I97"/>
    <mergeCell ref="J97:J98"/>
    <mergeCell ref="K97:K98"/>
    <mergeCell ref="A235:Q235"/>
    <mergeCell ref="D97:D98"/>
    <mergeCell ref="A100:A109"/>
    <mergeCell ref="A110:A119"/>
    <mergeCell ref="A120:A129"/>
    <mergeCell ref="O143:O144"/>
    <mergeCell ref="P237:P238"/>
    <mergeCell ref="Q237:Q238"/>
    <mergeCell ref="D237:D238"/>
    <mergeCell ref="E237:E238"/>
    <mergeCell ref="F237:I237"/>
    <mergeCell ref="J237:J238"/>
    <mergeCell ref="K237:K238"/>
    <mergeCell ref="L237:L238"/>
    <mergeCell ref="M237:M238"/>
    <mergeCell ref="N237:N238"/>
    <mergeCell ref="P286:P287"/>
    <mergeCell ref="Q286:Q287"/>
    <mergeCell ref="M286:M287"/>
    <mergeCell ref="A284:Q284"/>
    <mergeCell ref="A285:Q285"/>
    <mergeCell ref="N286:N287"/>
    <mergeCell ref="L286:L287"/>
    <mergeCell ref="D286:D287"/>
    <mergeCell ref="O237:O238"/>
    <mergeCell ref="A240:A249"/>
    <mergeCell ref="A250:A259"/>
    <mergeCell ref="A260:A269"/>
    <mergeCell ref="A237:A239"/>
    <mergeCell ref="B237:B239"/>
    <mergeCell ref="C237:C239"/>
    <mergeCell ref="E335:E336"/>
    <mergeCell ref="F335:I335"/>
    <mergeCell ref="O286:O287"/>
    <mergeCell ref="A286:A288"/>
    <mergeCell ref="B286:B288"/>
    <mergeCell ref="C286:C288"/>
    <mergeCell ref="A307:A316"/>
    <mergeCell ref="A317:A326"/>
    <mergeCell ref="J286:J287"/>
    <mergeCell ref="K286:K287"/>
    <mergeCell ref="N335:N336"/>
    <mergeCell ref="O335:O336"/>
    <mergeCell ref="E286:E287"/>
    <mergeCell ref="F286:I286"/>
    <mergeCell ref="A333:Q333"/>
    <mergeCell ref="A334:Q334"/>
    <mergeCell ref="A335:A337"/>
    <mergeCell ref="B335:B337"/>
    <mergeCell ref="C335:C337"/>
    <mergeCell ref="D335:D336"/>
    <mergeCell ref="P335:P336"/>
    <mergeCell ref="Q335:Q336"/>
    <mergeCell ref="A338:A347"/>
    <mergeCell ref="A348:A357"/>
    <mergeCell ref="A358:A367"/>
    <mergeCell ref="A368:A377"/>
    <mergeCell ref="J335:J336"/>
    <mergeCell ref="K335:K336"/>
    <mergeCell ref="L335:L336"/>
    <mergeCell ref="M335:M336"/>
    <mergeCell ref="A382:Q382"/>
    <mergeCell ref="A383:Q383"/>
    <mergeCell ref="N384:N385"/>
    <mergeCell ref="O384:O385"/>
    <mergeCell ref="A384:A386"/>
    <mergeCell ref="B384:B386"/>
    <mergeCell ref="C384:C386"/>
    <mergeCell ref="D384:D385"/>
    <mergeCell ref="E384:E385"/>
    <mergeCell ref="F384:I384"/>
    <mergeCell ref="P384:P385"/>
    <mergeCell ref="Q384:Q385"/>
    <mergeCell ref="A387:A394"/>
    <mergeCell ref="A395:A402"/>
    <mergeCell ref="A403:A410"/>
    <mergeCell ref="J384:J385"/>
    <mergeCell ref="K384:K385"/>
    <mergeCell ref="L384:L385"/>
    <mergeCell ref="M384:M385"/>
    <mergeCell ref="A417:Q417"/>
    <mergeCell ref="A418:Q418"/>
    <mergeCell ref="A419:A421"/>
    <mergeCell ref="B419:B421"/>
    <mergeCell ref="C419:C421"/>
    <mergeCell ref="D419:D420"/>
    <mergeCell ref="E419:E420"/>
    <mergeCell ref="F419:I419"/>
    <mergeCell ref="J419:J420"/>
    <mergeCell ref="K419:K420"/>
    <mergeCell ref="L419:L420"/>
    <mergeCell ref="M419:M420"/>
    <mergeCell ref="N419:N420"/>
    <mergeCell ref="O419:O420"/>
    <mergeCell ref="P419:P420"/>
    <mergeCell ref="Q419:Q420"/>
    <mergeCell ref="A422:A431"/>
    <mergeCell ref="A432:A441"/>
    <mergeCell ref="A442:A451"/>
    <mergeCell ref="A452:A461"/>
    <mergeCell ref="A463:Q463"/>
    <mergeCell ref="A464:Q464"/>
    <mergeCell ref="L465:L466"/>
    <mergeCell ref="M465:M466"/>
    <mergeCell ref="N465:N466"/>
    <mergeCell ref="O465:O466"/>
    <mergeCell ref="A465:A467"/>
    <mergeCell ref="B465:B467"/>
    <mergeCell ref="C465:C467"/>
    <mergeCell ref="D465:D466"/>
    <mergeCell ref="E465:E466"/>
    <mergeCell ref="F465:I465"/>
    <mergeCell ref="F512:I512"/>
    <mergeCell ref="K512:K513"/>
    <mergeCell ref="P465:P466"/>
    <mergeCell ref="Q465:Q466"/>
    <mergeCell ref="A468:A477"/>
    <mergeCell ref="A478:A487"/>
    <mergeCell ref="A488:A497"/>
    <mergeCell ref="A498:A507"/>
    <mergeCell ref="J465:J466"/>
    <mergeCell ref="K465:K466"/>
    <mergeCell ref="J512:J513"/>
    <mergeCell ref="O560:O561"/>
    <mergeCell ref="Q512:Q513"/>
    <mergeCell ref="A510:Q510"/>
    <mergeCell ref="A511:Q511"/>
    <mergeCell ref="A512:A514"/>
    <mergeCell ref="B512:B514"/>
    <mergeCell ref="C512:C514"/>
    <mergeCell ref="D512:D513"/>
    <mergeCell ref="E512:E513"/>
    <mergeCell ref="A525:A534"/>
    <mergeCell ref="A535:A544"/>
    <mergeCell ref="A545:A554"/>
    <mergeCell ref="A558:Q558"/>
    <mergeCell ref="A559:Q559"/>
    <mergeCell ref="L512:L513"/>
    <mergeCell ref="M512:M513"/>
    <mergeCell ref="N512:N513"/>
    <mergeCell ref="O512:O513"/>
    <mergeCell ref="P512:P513"/>
    <mergeCell ref="N560:N561"/>
    <mergeCell ref="A297:A306"/>
    <mergeCell ref="P560:P561"/>
    <mergeCell ref="A560:A562"/>
    <mergeCell ref="B560:B562"/>
    <mergeCell ref="C560:C562"/>
    <mergeCell ref="D560:D561"/>
    <mergeCell ref="E560:E561"/>
    <mergeCell ref="F560:I560"/>
    <mergeCell ref="A515:A524"/>
    <mergeCell ref="K143:K144"/>
    <mergeCell ref="Q560:Q561"/>
    <mergeCell ref="A563:A572"/>
    <mergeCell ref="A573:A582"/>
    <mergeCell ref="A583:A592"/>
    <mergeCell ref="A593:A602"/>
    <mergeCell ref="J560:J561"/>
    <mergeCell ref="K560:K561"/>
    <mergeCell ref="L560:L561"/>
    <mergeCell ref="M560:M561"/>
    <mergeCell ref="P143:P144"/>
    <mergeCell ref="Q143:Q144"/>
    <mergeCell ref="A141:Q141"/>
    <mergeCell ref="A142:Q142"/>
    <mergeCell ref="A143:A145"/>
    <mergeCell ref="B143:B145"/>
    <mergeCell ref="C143:C145"/>
    <mergeCell ref="D143:D144"/>
    <mergeCell ref="M143:M144"/>
    <mergeCell ref="J143:J144"/>
    <mergeCell ref="E143:E144"/>
    <mergeCell ref="F143:I143"/>
    <mergeCell ref="N143:N144"/>
    <mergeCell ref="A289:A296"/>
    <mergeCell ref="A146:A155"/>
    <mergeCell ref="A156:A165"/>
    <mergeCell ref="A166:A175"/>
    <mergeCell ref="A176:A185"/>
    <mergeCell ref="A236:Q236"/>
    <mergeCell ref="A189:Q189"/>
    <mergeCell ref="E1198:E1199"/>
    <mergeCell ref="F1198:I1198"/>
    <mergeCell ref="A983:A990"/>
    <mergeCell ref="A1177:A1182"/>
    <mergeCell ref="L143:L144"/>
    <mergeCell ref="A270:A279"/>
    <mergeCell ref="A188:Q188"/>
    <mergeCell ref="A223:A232"/>
    <mergeCell ref="K190:K191"/>
    <mergeCell ref="A916:A925"/>
    <mergeCell ref="N1198:N1199"/>
    <mergeCell ref="O1198:O1199"/>
    <mergeCell ref="A926:A935"/>
    <mergeCell ref="A1160:A1166"/>
    <mergeCell ref="A1196:Q1196"/>
    <mergeCell ref="A1197:Q1197"/>
    <mergeCell ref="A1198:A1200"/>
    <mergeCell ref="B1198:B1200"/>
    <mergeCell ref="C1198:C1200"/>
    <mergeCell ref="D1198:D1199"/>
    <mergeCell ref="P1198:P1199"/>
    <mergeCell ref="Q1198:Q1199"/>
    <mergeCell ref="A1201:A1210"/>
    <mergeCell ref="A1211:A1220"/>
    <mergeCell ref="A1221:A1230"/>
    <mergeCell ref="A1231:A1240"/>
    <mergeCell ref="J1198:J1199"/>
    <mergeCell ref="K1198:K1199"/>
    <mergeCell ref="L1198:L1199"/>
    <mergeCell ref="M1198:M1199"/>
    <mergeCell ref="A1243:Q1243"/>
    <mergeCell ref="A1244:Q1244"/>
    <mergeCell ref="A1245:A1247"/>
    <mergeCell ref="B1245:B1247"/>
    <mergeCell ref="C1245:C1247"/>
    <mergeCell ref="D1245:D1246"/>
    <mergeCell ref="E1245:E1246"/>
    <mergeCell ref="F1245:I1245"/>
    <mergeCell ref="J1245:J1246"/>
    <mergeCell ref="K1245:K1246"/>
    <mergeCell ref="L1245:L1246"/>
    <mergeCell ref="M1245:M1246"/>
    <mergeCell ref="N1245:N1246"/>
    <mergeCell ref="O1245:O1246"/>
    <mergeCell ref="P1245:P1246"/>
    <mergeCell ref="Q1245:Q1246"/>
    <mergeCell ref="A1248:A1255"/>
    <mergeCell ref="A1256:A1265"/>
    <mergeCell ref="A1266:A1275"/>
    <mergeCell ref="A1276:A1285"/>
    <mergeCell ref="A1288:Q1288"/>
    <mergeCell ref="A1289:Q1289"/>
    <mergeCell ref="A1290:A1292"/>
    <mergeCell ref="B1290:B1292"/>
    <mergeCell ref="C1290:C1292"/>
    <mergeCell ref="D1290:D1291"/>
    <mergeCell ref="E1290:E1291"/>
    <mergeCell ref="F1290:I1290"/>
    <mergeCell ref="P1290:P1291"/>
    <mergeCell ref="Q1290:Q1291"/>
    <mergeCell ref="A1293:A1302"/>
    <mergeCell ref="A1303:A1312"/>
    <mergeCell ref="J1290:J1291"/>
    <mergeCell ref="K1290:K1291"/>
    <mergeCell ref="L1290:L1291"/>
    <mergeCell ref="M1290:M1291"/>
    <mergeCell ref="N1290:N1291"/>
    <mergeCell ref="O1290:O1291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2013-02-11T07:09:51Z</dcterms:modified>
  <cp:category/>
  <cp:version/>
  <cp:contentType/>
  <cp:contentStatus/>
</cp:coreProperties>
</file>